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worksheets/sheet4.xml" ContentType="application/vnd.openxmlformats-officedocument.spreadsheetml.worksheet+xml"/>
  <Override PartName="/xl/chartsheets/sheet3.xml" ContentType="application/vnd.openxmlformats-officedocument.spreadsheetml.chartsheet+xml"/>
  <Override PartName="/xl/worksheets/sheet5.xml" ContentType="application/vnd.openxmlformats-officedocument.spreadsheetml.worksheet+xml"/>
  <Override PartName="/xl/worksheets/sheet6.xml" ContentType="application/vnd.openxmlformats-officedocument.spreadsheetml.worksheet+xml"/>
  <Override PartName="/xl/chartsheets/sheet4.xml" ContentType="application/vnd.openxmlformats-officedocument.spreadsheetml.chartsheet+xml"/>
  <Override PartName="/xl/chartsheets/sheet5.xml" ContentType="application/vnd.openxmlformats-officedocument.spreadsheetml.chartsheet+xml"/>
  <Override PartName="/xl/worksheets/sheet7.xml" ContentType="application/vnd.openxmlformats-officedocument.spreadsheetml.worksheet+xml"/>
  <Override PartName="/xl/chartsheets/sheet6.xml" ContentType="application/vnd.openxmlformats-officedocument.spreadsheetml.chartsheet+xml"/>
  <Override PartName="/xl/chartsheets/sheet7.xml" ContentType="application/vnd.openxmlformats-officedocument.spreadsheetml.chartsheet+xml"/>
  <Override PartName="/xl/chartsheets/sheet8.xml" ContentType="application/vnd.openxmlformats-officedocument.spreadsheetml.chart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chartsheets/sheet9.xml" ContentType="application/vnd.openxmlformats-officedocument.spreadsheetml.chartsheet+xml"/>
  <Override PartName="/xl/chartsheets/sheet10.xml" ContentType="application/vnd.openxmlformats-officedocument.spreadsheetml.chartsheet+xml"/>
  <Override PartName="/xl/worksheets/sheet12.xml" ContentType="application/vnd.openxmlformats-officedocument.spreadsheetml.worksheet+xml"/>
  <Override PartName="/xl/worksheets/sheet13.xml" ContentType="application/vnd.openxmlformats-officedocument.spreadsheetml.worksheet+xml"/>
  <Override PartName="/xl/chartsheets/sheet11.xml" ContentType="application/vnd.openxmlformats-officedocument.spreadsheetml.chartsheet+xml"/>
  <Override PartName="/xl/worksheets/sheet14.xml" ContentType="application/vnd.openxmlformats-officedocument.spreadsheetml.worksheet+xml"/>
  <Override PartName="/xl/chartsheets/sheet12.xml" ContentType="application/vnd.openxmlformats-officedocument.spreadsheetml.chartsheet+xml"/>
  <Override PartName="/xl/chartsheets/sheet13.xml" ContentType="application/vnd.openxmlformats-officedocument.spreadsheetml.chartsheet+xml"/>
  <Override PartName="/xl/chartsheets/sheet14.xml" ContentType="application/vnd.openxmlformats-officedocument.spreadsheetml.chartsheet+xml"/>
  <Override PartName="/xl/chartsheets/sheet15.xml" ContentType="application/vnd.openxmlformats-officedocument.spreadsheetml.chart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charts/chart4.xml" ContentType="application/vnd.openxmlformats-officedocument.drawingml.chart+xml"/>
  <Override PartName="/xl/charts/style1.xml" ContentType="application/vnd.ms-office.chartstyle+xml"/>
  <Override PartName="/xl/charts/colors1.xml" ContentType="application/vnd.ms-office.chartcolorstyle+xml"/>
  <Override PartName="/xl/charts/chart5.xml" ContentType="application/vnd.openxmlformats-officedocument.drawingml.chart+xml"/>
  <Override PartName="/xl/charts/style2.xml" ContentType="application/vnd.ms-office.chartstyle+xml"/>
  <Override PartName="/xl/charts/colors2.xml" ContentType="application/vnd.ms-office.chartcolorstyle+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charts/chart7.xml" ContentType="application/vnd.openxmlformats-officedocument.drawingml.chart+xml"/>
  <Override PartName="/xl/charts/style4.xml" ContentType="application/vnd.ms-office.chartstyle+xml"/>
  <Override PartName="/xl/charts/colors4.xml" ContentType="application/vnd.ms-office.chartcolorstyle+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ml.chartshapes+xml"/>
  <Override PartName="/xl/drawings/drawing10.xml" ContentType="application/vnd.openxmlformats-officedocument.drawing+xml"/>
  <Override PartName="/xl/charts/chart9.xml" ContentType="application/vnd.openxmlformats-officedocument.drawingml.chart+xml"/>
  <Override PartName="/xl/drawings/drawing11.xml" ContentType="application/vnd.openxmlformats-officedocument.drawingml.chartshapes+xml"/>
  <Override PartName="/xl/drawings/drawing12.xml" ContentType="application/vnd.openxmlformats-officedocument.drawing+xml"/>
  <Override PartName="/xl/charts/chart10.xml" ContentType="application/vnd.openxmlformats-officedocument.drawingml.chart+xml"/>
  <Override PartName="/xl/drawings/drawing13.xml" ContentType="application/vnd.openxmlformats-officedocument.drawingml.chartshapes+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ml.chartshapes+xml"/>
  <Override PartName="/xl/drawings/drawing16.xml" ContentType="application/vnd.openxmlformats-officedocument.drawing+xml"/>
  <Override PartName="/xl/charts/chart12.xml" ContentType="application/vnd.openxmlformats-officedocument.drawingml.chart+xml"/>
  <Override PartName="/xl/theme/themeOverride1.xml" ContentType="application/vnd.openxmlformats-officedocument.themeOverride+xml"/>
  <Override PartName="/xl/drawings/drawing17.xml" ContentType="application/vnd.openxmlformats-officedocument.drawingml.chartshapes+xml"/>
  <Override PartName="/xl/drawings/drawing18.xml" ContentType="application/vnd.openxmlformats-officedocument.drawing+xml"/>
  <Override PartName="/xl/charts/chart13.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9.xml" ContentType="application/vnd.openxmlformats-officedocument.drawingml.chartshapes+xml"/>
  <Override PartName="/xl/drawings/drawing20.xml" ContentType="application/vnd.openxmlformats-officedocument.drawing+xml"/>
  <Override PartName="/xl/charts/chart14.xml" ContentType="application/vnd.openxmlformats-officedocument.drawingml.chart+xml"/>
  <Override PartName="/xl/charts/style6.xml" ContentType="application/vnd.ms-office.chartstyle+xml"/>
  <Override PartName="/xl/charts/colors6.xml" ContentType="application/vnd.ms-office.chartcolorstyle+xml"/>
  <Override PartName="/xl/drawings/drawing21.xml" ContentType="application/vnd.openxmlformats-officedocument.drawingml.chartshapes+xml"/>
  <Override PartName="/xl/drawings/drawing22.xml" ContentType="application/vnd.openxmlformats-officedocument.drawing+xml"/>
  <Override PartName="/xl/charts/chart15.xml" ContentType="application/vnd.openxmlformats-officedocument.drawingml.chart+xml"/>
  <Override PartName="/xl/charts/style7.xml" ContentType="application/vnd.ms-office.chartstyle+xml"/>
  <Override PartName="/xl/charts/colors7.xml" ContentType="application/vnd.ms-office.chartcolorstyle+xml"/>
  <Override PartName="/xl/drawings/drawing23.xml" ContentType="application/vnd.openxmlformats-officedocument.drawingml.chartshapes+xml"/>
  <Override PartName="/xl/drawings/drawing24.xml" ContentType="application/vnd.openxmlformats-officedocument.drawing+xml"/>
  <Override PartName="/xl/charts/chart16.xml" ContentType="application/vnd.openxmlformats-officedocument.drawingml.chart+xml"/>
  <Override PartName="/xl/drawings/drawing25.xml" ContentType="application/vnd.openxmlformats-officedocument.drawingml.chartshapes+xml"/>
  <Override PartName="/xl/drawings/drawing26.xml" ContentType="application/vnd.openxmlformats-officedocument.drawing+xml"/>
  <Override PartName="/xl/charts/chart17.xml" ContentType="application/vnd.openxmlformats-officedocument.drawingml.chart+xml"/>
  <Override PartName="/xl/drawings/drawing27.xml" ContentType="application/vnd.openxmlformats-officedocument.drawingml.chartshapes+xml"/>
  <Override PartName="/xl/drawings/drawing28.xml" ContentType="application/vnd.openxmlformats-officedocument.drawing+xml"/>
  <Override PartName="/xl/charts/chart18.xml" ContentType="application/vnd.openxmlformats-officedocument.drawingml.chart+xml"/>
  <Override PartName="/xl/drawings/drawing29.xml" ContentType="application/vnd.openxmlformats-officedocument.drawingml.chartshapes+xml"/>
  <Override PartName="/xl/drawings/drawing30.xml" ContentType="application/vnd.openxmlformats-officedocument.drawing+xml"/>
  <Override PartName="/xl/charts/chart19.xml" ContentType="application/vnd.openxmlformats-officedocument.drawingml.chart+xml"/>
  <Override PartName="/xl/drawings/drawing3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20.xml" ContentType="application/vnd.openxmlformats-officedocument.drawingml.chart+xml"/>
  <Override PartName="/xl/charts/style8.xml" ContentType="application/vnd.ms-office.chartstyle+xml"/>
  <Override PartName="/xl/charts/colors8.xml" ContentType="application/vnd.ms-office.chartcolorstyle+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28"/>
  <workbookPr/>
  <mc:AlternateContent xmlns:mc="http://schemas.openxmlformats.org/markup-compatibility/2006">
    <mc:Choice Requires="x15">
      <x15ac:absPath xmlns:x15ac="http://schemas.microsoft.com/office/spreadsheetml/2010/11/ac" url="/Users/gzucman/Dropbox/ZZArchivedProjects/TorslovEtal17/PaperGlobalShifting1975/OnlineFiles/"/>
    </mc:Choice>
  </mc:AlternateContent>
  <xr:revisionPtr revIDLastSave="0" documentId="13_ncr:1_{755C5FAE-B433-D648-8800-8ED839B44540}" xr6:coauthVersionLast="47" xr6:coauthVersionMax="47" xr10:uidLastSave="{00000000-0000-0000-0000-000000000000}"/>
  <bookViews>
    <workbookView xWindow="0" yWindow="600" windowWidth="25600" windowHeight="12780" xr2:uid="{00000000-000D-0000-FFFF-FFFF00000000}"/>
  </bookViews>
  <sheets>
    <sheet name="Content" sheetId="72" r:id="rId1"/>
    <sheet name="MainTableFigures &gt;" sheetId="87" r:id="rId2"/>
    <sheet name="Table1" sheetId="96" r:id="rId3"/>
    <sheet name="Figure1A" sheetId="67" r:id="rId4"/>
    <sheet name="Figure1B" sheetId="69" r:id="rId5"/>
    <sheet name="DataF1" sheetId="66" r:id="rId6"/>
    <sheet name="Figure2" sheetId="71" r:id="rId7"/>
    <sheet name="DataF2" sheetId="70" r:id="rId8"/>
    <sheet name="DataF3-F4" sheetId="77" r:id="rId9"/>
    <sheet name="Figure3" sheetId="94" r:id="rId10"/>
    <sheet name="Figure4" sheetId="78" r:id="rId11"/>
    <sheet name="AppenixTableFigures &gt;" sheetId="88" r:id="rId12"/>
    <sheet name="FigureA1a" sheetId="91" r:id="rId13"/>
    <sheet name="FigureA1b" sheetId="92" r:id="rId14"/>
    <sheet name="FigureA2" sheetId="82" r:id="rId15"/>
    <sheet name="TableA1" sheetId="95" r:id="rId16"/>
    <sheet name="TableA2" sheetId="63" r:id="rId17"/>
    <sheet name="TableA3" sheetId="74" r:id="rId18"/>
    <sheet name="data-FigureA3" sheetId="98" r:id="rId19"/>
    <sheet name="FigureA3a" sheetId="109" r:id="rId20"/>
    <sheet name="FigureA3b" sheetId="100" r:id="rId21"/>
    <sheet name="TableA4" sheetId="105" r:id="rId22"/>
    <sheet name="Data_FigureA4" sheetId="106" r:id="rId23"/>
    <sheet name="FigureA4" sheetId="108" r:id="rId24"/>
    <sheet name="SupplementaryFigures &gt;" sheetId="89" r:id="rId25"/>
    <sheet name="FigureS1" sheetId="84" r:id="rId26"/>
    <sheet name="FigureS2" sheetId="86" r:id="rId27"/>
    <sheet name="FigureS3" sheetId="76" r:id="rId28"/>
    <sheet name="FigureS4" sheetId="80" r:id="rId29"/>
    <sheet name="DataFigS4" sheetId="81" r:id="rId30"/>
    <sheet name="Select updated tables from TWZ&gt;" sheetId="53" r:id="rId31"/>
    <sheet name="GlobalDIEquityIncome" sheetId="90" r:id="rId32"/>
    <sheet name="Wright-Zucman" sheetId="79" r:id="rId33"/>
    <sheet name="BEA2023_Table.II.F1" sheetId="103" r:id="rId34"/>
    <sheet name="US-CBCR-2020" sheetId="93" r:id="rId35"/>
    <sheet name="Table U1" sheetId="26" r:id="rId36"/>
    <sheet name="TableB10" sheetId="1" r:id="rId37"/>
    <sheet name="TableB11_2022" sheetId="97" r:id="rId38"/>
    <sheet name="TableB11_2019" sheetId="3" r:id="rId39"/>
    <sheet name="TableC1" sheetId="54" r:id="rId40"/>
    <sheet name="TableC2" sheetId="55" r:id="rId41"/>
    <sheet name="TableC3" sheetId="56" r:id="rId42"/>
    <sheet name="TableC4" sheetId="57" r:id="rId43"/>
    <sheet name="TableC4b" sheetId="58" r:id="rId44"/>
    <sheet name="TableC4c" sheetId="59" r:id="rId45"/>
    <sheet name="TableC4d" sheetId="60" r:id="rId46"/>
    <sheet name="Depreciation" sheetId="73" r:id="rId47"/>
  </sheets>
  <definedNames>
    <definedName name="_1_" localSheetId="15">#REF!</definedName>
    <definedName name="_1_">#REF!</definedName>
    <definedName name="_xlnm._FilterDatabase" localSheetId="7" hidden="1">DataF2!$B$3:$F$20</definedName>
    <definedName name="A2298668K">#REF!,#REF!</definedName>
    <definedName name="A2298668K_Data">#REF!</definedName>
    <definedName name="A2298668K_Latest">#REF!</definedName>
    <definedName name="A2298677L">#REF!,#REF!</definedName>
    <definedName name="A2298677L_Data">#REF!</definedName>
    <definedName name="A2298677L_Latest">#REF!</definedName>
    <definedName name="A2298678R">#REF!,#REF!</definedName>
    <definedName name="A2298678R_Data">#REF!</definedName>
    <definedName name="A2298678R_Latest">#REF!</definedName>
    <definedName name="A2298709V">#REF!,#REF!</definedName>
    <definedName name="A2298709V_Data">#REF!</definedName>
    <definedName name="A2298709V_Latest">#REF!</definedName>
    <definedName name="A2298711F">#REF!,#REF!</definedName>
    <definedName name="A2298711F_Data">#REF!</definedName>
    <definedName name="A2298711F_Latest">#REF!</definedName>
    <definedName name="A2298712J">#REF!,#REF!</definedName>
    <definedName name="A2298712J_Data">#REF!</definedName>
    <definedName name="A2298712J_Latest">#REF!</definedName>
    <definedName name="A2298714L">#REF!,#REF!</definedName>
    <definedName name="A2298714L_Data">#REF!</definedName>
    <definedName name="A2298714L_Latest">#REF!</definedName>
    <definedName name="A2302356K">#REF!,#REF!</definedName>
    <definedName name="A2302356K_Data">#REF!</definedName>
    <definedName name="A2302356K_Latest">#REF!</definedName>
    <definedName name="A2302358R">#REF!,#REF!</definedName>
    <definedName name="A2302358R_Data">#REF!</definedName>
    <definedName name="A2302358R_Latest">#REF!</definedName>
    <definedName name="A2302397F">#REF!,#REF!</definedName>
    <definedName name="A2302397F_Data">#REF!</definedName>
    <definedName name="A2302397F_Latest">#REF!</definedName>
    <definedName name="A2302399K">#REF!,#REF!</definedName>
    <definedName name="A2302399K_Data">#REF!</definedName>
    <definedName name="A2302399K_Latest">#REF!</definedName>
    <definedName name="A2302400J">#REF!,#REF!</definedName>
    <definedName name="A2302400J_Data">#REF!</definedName>
    <definedName name="A2302400J_Latest">#REF!</definedName>
    <definedName name="A2302401K">#REF!,#REF!</definedName>
    <definedName name="A2302401K_Data">#REF!</definedName>
    <definedName name="A2302401K_Latest">#REF!</definedName>
    <definedName name="A2302403R">#REF!,#REF!</definedName>
    <definedName name="A2302403R_Data">#REF!</definedName>
    <definedName name="A2302403R_Latest">#REF!</definedName>
    <definedName name="A2302404T">#REF!,#REF!</definedName>
    <definedName name="A2302404T_Data">#REF!</definedName>
    <definedName name="A2302404T_Latest">#REF!</definedName>
    <definedName name="A2302405V">#REF!,#REF!</definedName>
    <definedName name="A2302405V_Data">#REF!</definedName>
    <definedName name="A2302405V_Latest">#REF!</definedName>
    <definedName name="A2302406W">#REF!,#REF!</definedName>
    <definedName name="A2302406W_Data">#REF!</definedName>
    <definedName name="A2302406W_Latest">#REF!</definedName>
    <definedName name="A2302408A">#REF!,#REF!</definedName>
    <definedName name="A2302408A_Data">#REF!</definedName>
    <definedName name="A2302408A_Latest">#REF!</definedName>
    <definedName name="A2302409C">#REF!,#REF!</definedName>
    <definedName name="A2302409C_Data">#REF!</definedName>
    <definedName name="A2302409C_Latest">#REF!</definedName>
    <definedName name="A2302410L">#REF!,#REF!</definedName>
    <definedName name="A2302410L_Data">#REF!</definedName>
    <definedName name="A2302410L_Latest">#REF!</definedName>
    <definedName name="A2302411R">#REF!,#REF!</definedName>
    <definedName name="A2302411R_Data">#REF!</definedName>
    <definedName name="A2302411R_Latest">#REF!</definedName>
    <definedName name="A2302412T">#REF!,#REF!</definedName>
    <definedName name="A2302412T_Data">#REF!</definedName>
    <definedName name="A2302412T_Latest">#REF!</definedName>
    <definedName name="A2302413V">#REF!,#REF!</definedName>
    <definedName name="A2302413V_Data">#REF!</definedName>
    <definedName name="A2302413V_Latest">#REF!</definedName>
    <definedName name="A2302459A">#REF!,#REF!</definedName>
    <definedName name="A2302459A_Data">#REF!</definedName>
    <definedName name="A2302459A_Latest">#REF!</definedName>
    <definedName name="A2302467A">#REF!,#REF!</definedName>
    <definedName name="A2302467A_Data">#REF!</definedName>
    <definedName name="A2302467A_Latest">#REF!</definedName>
    <definedName name="A2302642X">#REF!,#REF!</definedName>
    <definedName name="A2302642X_Data">#REF!</definedName>
    <definedName name="A2302642X_Latest">#REF!</definedName>
    <definedName name="A2302664L">#REF!,#REF!</definedName>
    <definedName name="A2302664L_Data">#REF!</definedName>
    <definedName name="A2302664L_Latest">#REF!</definedName>
    <definedName name="A2302665R">#REF!,#REF!</definedName>
    <definedName name="A2302665R_Data">#REF!</definedName>
    <definedName name="A2302665R_Latest">#REF!</definedName>
    <definedName name="A2302667V">#REF!,#REF!</definedName>
    <definedName name="A2302667V_Data">#REF!</definedName>
    <definedName name="A2302667V_Latest">#REF!</definedName>
    <definedName name="A2302668W">#REF!,#REF!</definedName>
    <definedName name="A2302668W_Data">#REF!</definedName>
    <definedName name="A2302668W_Latest">#REF!</definedName>
    <definedName name="A2302670J">#REF!,#REF!</definedName>
    <definedName name="A2302670J_Data">#REF!</definedName>
    <definedName name="A2302670J_Latest">#REF!</definedName>
    <definedName name="A2302671K">#REF!,#REF!</definedName>
    <definedName name="A2302671K_Data">#REF!</definedName>
    <definedName name="A2302671K_Latest">#REF!</definedName>
    <definedName name="A2302672L">#REF!,#REF!</definedName>
    <definedName name="A2302672L_Data">#REF!</definedName>
    <definedName name="A2302672L_Latest">#REF!</definedName>
    <definedName name="A2302673R">#REF!,#REF!</definedName>
    <definedName name="A2302673R_Data">#REF!</definedName>
    <definedName name="A2302673R_Latest">#REF!</definedName>
    <definedName name="A2302674T">#REF!,#REF!</definedName>
    <definedName name="A2302674T_Data">#REF!</definedName>
    <definedName name="A2302674T_Latest">#REF!</definedName>
    <definedName name="A2302675V">#REF!,#REF!</definedName>
    <definedName name="A2302675V_Data">#REF!</definedName>
    <definedName name="A2302675V_Latest">#REF!</definedName>
    <definedName name="A2302694A">#REF!,#REF!</definedName>
    <definedName name="A2302694A_Data">#REF!</definedName>
    <definedName name="A2302694A_Latest">#REF!</definedName>
    <definedName name="A2303325L">#REF!,#REF!</definedName>
    <definedName name="A2303325L_Data">#REF!</definedName>
    <definedName name="A2303325L_Latest">#REF!</definedName>
    <definedName name="A2303327T">#REF!,#REF!</definedName>
    <definedName name="A2303327T_Data">#REF!</definedName>
    <definedName name="A2303327T_Latest">#REF!</definedName>
    <definedName name="A2303329W">#REF!,#REF!</definedName>
    <definedName name="A2303329W_Data">#REF!</definedName>
    <definedName name="A2303329W_Latest">#REF!</definedName>
    <definedName name="A2303331J">#REF!,#REF!</definedName>
    <definedName name="A2303331J_Data">#REF!</definedName>
    <definedName name="A2303331J_Latest">#REF!</definedName>
    <definedName name="A2303335T">#REF!,#REF!</definedName>
    <definedName name="A2303335T_Data">#REF!</definedName>
    <definedName name="A2303335T_Latest">#REF!</definedName>
    <definedName name="A2303337W">#REF!,#REF!</definedName>
    <definedName name="A2303337W_Data">#REF!</definedName>
    <definedName name="A2303337W_Latest">#REF!</definedName>
    <definedName name="A2303339A">#REF!,#REF!</definedName>
    <definedName name="A2303339A_Data">#REF!</definedName>
    <definedName name="A2303339A_Latest">#REF!</definedName>
    <definedName name="A2303341L">#REF!,#REF!</definedName>
    <definedName name="A2303341L_Data">#REF!</definedName>
    <definedName name="A2303341L_Latest">#REF!</definedName>
    <definedName name="A2303345W">#REF!,#REF!</definedName>
    <definedName name="A2303345W_Data">#REF!</definedName>
    <definedName name="A2303345W_Latest">#REF!</definedName>
    <definedName name="A2303347A">#REF!,#REF!</definedName>
    <definedName name="A2303347A_Data">#REF!</definedName>
    <definedName name="A2303347A_Latest">#REF!</definedName>
    <definedName name="A2303349F">#REF!,#REF!</definedName>
    <definedName name="A2303349F_Data">#REF!</definedName>
    <definedName name="A2303349F_Latest">#REF!</definedName>
    <definedName name="A2303351T">#REF!,#REF!</definedName>
    <definedName name="A2303351T_Data">#REF!</definedName>
    <definedName name="A2303351T_Latest">#REF!</definedName>
    <definedName name="A2303353W">#REF!,#REF!</definedName>
    <definedName name="A2303353W_Data">#REF!</definedName>
    <definedName name="A2303353W_Latest">#REF!</definedName>
    <definedName name="A2303355A">#REF!,#REF!</definedName>
    <definedName name="A2303355A_Data">#REF!</definedName>
    <definedName name="A2303355A_Latest">#REF!</definedName>
    <definedName name="A2303357F">#REF!,#REF!</definedName>
    <definedName name="A2303357F_Data">#REF!</definedName>
    <definedName name="A2303357F_Latest">#REF!</definedName>
    <definedName name="A2303359K">#REF!,#REF!</definedName>
    <definedName name="A2303359K_Data">#REF!</definedName>
    <definedName name="A2303359K_Latest">#REF!</definedName>
    <definedName name="A2303363A">#REF!,#REF!</definedName>
    <definedName name="A2303363A_Data">#REF!</definedName>
    <definedName name="A2303363A_Latest">#REF!</definedName>
    <definedName name="A2303365F">#REF!,#REF!</definedName>
    <definedName name="A2303365F_Data">#REF!</definedName>
    <definedName name="A2303365F_Latest">#REF!</definedName>
    <definedName name="A2303367K">#REF!,#REF!</definedName>
    <definedName name="A2303367K_Data">#REF!</definedName>
    <definedName name="A2303367K_Latest">#REF!</definedName>
    <definedName name="A2303369R">#REF!,#REF!</definedName>
    <definedName name="A2303369R_Data">#REF!</definedName>
    <definedName name="A2303369R_Latest">#REF!</definedName>
    <definedName name="A2303373F">#REF!,#REF!</definedName>
    <definedName name="A2303373F_Data">#REF!</definedName>
    <definedName name="A2303373F_Latest">#REF!</definedName>
    <definedName name="A2303375K">#REF!,#REF!</definedName>
    <definedName name="A2303375K_Data">#REF!</definedName>
    <definedName name="A2303375K_Latest">#REF!</definedName>
    <definedName name="A2303377R">#REF!,#REF!</definedName>
    <definedName name="A2303377R_Data">#REF!</definedName>
    <definedName name="A2303377R_Latest">#REF!</definedName>
    <definedName name="A2303379V">#REF!,#REF!</definedName>
    <definedName name="A2303379V_Data">#REF!</definedName>
    <definedName name="A2303379V_Latest">#REF!</definedName>
    <definedName name="A2303381F">#REF!,#REF!</definedName>
    <definedName name="A2303381F_Data">#REF!</definedName>
    <definedName name="A2303381F_Latest">#REF!</definedName>
    <definedName name="A2303383K">#REF!,#REF!</definedName>
    <definedName name="A2303383K_Data">#REF!</definedName>
    <definedName name="A2303383K_Latest">#REF!</definedName>
    <definedName name="A2303385R">#REF!,#REF!</definedName>
    <definedName name="A2303385R_Data">#REF!</definedName>
    <definedName name="A2303385R_Latest">#REF!</definedName>
    <definedName name="A2303387V">#REF!,#REF!</definedName>
    <definedName name="A2303387V_Data">#REF!</definedName>
    <definedName name="A2303387V_Latest">#REF!</definedName>
    <definedName name="A2303389X">#REF!,#REF!</definedName>
    <definedName name="A2303389X_Data">#REF!</definedName>
    <definedName name="A2303389X_Latest">#REF!</definedName>
    <definedName name="A2303393R">#REF!,#REF!</definedName>
    <definedName name="A2303393R_Data">#REF!</definedName>
    <definedName name="A2303393R_Latest">#REF!</definedName>
    <definedName name="A2303395V">#REF!,#REF!</definedName>
    <definedName name="A2303395V_Data">#REF!</definedName>
    <definedName name="A2303395V_Latest">#REF!</definedName>
    <definedName name="A2303397X">#REF!,#REF!</definedName>
    <definedName name="A2303397X_Data">#REF!</definedName>
    <definedName name="A2303397X_Latest">#REF!</definedName>
    <definedName name="A2303399C">#REF!,#REF!</definedName>
    <definedName name="A2303399C_Data">#REF!</definedName>
    <definedName name="A2303399C_Latest">#REF!</definedName>
    <definedName name="A2303403J">#REF!,#REF!</definedName>
    <definedName name="A2303403J_Data">#REF!</definedName>
    <definedName name="A2303403J_Latest">#REF!</definedName>
    <definedName name="A2303405L">#REF!,#REF!</definedName>
    <definedName name="A2303405L_Data">#REF!</definedName>
    <definedName name="A2303405L_Latest">#REF!</definedName>
    <definedName name="A2303407T">#REF!,#REF!</definedName>
    <definedName name="A2303407T_Data">#REF!</definedName>
    <definedName name="A2303407T_Latest">#REF!</definedName>
    <definedName name="A2303409W">#REF!,#REF!</definedName>
    <definedName name="A2303409W_Data">#REF!</definedName>
    <definedName name="A2303409W_Latest">#REF!</definedName>
    <definedName name="A2303411J">#REF!,#REF!</definedName>
    <definedName name="A2303411J_Data">#REF!</definedName>
    <definedName name="A2303411J_Latest">#REF!</definedName>
    <definedName name="A2303469X">#REF!,#REF!</definedName>
    <definedName name="A2303469X_Data">#REF!</definedName>
    <definedName name="A2303469X_Latest">#REF!</definedName>
    <definedName name="A2303471K">#REF!,#REF!</definedName>
    <definedName name="A2303471K_Data">#REF!</definedName>
    <definedName name="A2303471K_Latest">#REF!</definedName>
    <definedName name="A2303548W">#REF!,#REF!</definedName>
    <definedName name="A2303548W_Data">#REF!</definedName>
    <definedName name="A2303548W_Latest">#REF!</definedName>
    <definedName name="A2303552L">#REF!,#REF!</definedName>
    <definedName name="A2303552L_Data">#REF!</definedName>
    <definedName name="A2303552L_Latest">#REF!</definedName>
    <definedName name="A2303554T">#REF!,#REF!</definedName>
    <definedName name="A2303554T_Data">#REF!</definedName>
    <definedName name="A2303554T_Latest">#REF!</definedName>
    <definedName name="A2303556W">#REF!,#REF!</definedName>
    <definedName name="A2303556W_Data">#REF!</definedName>
    <definedName name="A2303556W_Latest">#REF!</definedName>
    <definedName name="A2303560L">#REF!,#REF!</definedName>
    <definedName name="A2303560L_Data">#REF!</definedName>
    <definedName name="A2303560L_Latest">#REF!</definedName>
    <definedName name="A2303562T">#REF!,#REF!</definedName>
    <definedName name="A2303562T_Data">#REF!</definedName>
    <definedName name="A2303562T_Latest">#REF!</definedName>
    <definedName name="A2303564W">#REF!,#REF!</definedName>
    <definedName name="A2303564W_Data">#REF!</definedName>
    <definedName name="A2303564W_Latest">#REF!</definedName>
    <definedName name="A2303566A">#REF!,#REF!</definedName>
    <definedName name="A2303566A_Data">#REF!</definedName>
    <definedName name="A2303566A_Latest">#REF!</definedName>
    <definedName name="A2303570T">#REF!,#REF!</definedName>
    <definedName name="A2303570T_Data">#REF!</definedName>
    <definedName name="A2303570T_Latest">#REF!</definedName>
    <definedName name="A2303572W">#REF!,#REF!</definedName>
    <definedName name="A2303572W_Data">#REF!</definedName>
    <definedName name="A2303572W_Latest">#REF!</definedName>
    <definedName name="A2303574A">#REF!,#REF!</definedName>
    <definedName name="A2303574A_Data">#REF!</definedName>
    <definedName name="A2303574A_Latest">#REF!</definedName>
    <definedName name="A2303576F">#REF!,#REF!</definedName>
    <definedName name="A2303576F_Data">#REF!</definedName>
    <definedName name="A2303576F_Latest">#REF!</definedName>
    <definedName name="A2303578K">#REF!,#REF!</definedName>
    <definedName name="A2303578K_Data">#REF!</definedName>
    <definedName name="A2303578K_Latest">#REF!</definedName>
    <definedName name="A2303599W">#REF!,#REF!</definedName>
    <definedName name="A2303599W_Data">#REF!</definedName>
    <definedName name="A2303599W_Latest">#REF!</definedName>
    <definedName name="A2303601W">#REF!,#REF!</definedName>
    <definedName name="A2303601W_Data">#REF!</definedName>
    <definedName name="A2303601W_Latest">#REF!</definedName>
    <definedName name="A2303678V">#REF!,#REF!</definedName>
    <definedName name="A2303678V_Data">#REF!</definedName>
    <definedName name="A2303678V_Latest">#REF!</definedName>
    <definedName name="A2304030W">#REF!,#REF!</definedName>
    <definedName name="A2304030W_Data">#REF!</definedName>
    <definedName name="A2304030W_Latest">#REF!</definedName>
    <definedName name="A2304322X">#REF!,#REF!</definedName>
    <definedName name="A2304322X_Data">#REF!</definedName>
    <definedName name="A2304322X_Latest">#REF!</definedName>
    <definedName name="A2304334J">#REF!,#REF!</definedName>
    <definedName name="A2304334J_Data">#REF!</definedName>
    <definedName name="A2304334J_Latest">#REF!</definedName>
    <definedName name="A2304350J">#REF!,#REF!</definedName>
    <definedName name="A2304350J_Data">#REF!</definedName>
    <definedName name="A2304350J_Latest">#REF!</definedName>
    <definedName name="A2304370T">#REF!,#REF!</definedName>
    <definedName name="A2304370T_Data">#REF!</definedName>
    <definedName name="A2304370T_Latest">#REF!</definedName>
    <definedName name="A2304386K">#REF!,#REF!</definedName>
    <definedName name="A2304386K_Data">#REF!</definedName>
    <definedName name="A2304386K_Latest">#REF!</definedName>
    <definedName name="A2304402X">#REF!,#REF!</definedName>
    <definedName name="A2304402X_Data">#REF!</definedName>
    <definedName name="A2304402X_Latest">#REF!</definedName>
    <definedName name="A2304418T">#REF!,#REF!</definedName>
    <definedName name="A2304418T_Data">#REF!</definedName>
    <definedName name="A2304418T_Latest">#REF!</definedName>
    <definedName name="A2323348A">#REF!,#REF!</definedName>
    <definedName name="A2323348A_Data">#REF!</definedName>
    <definedName name="A2323348A_Latest">#REF!</definedName>
    <definedName name="A2323349C">#REF!,#REF!</definedName>
    <definedName name="A2323349C_Data">#REF!</definedName>
    <definedName name="A2323349C_Latest">#REF!</definedName>
    <definedName name="A2323350L">#REF!,#REF!</definedName>
    <definedName name="A2323350L_Data">#REF!</definedName>
    <definedName name="A2323350L_Latest">#REF!</definedName>
    <definedName name="A2323352T">#REF!,#REF!</definedName>
    <definedName name="A2323352T_Data">#REF!</definedName>
    <definedName name="A2323352T_Latest">#REF!</definedName>
    <definedName name="A2323353V">#REF!,#REF!</definedName>
    <definedName name="A2323353V_Data">#REF!</definedName>
    <definedName name="A2323353V_Latest">#REF!</definedName>
    <definedName name="A2323355X">#REF!,#REF!</definedName>
    <definedName name="A2323355X_Data">#REF!</definedName>
    <definedName name="A2323355X_Latest">#REF!</definedName>
    <definedName name="A2323358F">#REF!,#REF!</definedName>
    <definedName name="A2323358F_Data">#REF!</definedName>
    <definedName name="A2323358F_Latest">#REF!</definedName>
    <definedName name="A2323369L">#REF!,#REF!</definedName>
    <definedName name="A2323369L_Data">#REF!</definedName>
    <definedName name="A2323369L_Latest">#REF!</definedName>
    <definedName name="A2323370W">#REF!,#REF!</definedName>
    <definedName name="A2323370W_Data">#REF!</definedName>
    <definedName name="A2323370W_Latest">#REF!</definedName>
    <definedName name="A2323372A">#REF!,#REF!</definedName>
    <definedName name="A2323372A_Data">#REF!</definedName>
    <definedName name="A2323372A_Latest">#REF!</definedName>
    <definedName name="A2323374F">#REF!,#REF!</definedName>
    <definedName name="A2323374F_Data">#REF!</definedName>
    <definedName name="A2323374F_Latest">#REF!</definedName>
    <definedName name="A2323376K">#REF!,#REF!</definedName>
    <definedName name="A2323376K_Data">#REF!</definedName>
    <definedName name="A2323376K_Latest">#REF!</definedName>
    <definedName name="A2323378R">#REF!,#REF!</definedName>
    <definedName name="A2323378R_Data">#REF!</definedName>
    <definedName name="A2323378R_Latest">#REF!</definedName>
    <definedName name="A2529206X">#REF!,#REF!</definedName>
    <definedName name="A2529206X_Data">#REF!</definedName>
    <definedName name="A2529206X_Latest">#REF!</definedName>
    <definedName name="A2529207A">#REF!,#REF!</definedName>
    <definedName name="A2529207A_Data">#REF!</definedName>
    <definedName name="A2529207A_Latest">#REF!</definedName>
    <definedName name="A2529209F">#REF!,#REF!</definedName>
    <definedName name="A2529209F_Data">#REF!</definedName>
    <definedName name="A2529209F_Latest">#REF!</definedName>
    <definedName name="A2529210R">#REF!,#REF!</definedName>
    <definedName name="A2529210R_Data">#REF!</definedName>
    <definedName name="A2529210R_Latest">#REF!</definedName>
    <definedName name="A2529212V">#REF!,#REF!</definedName>
    <definedName name="A2529212V_Data">#REF!</definedName>
    <definedName name="A2529212V_Latest">#REF!</definedName>
    <definedName name="A2529213W">#REF!,#REF!</definedName>
    <definedName name="A2529213W_Data">#REF!</definedName>
    <definedName name="A2529213W_Latest">#REF!</definedName>
    <definedName name="A2529214X">#REF!,#REF!</definedName>
    <definedName name="A2529214X_Data">#REF!</definedName>
    <definedName name="A2529214X_Latest">#REF!</definedName>
    <definedName name="A2716003C">#REF!,#REF!</definedName>
    <definedName name="A2716003C_Data">#REF!</definedName>
    <definedName name="A2716003C_Latest">#REF!</definedName>
    <definedName name="A2716004F">#REF!,#REF!</definedName>
    <definedName name="A2716004F_Data">#REF!</definedName>
    <definedName name="A2716004F_Latest">#REF!</definedName>
    <definedName name="A2716005J">#REF!,#REF!</definedName>
    <definedName name="A2716005J_Data">#REF!</definedName>
    <definedName name="A2716005J_Latest">#REF!</definedName>
    <definedName name="A2716006K">#REF!,#REF!</definedName>
    <definedName name="A2716006K_Data">#REF!</definedName>
    <definedName name="A2716006K_Latest">#REF!</definedName>
    <definedName name="A2716007L">#REF!,#REF!</definedName>
    <definedName name="A2716007L_Data">#REF!</definedName>
    <definedName name="A2716007L_Latest">#REF!</definedName>
    <definedName name="A2716008R">#REF!,#REF!</definedName>
    <definedName name="A2716008R_Data">#REF!</definedName>
    <definedName name="A2716008R_Latest">#REF!</definedName>
    <definedName name="A2716009T">#REF!,#REF!</definedName>
    <definedName name="A2716009T_Data">#REF!</definedName>
    <definedName name="A2716009T_Latest">#REF!</definedName>
    <definedName name="A2716010A">#REF!,#REF!</definedName>
    <definedName name="A2716010A_Data">#REF!</definedName>
    <definedName name="A2716010A_Latest">#REF!</definedName>
    <definedName name="A2716011C">#REF!,#REF!</definedName>
    <definedName name="A2716011C_Data">#REF!</definedName>
    <definedName name="A2716011C_Latest">#REF!</definedName>
    <definedName name="A2716012F">#REF!,#REF!</definedName>
    <definedName name="A2716012F_Data">#REF!</definedName>
    <definedName name="A2716012F_Latest">#REF!</definedName>
    <definedName name="A2716013J">#REF!,#REF!</definedName>
    <definedName name="A2716013J_Data">#REF!</definedName>
    <definedName name="A2716013J_Latest">#REF!</definedName>
    <definedName name="A2716014K">#REF!,#REF!</definedName>
    <definedName name="A2716014K_Data">#REF!</definedName>
    <definedName name="A2716014K_Latest">#REF!</definedName>
    <definedName name="A2716015L">#REF!,#REF!</definedName>
    <definedName name="A2716015L_Data">#REF!</definedName>
    <definedName name="A2716015L_Latest">#REF!</definedName>
    <definedName name="A2716016R">#REF!,#REF!</definedName>
    <definedName name="A2716016R_Data">#REF!</definedName>
    <definedName name="A2716016R_Latest">#REF!</definedName>
    <definedName name="A2716017T">#REF!,#REF!</definedName>
    <definedName name="A2716017T_Data">#REF!</definedName>
    <definedName name="A2716017T_Latest">#REF!</definedName>
    <definedName name="A2716018V">#REF!,#REF!</definedName>
    <definedName name="A2716018V_Data">#REF!</definedName>
    <definedName name="A2716018V_Latest">#REF!</definedName>
    <definedName name="A2716019W">#REF!,#REF!</definedName>
    <definedName name="A2716019W_Data">#REF!</definedName>
    <definedName name="A2716019W_Latest">#REF!</definedName>
    <definedName name="A2716020F">#REF!,#REF!</definedName>
    <definedName name="A2716020F_Data">#REF!</definedName>
    <definedName name="A2716020F_Latest">#REF!</definedName>
    <definedName name="A2716021J">#REF!,#REF!</definedName>
    <definedName name="A2716021J_Data">#REF!</definedName>
    <definedName name="A2716021J_Latest">#REF!</definedName>
    <definedName name="A2716040R">#REF!,#REF!</definedName>
    <definedName name="A2716040R_Data">#REF!</definedName>
    <definedName name="A2716040R_Latest">#REF!</definedName>
    <definedName name="A2716041T">#REF!,#REF!</definedName>
    <definedName name="A2716041T_Data">#REF!</definedName>
    <definedName name="A2716041T_Latest">#REF!</definedName>
    <definedName name="A2716042V">#REF!,#REF!</definedName>
    <definedName name="A2716042V_Data">#REF!</definedName>
    <definedName name="A2716042V_Latest">#REF!</definedName>
    <definedName name="A2716043W">#REF!,#REF!</definedName>
    <definedName name="A2716043W_Data">#REF!</definedName>
    <definedName name="A2716043W_Latest">#REF!</definedName>
    <definedName name="A2716044X">#REF!,#REF!</definedName>
    <definedName name="A2716044X_Data">#REF!</definedName>
    <definedName name="A2716044X_Latest">#REF!</definedName>
    <definedName name="A2716045A">#REF!,#REF!</definedName>
    <definedName name="A2716045A_Data">#REF!</definedName>
    <definedName name="A2716045A_Latest">#REF!</definedName>
    <definedName name="A2716046C">#REF!,#REF!</definedName>
    <definedName name="A2716046C_Data">#REF!</definedName>
    <definedName name="A2716046C_Latest">#REF!</definedName>
    <definedName name="A2716047F">#REF!,#REF!</definedName>
    <definedName name="A2716047F_Data">#REF!</definedName>
    <definedName name="A2716047F_Latest">#REF!</definedName>
    <definedName name="A2716048J">#REF!,#REF!</definedName>
    <definedName name="A2716048J_Data">#REF!</definedName>
    <definedName name="A2716048J_Latest">#REF!</definedName>
    <definedName name="A2716049K">#REF!,#REF!</definedName>
    <definedName name="A2716049K_Data">#REF!</definedName>
    <definedName name="A2716049K_Latest">#REF!</definedName>
    <definedName name="A2716051W">#REF!,#REF!</definedName>
    <definedName name="A2716051W_Data">#REF!</definedName>
    <definedName name="A2716051W_Latest">#REF!</definedName>
    <definedName name="A2716055F">#REF!,#REF!</definedName>
    <definedName name="A2716055F_Data">#REF!</definedName>
    <definedName name="A2716055F_Latest">#REF!</definedName>
    <definedName name="A2716056J">#REF!,#REF!</definedName>
    <definedName name="A2716056J_Data">#REF!</definedName>
    <definedName name="A2716056J_Latest">#REF!</definedName>
    <definedName name="A2716057K">#REF!,#REF!</definedName>
    <definedName name="A2716057K_Data">#REF!</definedName>
    <definedName name="A2716057K_Latest">#REF!</definedName>
    <definedName name="A2716058L">#REF!,#REF!</definedName>
    <definedName name="A2716058L_Data">#REF!</definedName>
    <definedName name="A2716058L_Latest">#REF!</definedName>
    <definedName name="A2716059R">#REF!,#REF!</definedName>
    <definedName name="A2716059R_Data">#REF!</definedName>
    <definedName name="A2716059R_Latest">#REF!</definedName>
    <definedName name="A2716060X">#REF!,#REF!</definedName>
    <definedName name="A2716060X_Data">#REF!</definedName>
    <definedName name="A2716060X_Latest">#REF!</definedName>
    <definedName name="A2716061A">#REF!,#REF!</definedName>
    <definedName name="A2716061A_Data">#REF!</definedName>
    <definedName name="A2716061A_Latest">#REF!</definedName>
    <definedName name="A2716062C">#REF!,#REF!</definedName>
    <definedName name="A2716062C_Data">#REF!</definedName>
    <definedName name="A2716062C_Latest">#REF!</definedName>
    <definedName name="A2716063F">#REF!,#REF!</definedName>
    <definedName name="A2716063F_Data">#REF!</definedName>
    <definedName name="A2716063F_Latest">#REF!</definedName>
    <definedName name="A2716064J">#REF!,#REF!</definedName>
    <definedName name="A2716064J_Data">#REF!</definedName>
    <definedName name="A2716064J_Latest">#REF!</definedName>
    <definedName name="A2716067R">#REF!,#REF!</definedName>
    <definedName name="A2716067R_Data">#REF!</definedName>
    <definedName name="A2716067R_Latest">#REF!</definedName>
    <definedName name="A2716068T">#REF!,#REF!</definedName>
    <definedName name="A2716068T_Data">#REF!</definedName>
    <definedName name="A2716068T_Latest">#REF!</definedName>
    <definedName name="A2716069V">#REF!,#REF!</definedName>
    <definedName name="A2716069V_Data">#REF!</definedName>
    <definedName name="A2716069V_Latest">#REF!</definedName>
    <definedName name="A2716070C">#REF!,#REF!</definedName>
    <definedName name="A2716070C_Data">#REF!</definedName>
    <definedName name="A2716070C_Latest">#REF!</definedName>
    <definedName name="A2716071F">#REF!,#REF!</definedName>
    <definedName name="A2716071F_Data">#REF!</definedName>
    <definedName name="A2716071F_Latest">#REF!</definedName>
    <definedName name="A2716072J">#REF!,#REF!</definedName>
    <definedName name="A2716072J_Data">#REF!</definedName>
    <definedName name="A2716072J_Latest">#REF!</definedName>
    <definedName name="A2716073K">#REF!,#REF!</definedName>
    <definedName name="A2716073K_Data">#REF!</definedName>
    <definedName name="A2716073K_Latest">#REF!</definedName>
    <definedName name="A2716074L">#REF!,#REF!</definedName>
    <definedName name="A2716074L_Data">#REF!</definedName>
    <definedName name="A2716074L_Latest">#REF!</definedName>
    <definedName name="A2716075R">#REF!,#REF!</definedName>
    <definedName name="A2716075R_Data">#REF!</definedName>
    <definedName name="A2716075R_Latest">#REF!</definedName>
    <definedName name="A2716076T">#REF!,#REF!</definedName>
    <definedName name="A2716076T_Data">#REF!</definedName>
    <definedName name="A2716076T_Latest">#REF!</definedName>
    <definedName name="A2716077V">#REF!,#REF!</definedName>
    <definedName name="A2716077V_Data">#REF!</definedName>
    <definedName name="A2716077V_Latest">#REF!</definedName>
    <definedName name="A2716120R">#REF!,#REF!</definedName>
    <definedName name="A2716120R_Data">#REF!</definedName>
    <definedName name="A2716120R_Latest">#REF!</definedName>
    <definedName name="A2716121T">#REF!,#REF!</definedName>
    <definedName name="A2716121T_Data">#REF!</definedName>
    <definedName name="A2716121T_Latest">#REF!</definedName>
    <definedName name="A2716122V">#REF!,#REF!</definedName>
    <definedName name="A2716122V_Data">#REF!</definedName>
    <definedName name="A2716122V_Latest">#REF!</definedName>
    <definedName name="A2716123W">#REF!,#REF!</definedName>
    <definedName name="A2716123W_Data">#REF!</definedName>
    <definedName name="A2716123W_Latest">#REF!</definedName>
    <definedName name="A2716124X">#REF!,#REF!</definedName>
    <definedName name="A2716124X_Data">#REF!</definedName>
    <definedName name="A2716124X_Latest">#REF!</definedName>
    <definedName name="A2716125A">#REF!,#REF!</definedName>
    <definedName name="A2716125A_Data">#REF!</definedName>
    <definedName name="A2716125A_Latest">#REF!</definedName>
    <definedName name="A2716126C">#REF!,#REF!</definedName>
    <definedName name="A2716126C_Data">#REF!</definedName>
    <definedName name="A2716126C_Latest">#REF!</definedName>
    <definedName name="A2716127F">#REF!,#REF!</definedName>
    <definedName name="A2716127F_Data">#REF!</definedName>
    <definedName name="A2716127F_Latest">#REF!</definedName>
    <definedName name="A2716128J">#REF!,#REF!</definedName>
    <definedName name="A2716128J_Data">#REF!</definedName>
    <definedName name="A2716128J_Latest">#REF!</definedName>
    <definedName name="A2716129K">#REF!,#REF!</definedName>
    <definedName name="A2716129K_Data">#REF!</definedName>
    <definedName name="A2716129K_Latest">#REF!</definedName>
    <definedName name="A2716131W">#REF!,#REF!</definedName>
    <definedName name="A2716131W_Data">#REF!</definedName>
    <definedName name="A2716131W_Latest">#REF!</definedName>
    <definedName name="A2716135F">#REF!,#REF!</definedName>
    <definedName name="A2716135F_Data">#REF!</definedName>
    <definedName name="A2716135F_Latest">#REF!</definedName>
    <definedName name="A2716136J">#REF!,#REF!</definedName>
    <definedName name="A2716136J_Data">#REF!</definedName>
    <definedName name="A2716136J_Latest">#REF!</definedName>
    <definedName name="A2716137K">#REF!,#REF!</definedName>
    <definedName name="A2716137K_Data">#REF!</definedName>
    <definedName name="A2716137K_Latest">#REF!</definedName>
    <definedName name="A2716138L">#REF!,#REF!</definedName>
    <definedName name="A2716138L_Data">#REF!</definedName>
    <definedName name="A2716138L_Latest">#REF!</definedName>
    <definedName name="A2716139R">#REF!,#REF!</definedName>
    <definedName name="A2716139R_Data">#REF!</definedName>
    <definedName name="A2716139R_Latest">#REF!</definedName>
    <definedName name="A2716140X">#REF!,#REF!</definedName>
    <definedName name="A2716140X_Data">#REF!</definedName>
    <definedName name="A2716140X_Latest">#REF!</definedName>
    <definedName name="A2716141A">#REF!,#REF!</definedName>
    <definedName name="A2716141A_Data">#REF!</definedName>
    <definedName name="A2716141A_Latest">#REF!</definedName>
    <definedName name="A2716142C">#REF!,#REF!</definedName>
    <definedName name="A2716142C_Data">#REF!</definedName>
    <definedName name="A2716142C_Latest">#REF!</definedName>
    <definedName name="A2716143F">#REF!,#REF!</definedName>
    <definedName name="A2716143F_Data">#REF!</definedName>
    <definedName name="A2716143F_Latest">#REF!</definedName>
    <definedName name="A2716144J">#REF!,#REF!</definedName>
    <definedName name="A2716144J_Data">#REF!</definedName>
    <definedName name="A2716144J_Latest">#REF!</definedName>
    <definedName name="A2716147R">#REF!,#REF!</definedName>
    <definedName name="A2716147R_Data">#REF!</definedName>
    <definedName name="A2716147R_Latest">#REF!</definedName>
    <definedName name="A2716148T">#REF!,#REF!</definedName>
    <definedName name="A2716148T_Data">#REF!</definedName>
    <definedName name="A2716148T_Latest">#REF!</definedName>
    <definedName name="A2716149V">#REF!,#REF!</definedName>
    <definedName name="A2716149V_Data">#REF!</definedName>
    <definedName name="A2716149V_Latest">#REF!</definedName>
    <definedName name="A2716150C">#REF!,#REF!</definedName>
    <definedName name="A2716150C_Data">#REF!</definedName>
    <definedName name="A2716150C_Latest">#REF!</definedName>
    <definedName name="A2716151F">#REF!,#REF!</definedName>
    <definedName name="A2716151F_Data">#REF!</definedName>
    <definedName name="A2716151F_Latest">#REF!</definedName>
    <definedName name="A2716152J">#REF!,#REF!</definedName>
    <definedName name="A2716152J_Data">#REF!</definedName>
    <definedName name="A2716152J_Latest">#REF!</definedName>
    <definedName name="A2716153K">#REF!,#REF!</definedName>
    <definedName name="A2716153K_Data">#REF!</definedName>
    <definedName name="A2716153K_Latest">#REF!</definedName>
    <definedName name="A2716154L">#REF!,#REF!</definedName>
    <definedName name="A2716154L_Data">#REF!</definedName>
    <definedName name="A2716154L_Latest">#REF!</definedName>
    <definedName name="A2716155R">#REF!,#REF!</definedName>
    <definedName name="A2716155R_Data">#REF!</definedName>
    <definedName name="A2716155R_Latest">#REF!</definedName>
    <definedName name="A2716156T">#REF!,#REF!</definedName>
    <definedName name="A2716156T_Data">#REF!</definedName>
    <definedName name="A2716156T_Latest">#REF!</definedName>
    <definedName name="A2716160J">#REF!,#REF!</definedName>
    <definedName name="A2716160J_Data">#REF!</definedName>
    <definedName name="A2716160J_Latest">#REF!</definedName>
    <definedName name="A2716161K">#REF!,#REF!</definedName>
    <definedName name="A2716161K_Data">#REF!</definedName>
    <definedName name="A2716161K_Latest">#REF!</definedName>
    <definedName name="A2716162L">#REF!,#REF!</definedName>
    <definedName name="A2716162L_Data">#REF!</definedName>
    <definedName name="A2716162L_Latest">#REF!</definedName>
    <definedName name="A2716163R">#REF!,#REF!</definedName>
    <definedName name="A2716163R_Data">#REF!</definedName>
    <definedName name="A2716163R_Latest">#REF!</definedName>
    <definedName name="A2716164T">#REF!,#REF!</definedName>
    <definedName name="A2716164T_Data">#REF!</definedName>
    <definedName name="A2716164T_Latest">#REF!</definedName>
    <definedName name="A2716165V">#REF!,#REF!</definedName>
    <definedName name="A2716165V_Data">#REF!</definedName>
    <definedName name="A2716165V_Latest">#REF!</definedName>
    <definedName name="A2716166W">#REF!,#REF!</definedName>
    <definedName name="A2716166W_Data">#REF!</definedName>
    <definedName name="A2716166W_Latest">#REF!</definedName>
    <definedName name="A2716167X">#REF!,#REF!</definedName>
    <definedName name="A2716167X_Data">#REF!</definedName>
    <definedName name="A2716167X_Latest">#REF!</definedName>
    <definedName name="A2716168A">#REF!,#REF!</definedName>
    <definedName name="A2716168A_Data">#REF!</definedName>
    <definedName name="A2716168A_Latest">#REF!</definedName>
    <definedName name="A2716169C">#REF!,#REF!</definedName>
    <definedName name="A2716169C_Data">#REF!</definedName>
    <definedName name="A2716169C_Latest">#REF!</definedName>
    <definedName name="A2716171R">#REF!,#REF!</definedName>
    <definedName name="A2716171R_Data">#REF!</definedName>
    <definedName name="A2716171R_Latest">#REF!</definedName>
    <definedName name="A2716175X">#REF!,#REF!</definedName>
    <definedName name="A2716175X_Data">#REF!</definedName>
    <definedName name="A2716175X_Latest">#REF!</definedName>
    <definedName name="A2716176A">#REF!,#REF!</definedName>
    <definedName name="A2716176A_Data">#REF!</definedName>
    <definedName name="A2716176A_Latest">#REF!</definedName>
    <definedName name="A2716177C">#REF!,#REF!</definedName>
    <definedName name="A2716177C_Data">#REF!</definedName>
    <definedName name="A2716177C_Latest">#REF!</definedName>
    <definedName name="A2716178F">#REF!,#REF!</definedName>
    <definedName name="A2716178F_Data">#REF!</definedName>
    <definedName name="A2716178F_Latest">#REF!</definedName>
    <definedName name="A2716179J">#REF!,#REF!</definedName>
    <definedName name="A2716179J_Data">#REF!</definedName>
    <definedName name="A2716179J_Latest">#REF!</definedName>
    <definedName name="A2716180T">#REF!,#REF!</definedName>
    <definedName name="A2716180T_Data">#REF!</definedName>
    <definedName name="A2716180T_Latest">#REF!</definedName>
    <definedName name="A2716181V">#REF!,#REF!</definedName>
    <definedName name="A2716181V_Data">#REF!</definedName>
    <definedName name="A2716181V_Latest">#REF!</definedName>
    <definedName name="A2716182W">#REF!,#REF!</definedName>
    <definedName name="A2716182W_Data">#REF!</definedName>
    <definedName name="A2716182W_Latest">#REF!</definedName>
    <definedName name="A2716183X">#REF!,#REF!</definedName>
    <definedName name="A2716183X_Data">#REF!</definedName>
    <definedName name="A2716183X_Latest">#REF!</definedName>
    <definedName name="A2716184A">#REF!,#REF!</definedName>
    <definedName name="A2716184A_Data">#REF!</definedName>
    <definedName name="A2716184A_Latest">#REF!</definedName>
    <definedName name="A2716187J">#REF!,#REF!</definedName>
    <definedName name="A2716187J_Data">#REF!</definedName>
    <definedName name="A2716187J_Latest">#REF!</definedName>
    <definedName name="A2716188K">#REF!,#REF!</definedName>
    <definedName name="A2716188K_Data">#REF!</definedName>
    <definedName name="A2716188K_Latest">#REF!</definedName>
    <definedName name="A2716189L">#REF!,#REF!</definedName>
    <definedName name="A2716189L_Data">#REF!</definedName>
    <definedName name="A2716189L_Latest">#REF!</definedName>
    <definedName name="A2716190W">#REF!,#REF!</definedName>
    <definedName name="A2716190W_Data">#REF!</definedName>
    <definedName name="A2716190W_Latest">#REF!</definedName>
    <definedName name="A2716191X">#REF!,#REF!</definedName>
    <definedName name="A2716191X_Data">#REF!</definedName>
    <definedName name="A2716191X_Latest">#REF!</definedName>
    <definedName name="A2716192A">#REF!,#REF!</definedName>
    <definedName name="A2716192A_Data">#REF!</definedName>
    <definedName name="A2716192A_Latest">#REF!</definedName>
    <definedName name="A2716193C">#REF!,#REF!</definedName>
    <definedName name="A2716193C_Data">#REF!</definedName>
    <definedName name="A2716193C_Latest">#REF!</definedName>
    <definedName name="A2716194F">#REF!,#REF!</definedName>
    <definedName name="A2716194F_Data">#REF!</definedName>
    <definedName name="A2716194F_Latest">#REF!</definedName>
    <definedName name="A2716195J">#REF!,#REF!</definedName>
    <definedName name="A2716195J_Data">#REF!</definedName>
    <definedName name="A2716195J_Latest">#REF!</definedName>
    <definedName name="A2716196K">#REF!,#REF!</definedName>
    <definedName name="A2716196K_Data">#REF!</definedName>
    <definedName name="A2716196K_Latest">#REF!</definedName>
    <definedName name="A2716241K">#REF!,#REF!</definedName>
    <definedName name="A2716241K_Data">#REF!</definedName>
    <definedName name="A2716241K_Latest">#REF!</definedName>
    <definedName name="A2716242L">#REF!,#REF!</definedName>
    <definedName name="A2716242L_Data">#REF!</definedName>
    <definedName name="A2716242L_Latest">#REF!</definedName>
    <definedName name="A2716243R">#REF!,#REF!</definedName>
    <definedName name="A2716243R_Data">#REF!</definedName>
    <definedName name="A2716243R_Latest">#REF!</definedName>
    <definedName name="A2716244T">#REF!,#REF!</definedName>
    <definedName name="A2716244T_Data">#REF!</definedName>
    <definedName name="A2716244T_Latest">#REF!</definedName>
    <definedName name="A2716245V">#REF!,#REF!</definedName>
    <definedName name="A2716245V_Data">#REF!</definedName>
    <definedName name="A2716245V_Latest">#REF!</definedName>
    <definedName name="A2716246W">#REF!,#REF!</definedName>
    <definedName name="A2716246W_Data">#REF!</definedName>
    <definedName name="A2716246W_Latest">#REF!</definedName>
    <definedName name="A2716247X">#REF!,#REF!</definedName>
    <definedName name="A2716247X_Data">#REF!</definedName>
    <definedName name="A2716247X_Latest">#REF!</definedName>
    <definedName name="A2716248A">#REF!,#REF!</definedName>
    <definedName name="A2716248A_Data">#REF!</definedName>
    <definedName name="A2716248A_Latest">#REF!</definedName>
    <definedName name="A2716249C">#REF!,#REF!</definedName>
    <definedName name="A2716249C_Data">#REF!</definedName>
    <definedName name="A2716249C_Latest">#REF!</definedName>
    <definedName name="A2716250L">#REF!,#REF!</definedName>
    <definedName name="A2716250L_Data">#REF!</definedName>
    <definedName name="A2716250L_Latest">#REF!</definedName>
    <definedName name="A2716252T">#REF!,#REF!</definedName>
    <definedName name="A2716252T_Data">#REF!</definedName>
    <definedName name="A2716252T_Latest">#REF!</definedName>
    <definedName name="A2716256A">#REF!,#REF!</definedName>
    <definedName name="A2716256A_Data">#REF!</definedName>
    <definedName name="A2716256A_Latest">#REF!</definedName>
    <definedName name="A2716257C">#REF!,#REF!</definedName>
    <definedName name="A2716257C_Data">#REF!</definedName>
    <definedName name="A2716257C_Latest">#REF!</definedName>
    <definedName name="A2716258F">#REF!,#REF!</definedName>
    <definedName name="A2716258F_Data">#REF!</definedName>
    <definedName name="A2716258F_Latest">#REF!</definedName>
    <definedName name="A2716259J">#REF!,#REF!</definedName>
    <definedName name="A2716259J_Data">#REF!</definedName>
    <definedName name="A2716259J_Latest">#REF!</definedName>
    <definedName name="A2716260T">#REF!,#REF!</definedName>
    <definedName name="A2716260T_Data">#REF!</definedName>
    <definedName name="A2716260T_Latest">#REF!</definedName>
    <definedName name="A2716261V">#REF!,#REF!</definedName>
    <definedName name="A2716261V_Data">#REF!</definedName>
    <definedName name="A2716261V_Latest">#REF!</definedName>
    <definedName name="A2716262W">#REF!,#REF!</definedName>
    <definedName name="A2716262W_Data">#REF!</definedName>
    <definedName name="A2716262W_Latest">#REF!</definedName>
    <definedName name="A2716263X">#REF!,#REF!</definedName>
    <definedName name="A2716263X_Data">#REF!</definedName>
    <definedName name="A2716263X_Latest">#REF!</definedName>
    <definedName name="A2716264A">#REF!,#REF!</definedName>
    <definedName name="A2716264A_Data">#REF!</definedName>
    <definedName name="A2716264A_Latest">#REF!</definedName>
    <definedName name="A2716265C">#REF!,#REF!</definedName>
    <definedName name="A2716265C_Data">#REF!</definedName>
    <definedName name="A2716265C_Latest">#REF!</definedName>
    <definedName name="A2716268K">#REF!,#REF!</definedName>
    <definedName name="A2716268K_Data">#REF!</definedName>
    <definedName name="A2716268K_Latest">#REF!</definedName>
    <definedName name="A2716269L">#REF!,#REF!</definedName>
    <definedName name="A2716269L_Data">#REF!</definedName>
    <definedName name="A2716269L_Latest">#REF!</definedName>
    <definedName name="A2716270W">#REF!,#REF!</definedName>
    <definedName name="A2716270W_Data">#REF!</definedName>
    <definedName name="A2716270W_Latest">#REF!</definedName>
    <definedName name="A2716271X">#REF!,#REF!</definedName>
    <definedName name="A2716271X_Data">#REF!</definedName>
    <definedName name="A2716271X_Latest">#REF!</definedName>
    <definedName name="A2716272A">#REF!,#REF!</definedName>
    <definedName name="A2716272A_Data">#REF!</definedName>
    <definedName name="A2716272A_Latest">#REF!</definedName>
    <definedName name="A2716273C">#REF!,#REF!</definedName>
    <definedName name="A2716273C_Data">#REF!</definedName>
    <definedName name="A2716273C_Latest">#REF!</definedName>
    <definedName name="A2716274F">#REF!,#REF!</definedName>
    <definedName name="A2716274F_Data">#REF!</definedName>
    <definedName name="A2716274F_Latest">#REF!</definedName>
    <definedName name="A2716275J">#REF!,#REF!</definedName>
    <definedName name="A2716275J_Data">#REF!</definedName>
    <definedName name="A2716275J_Latest">#REF!</definedName>
    <definedName name="A2716276K">#REF!,#REF!</definedName>
    <definedName name="A2716276K_Data">#REF!</definedName>
    <definedName name="A2716276K_Latest">#REF!</definedName>
    <definedName name="A2716277L">#REF!,#REF!</definedName>
    <definedName name="A2716277L_Data">#REF!</definedName>
    <definedName name="A2716277L_Latest">#REF!</definedName>
    <definedName name="A2716278R">#REF!,#REF!</definedName>
    <definedName name="A2716278R_Data">#REF!</definedName>
    <definedName name="A2716278R_Latest">#REF!</definedName>
    <definedName name="A2716298X">#REF!,#REF!</definedName>
    <definedName name="A2716298X_Data">#REF!</definedName>
    <definedName name="A2716298X_Latest">#REF!</definedName>
    <definedName name="A2716299A">#REF!,#REF!</definedName>
    <definedName name="A2716299A_Data">#REF!</definedName>
    <definedName name="A2716299A_Latest">#REF!</definedName>
    <definedName name="A2716300X">#REF!,#REF!</definedName>
    <definedName name="A2716300X_Data">#REF!</definedName>
    <definedName name="A2716300X_Latest">#REF!</definedName>
    <definedName name="A2716301A">#REF!,#REF!</definedName>
    <definedName name="A2716301A_Data">#REF!</definedName>
    <definedName name="A2716301A_Latest">#REF!</definedName>
    <definedName name="A2716302C">#REF!,#REF!</definedName>
    <definedName name="A2716302C_Data">#REF!</definedName>
    <definedName name="A2716302C_Latest">#REF!</definedName>
    <definedName name="A2716303F">#REF!,#REF!</definedName>
    <definedName name="A2716303F_Data">#REF!</definedName>
    <definedName name="A2716303F_Latest">#REF!</definedName>
    <definedName name="A2716304J">#REF!,#REF!</definedName>
    <definedName name="A2716304J_Data">#REF!</definedName>
    <definedName name="A2716304J_Latest">#REF!</definedName>
    <definedName name="A2716305K">#REF!,#REF!</definedName>
    <definedName name="A2716305K_Data">#REF!</definedName>
    <definedName name="A2716305K_Latest">#REF!</definedName>
    <definedName name="A2716306L">#REF!,#REF!</definedName>
    <definedName name="A2716306L_Data">#REF!</definedName>
    <definedName name="A2716306L_Latest">#REF!</definedName>
    <definedName name="A2716307R">#REF!,#REF!</definedName>
    <definedName name="A2716307R_Data">#REF!</definedName>
    <definedName name="A2716307R_Latest">#REF!</definedName>
    <definedName name="A2716309V">#REF!,#REF!</definedName>
    <definedName name="A2716309V_Data">#REF!</definedName>
    <definedName name="A2716309V_Latest">#REF!</definedName>
    <definedName name="A2716313K">#REF!,#REF!</definedName>
    <definedName name="A2716313K_Data">#REF!</definedName>
    <definedName name="A2716313K_Latest">#REF!</definedName>
    <definedName name="A2716314L">#REF!,#REF!</definedName>
    <definedName name="A2716314L_Data">#REF!</definedName>
    <definedName name="A2716314L_Latest">#REF!</definedName>
    <definedName name="A2716315R">#REF!,#REF!</definedName>
    <definedName name="A2716315R_Data">#REF!</definedName>
    <definedName name="A2716315R_Latest">#REF!</definedName>
    <definedName name="A2716316T">#REF!,#REF!</definedName>
    <definedName name="A2716316T_Data">#REF!</definedName>
    <definedName name="A2716316T_Latest">#REF!</definedName>
    <definedName name="A2716317V">#REF!,#REF!</definedName>
    <definedName name="A2716317V_Data">#REF!</definedName>
    <definedName name="A2716317V_Latest">#REF!</definedName>
    <definedName name="A2716318W">#REF!,#REF!</definedName>
    <definedName name="A2716318W_Data">#REF!</definedName>
    <definedName name="A2716318W_Latest">#REF!</definedName>
    <definedName name="A2716319X">#REF!,#REF!</definedName>
    <definedName name="A2716319X_Data">#REF!</definedName>
    <definedName name="A2716319X_Latest">#REF!</definedName>
    <definedName name="A2716320J">#REF!,#REF!</definedName>
    <definedName name="A2716320J_Data">#REF!</definedName>
    <definedName name="A2716320J_Latest">#REF!</definedName>
    <definedName name="A2716321K">#REF!,#REF!</definedName>
    <definedName name="A2716321K_Data">#REF!</definedName>
    <definedName name="A2716321K_Latest">#REF!</definedName>
    <definedName name="A2716322L">#REF!,#REF!</definedName>
    <definedName name="A2716322L_Data">#REF!</definedName>
    <definedName name="A2716322L_Latest">#REF!</definedName>
    <definedName name="A2716325V">#REF!,#REF!</definedName>
    <definedName name="A2716325V_Data">#REF!</definedName>
    <definedName name="A2716325V_Latest">#REF!</definedName>
    <definedName name="A2716326W">#REF!,#REF!</definedName>
    <definedName name="A2716326W_Data">#REF!</definedName>
    <definedName name="A2716326W_Latest">#REF!</definedName>
    <definedName name="A2716327X">#REF!,#REF!</definedName>
    <definedName name="A2716327X_Data">#REF!</definedName>
    <definedName name="A2716327X_Latest">#REF!</definedName>
    <definedName name="A2716328A">#REF!,#REF!</definedName>
    <definedName name="A2716328A_Data">#REF!</definedName>
    <definedName name="A2716328A_Latest">#REF!</definedName>
    <definedName name="A2716329C">#REF!,#REF!</definedName>
    <definedName name="A2716329C_Data">#REF!</definedName>
    <definedName name="A2716329C_Latest">#REF!</definedName>
    <definedName name="A2716330L">#REF!,#REF!</definedName>
    <definedName name="A2716330L_Data">#REF!</definedName>
    <definedName name="A2716330L_Latest">#REF!</definedName>
    <definedName name="A2716331R">#REF!,#REF!</definedName>
    <definedName name="A2716331R_Data">#REF!</definedName>
    <definedName name="A2716331R_Latest">#REF!</definedName>
    <definedName name="A2716332T">#REF!,#REF!</definedName>
    <definedName name="A2716332T_Data">#REF!</definedName>
    <definedName name="A2716332T_Latest">#REF!</definedName>
    <definedName name="A2716333V">#REF!,#REF!</definedName>
    <definedName name="A2716333V_Data">#REF!</definedName>
    <definedName name="A2716333V_Latest">#REF!</definedName>
    <definedName name="A2716334W">#REF!,#REF!</definedName>
    <definedName name="A2716334W_Data">#REF!</definedName>
    <definedName name="A2716334W_Latest">#REF!</definedName>
    <definedName name="A2716335X">#REF!,#REF!</definedName>
    <definedName name="A2716335X_Data">#REF!</definedName>
    <definedName name="A2716335X_Latest">#REF!</definedName>
    <definedName name="A2716378X">#REF!,#REF!</definedName>
    <definedName name="A2716378X_Data">#REF!</definedName>
    <definedName name="A2716378X_Latest">#REF!</definedName>
    <definedName name="A2716379A">#REF!,#REF!</definedName>
    <definedName name="A2716379A_Data">#REF!</definedName>
    <definedName name="A2716379A_Latest">#REF!</definedName>
    <definedName name="A2716380K">#REF!,#REF!</definedName>
    <definedName name="A2716380K_Data">#REF!</definedName>
    <definedName name="A2716380K_Latest">#REF!</definedName>
    <definedName name="A2716381L">#REF!,#REF!</definedName>
    <definedName name="A2716381L_Data">#REF!</definedName>
    <definedName name="A2716381L_Latest">#REF!</definedName>
    <definedName name="A2716382R">#REF!,#REF!</definedName>
    <definedName name="A2716382R_Data">#REF!</definedName>
    <definedName name="A2716382R_Latest">#REF!</definedName>
    <definedName name="A2716383T">#REF!,#REF!</definedName>
    <definedName name="A2716383T_Data">#REF!</definedName>
    <definedName name="A2716383T_Latest">#REF!</definedName>
    <definedName name="A2716384V">#REF!,#REF!</definedName>
    <definedName name="A2716384V_Data">#REF!</definedName>
    <definedName name="A2716384V_Latest">#REF!</definedName>
    <definedName name="A2716385W">#REF!,#REF!</definedName>
    <definedName name="A2716385W_Data">#REF!</definedName>
    <definedName name="A2716385W_Latest">#REF!</definedName>
    <definedName name="A2716386X">#REF!,#REF!</definedName>
    <definedName name="A2716386X_Data">#REF!</definedName>
    <definedName name="A2716386X_Latest">#REF!</definedName>
    <definedName name="A2716387A">#REF!,#REF!</definedName>
    <definedName name="A2716387A_Data">#REF!</definedName>
    <definedName name="A2716387A_Latest">#REF!</definedName>
    <definedName name="A2716389F">#REF!,#REF!</definedName>
    <definedName name="A2716389F_Data">#REF!</definedName>
    <definedName name="A2716389F_Latest">#REF!</definedName>
    <definedName name="A2716393W">#REF!,#REF!</definedName>
    <definedName name="A2716393W_Data">#REF!</definedName>
    <definedName name="A2716393W_Latest">#REF!</definedName>
    <definedName name="A2716394X">#REF!,#REF!</definedName>
    <definedName name="A2716394X_Data">#REF!</definedName>
    <definedName name="A2716394X_Latest">#REF!</definedName>
    <definedName name="A2716395A">#REF!,#REF!</definedName>
    <definedName name="A2716395A_Data">#REF!</definedName>
    <definedName name="A2716395A_Latest">#REF!</definedName>
    <definedName name="A2716396C">#REF!,#REF!</definedName>
    <definedName name="A2716396C_Data">#REF!</definedName>
    <definedName name="A2716396C_Latest">#REF!</definedName>
    <definedName name="A2716397F">#REF!,#REF!</definedName>
    <definedName name="A2716397F_Data">#REF!</definedName>
    <definedName name="A2716397F_Latest">#REF!</definedName>
    <definedName name="A2716398J">#REF!,#REF!</definedName>
    <definedName name="A2716398J_Data">#REF!</definedName>
    <definedName name="A2716398J_Latest">#REF!</definedName>
    <definedName name="A2716399K">#REF!,#REF!</definedName>
    <definedName name="A2716399K_Data">#REF!</definedName>
    <definedName name="A2716399K_Latest">#REF!</definedName>
    <definedName name="A2716400J">#REF!,#REF!</definedName>
    <definedName name="A2716400J_Data">#REF!</definedName>
    <definedName name="A2716400J_Latest">#REF!</definedName>
    <definedName name="A2716401K">#REF!,#REF!</definedName>
    <definedName name="A2716401K_Data">#REF!</definedName>
    <definedName name="A2716401K_Latest">#REF!</definedName>
    <definedName name="A2716404T">#REF!,#REF!</definedName>
    <definedName name="A2716404T_Data">#REF!</definedName>
    <definedName name="A2716404T_Latest">#REF!</definedName>
    <definedName name="A2716405V">#REF!,#REF!</definedName>
    <definedName name="A2716405V_Data">#REF!</definedName>
    <definedName name="A2716405V_Latest">#REF!</definedName>
    <definedName name="A2716406W">#REF!,#REF!</definedName>
    <definedName name="A2716406W_Data">#REF!</definedName>
    <definedName name="A2716406W_Latest">#REF!</definedName>
    <definedName name="A2716407X">#REF!,#REF!</definedName>
    <definedName name="A2716407X_Data">#REF!</definedName>
    <definedName name="A2716407X_Latest">#REF!</definedName>
    <definedName name="A2716408A">#REF!,#REF!</definedName>
    <definedName name="A2716408A_Data">#REF!</definedName>
    <definedName name="A2716408A_Latest">#REF!</definedName>
    <definedName name="A2716409C">#REF!,#REF!</definedName>
    <definedName name="A2716409C_Data">#REF!</definedName>
    <definedName name="A2716409C_Latest">#REF!</definedName>
    <definedName name="A2716410L">#REF!,#REF!</definedName>
    <definedName name="A2716410L_Data">#REF!</definedName>
    <definedName name="A2716410L_Latest">#REF!</definedName>
    <definedName name="A2716411R">#REF!,#REF!</definedName>
    <definedName name="A2716411R_Data">#REF!</definedName>
    <definedName name="A2716411R_Latest">#REF!</definedName>
    <definedName name="A2716412T">#REF!,#REF!</definedName>
    <definedName name="A2716412T_Data">#REF!</definedName>
    <definedName name="A2716412T_Latest">#REF!</definedName>
    <definedName name="A2716413V">#REF!,#REF!</definedName>
    <definedName name="A2716413V_Data">#REF!</definedName>
    <definedName name="A2716413V_Latest">#REF!</definedName>
    <definedName name="A2716414W">#REF!,#REF!</definedName>
    <definedName name="A2716414W_Data">#REF!</definedName>
    <definedName name="A2716414W_Latest">#REF!</definedName>
    <definedName name="A2716584L">#REF!,#REF!</definedName>
    <definedName name="A2716584L_Data">#REF!</definedName>
    <definedName name="A2716584L_Latest">#REF!</definedName>
    <definedName name="A2716585R">#REF!,#REF!</definedName>
    <definedName name="A2716585R_Data">#REF!</definedName>
    <definedName name="A2716585R_Latest">#REF!</definedName>
    <definedName name="A2716587V">#REF!,#REF!</definedName>
    <definedName name="A2716587V_Data">#REF!</definedName>
    <definedName name="A2716587V_Latest">#REF!</definedName>
    <definedName name="A3348484C">#REF!,#REF!</definedName>
    <definedName name="A3348484C_Data">#REF!</definedName>
    <definedName name="A3348484C_Latest">#REF!</definedName>
    <definedName name="A3348485F">#REF!,#REF!</definedName>
    <definedName name="A3348485F_Data">#REF!</definedName>
    <definedName name="A3348485F_Latest">#REF!</definedName>
    <definedName name="A3348486J">#REF!,#REF!</definedName>
    <definedName name="A3348486J_Data">#REF!</definedName>
    <definedName name="A3348486J_Latest">#REF!</definedName>
    <definedName name="A3348487K">#REF!,#REF!</definedName>
    <definedName name="A3348487K_Data">#REF!</definedName>
    <definedName name="A3348487K_Latest">#REF!</definedName>
    <definedName name="A3348488L">#REF!,#REF!</definedName>
    <definedName name="A3348488L_Data">#REF!</definedName>
    <definedName name="A3348488L_Latest">#REF!</definedName>
    <definedName name="A3348489R">#REF!,#REF!</definedName>
    <definedName name="A3348489R_Data">#REF!</definedName>
    <definedName name="A3348489R_Latest">#REF!</definedName>
    <definedName name="A3348490X">#REF!,#REF!</definedName>
    <definedName name="A3348490X_Data">#REF!</definedName>
    <definedName name="A3348490X_Latest">#REF!</definedName>
    <definedName name="A3348491A">#REF!,#REF!</definedName>
    <definedName name="A3348491A_Data">#REF!</definedName>
    <definedName name="A3348491A_Latest">#REF!</definedName>
    <definedName name="A3348492C">#REF!,#REF!</definedName>
    <definedName name="A3348492C_Data">#REF!</definedName>
    <definedName name="A3348492C_Latest">#REF!</definedName>
    <definedName name="A3348493F">#REF!,#REF!</definedName>
    <definedName name="A3348493F_Data">#REF!</definedName>
    <definedName name="A3348493F_Latest">#REF!</definedName>
    <definedName name="A3348494J">#REF!,#REF!</definedName>
    <definedName name="A3348494J_Data">#REF!</definedName>
    <definedName name="A3348494J_Latest">#REF!</definedName>
    <definedName name="A3348495K">#REF!,#REF!</definedName>
    <definedName name="A3348495K_Data">#REF!</definedName>
    <definedName name="A3348495K_Latest">#REF!</definedName>
    <definedName name="A3605670A">#REF!,#REF!</definedName>
    <definedName name="A3605670A_Data">#REF!</definedName>
    <definedName name="A3605670A_Latest">#REF!</definedName>
    <definedName name="A3605672F">#REF!,#REF!</definedName>
    <definedName name="A3605672F_Data">#REF!</definedName>
    <definedName name="A3605672F_Latest">#REF!</definedName>
    <definedName name="A3605673J">#REF!,#REF!</definedName>
    <definedName name="A3605673J_Data">#REF!</definedName>
    <definedName name="A3605673J_Latest">#REF!</definedName>
    <definedName name="A3605674K">#REF!,#REF!</definedName>
    <definedName name="A3605674K_Data">#REF!</definedName>
    <definedName name="A3605674K_Latest">#REF!</definedName>
    <definedName name="A3605676R">#REF!,#REF!</definedName>
    <definedName name="A3605676R_Data">#REF!</definedName>
    <definedName name="A3605676R_Latest">#REF!</definedName>
    <definedName name="A3605677T">#REF!,#REF!</definedName>
    <definedName name="A3605677T_Data">#REF!</definedName>
    <definedName name="A3605677T_Latest">#REF!</definedName>
    <definedName name="A3606066X">#REF!,#REF!</definedName>
    <definedName name="A3606066X_Data">#REF!</definedName>
    <definedName name="A3606066X_Latest">#REF!</definedName>
    <definedName name="A3606067A">#REF!,#REF!</definedName>
    <definedName name="A3606067A_Data">#REF!</definedName>
    <definedName name="A3606067A_Latest">#REF!</definedName>
    <definedName name="A3606069F">#REF!,#REF!</definedName>
    <definedName name="A3606069F_Data">#REF!</definedName>
    <definedName name="A3606069F_Latest">#REF!</definedName>
    <definedName name="A3606070R">#REF!,#REF!</definedName>
    <definedName name="A3606070R_Data">#REF!</definedName>
    <definedName name="A3606070R_Latest">#REF!</definedName>
    <definedName name="A3606072V">#REF!,#REF!</definedName>
    <definedName name="A3606072V_Data">#REF!</definedName>
    <definedName name="A3606072V_Latest">#REF!</definedName>
    <definedName name="A3606073W">#REF!,#REF!</definedName>
    <definedName name="A3606073W_Data">#REF!</definedName>
    <definedName name="A3606073W_Latest">#REF!</definedName>
    <definedName name="A83722605X">#REF!,#REF!</definedName>
    <definedName name="A83722605X_Data">#REF!</definedName>
    <definedName name="A83722605X_Latest">#REF!</definedName>
    <definedName name="A83722606A">#REF!,#REF!</definedName>
    <definedName name="A83722606A_Data">#REF!</definedName>
    <definedName name="A83722606A_Latest">#REF!</definedName>
    <definedName name="A83722607C">#REF!,#REF!</definedName>
    <definedName name="A83722607C_Data">#REF!</definedName>
    <definedName name="A83722607C_Latest">#REF!</definedName>
    <definedName name="A83722608F">#REF!,#REF!</definedName>
    <definedName name="A83722608F_Data">#REF!</definedName>
    <definedName name="A83722608F_Latest">#REF!</definedName>
    <definedName name="A83722609J">#REF!,#REF!</definedName>
    <definedName name="A83722609J_Data">#REF!</definedName>
    <definedName name="A83722609J_Latest">#REF!</definedName>
    <definedName name="A83722610T">#REF!,#REF!</definedName>
    <definedName name="A83722610T_Data">#REF!</definedName>
    <definedName name="A83722610T_Latest">#REF!</definedName>
    <definedName name="A83722611V">#REF!,#REF!</definedName>
    <definedName name="A83722611V_Data">#REF!</definedName>
    <definedName name="A83722611V_Latest">#REF!</definedName>
    <definedName name="A83722612W">#REF!,#REF!</definedName>
    <definedName name="A83722612W_Data">#REF!</definedName>
    <definedName name="A83722612W_Latest">#REF!</definedName>
    <definedName name="A83722613X">#REF!,#REF!</definedName>
    <definedName name="A83722613X_Data">#REF!</definedName>
    <definedName name="A83722613X_Latest">#REF!</definedName>
    <definedName name="A83722620W">#REF!,#REF!</definedName>
    <definedName name="A83722620W_Data">#REF!</definedName>
    <definedName name="A83722620W_Latest">#REF!</definedName>
    <definedName name="A83722621X">#REF!,#REF!</definedName>
    <definedName name="A83722621X_Data">#REF!</definedName>
    <definedName name="A83722621X_Latest">#REF!</definedName>
    <definedName name="A83722622A">#REF!,#REF!</definedName>
    <definedName name="A83722622A_Data">#REF!</definedName>
    <definedName name="A83722622A_Latest">#REF!</definedName>
    <definedName name="A85124990W">#REF!,#REF!</definedName>
    <definedName name="A85124990W_Data">#REF!</definedName>
    <definedName name="A85124990W_Latest">#REF!</definedName>
    <definedName name="A85124991X">#REF!,#REF!</definedName>
    <definedName name="A85124991X_Data">#REF!</definedName>
    <definedName name="A85124991X_Latest">#REF!</definedName>
    <definedName name="A85124992A">#REF!,#REF!</definedName>
    <definedName name="A85124992A_Data">#REF!</definedName>
    <definedName name="A85124992A_Latest">#REF!</definedName>
    <definedName name="A85124993C">#REF!,#REF!</definedName>
    <definedName name="A85124993C_Data">#REF!</definedName>
    <definedName name="A85124993C_Latest">#REF!</definedName>
    <definedName name="A85124994F">#REF!,#REF!</definedName>
    <definedName name="A85124994F_Data">#REF!</definedName>
    <definedName name="A85124994F_Latest">#REF!</definedName>
    <definedName name="A85124995J">#REF!,#REF!</definedName>
    <definedName name="A85124995J_Data">#REF!</definedName>
    <definedName name="A85124995J_Latest">#REF!</definedName>
    <definedName name="A85124996K">#REF!,#REF!</definedName>
    <definedName name="A85124996K_Data">#REF!</definedName>
    <definedName name="A85124996K_Latest">#REF!</definedName>
    <definedName name="A85124997L">#REF!,#REF!</definedName>
    <definedName name="A85124997L_Data">#REF!</definedName>
    <definedName name="A85124997L_Latest">#REF!</definedName>
    <definedName name="A85124998R">#REF!,#REF!</definedName>
    <definedName name="A85124998R_Data">#REF!</definedName>
    <definedName name="A85124998R_Latest">#REF!</definedName>
    <definedName name="A85124999T">#REF!,#REF!</definedName>
    <definedName name="A85124999T_Data">#REF!</definedName>
    <definedName name="A85124999T_Latest">#REF!</definedName>
    <definedName name="A85125000T">#REF!,#REF!</definedName>
    <definedName name="A85125000T_Data">#REF!</definedName>
    <definedName name="A85125000T_Latest">#REF!</definedName>
    <definedName name="A85125001V">#REF!,#REF!</definedName>
    <definedName name="A85125001V_Data">#REF!</definedName>
    <definedName name="A85125001V_Latest">#REF!</definedName>
    <definedName name="A85125002W">#REF!,#REF!</definedName>
    <definedName name="A85125002W_Data">#REF!</definedName>
    <definedName name="A85125002W_Latest">#REF!</definedName>
    <definedName name="A85125003X">#REF!,#REF!</definedName>
    <definedName name="A85125003X_Data">#REF!</definedName>
    <definedName name="A85125003X_Latest">#REF!</definedName>
    <definedName name="A85125004A">#REF!,#REF!</definedName>
    <definedName name="A85125004A_Data">#REF!</definedName>
    <definedName name="A85125004A_Latest">#REF!</definedName>
    <definedName name="A85125005C">#REF!,#REF!</definedName>
    <definedName name="A85125005C_Data">#REF!</definedName>
    <definedName name="A85125005C_Latest">#REF!</definedName>
    <definedName name="A85125006F">#REF!,#REF!</definedName>
    <definedName name="A85125006F_Data">#REF!</definedName>
    <definedName name="A85125006F_Latest">#REF!</definedName>
    <definedName name="A85125007J">#REF!,#REF!</definedName>
    <definedName name="A85125007J_Data">#REF!</definedName>
    <definedName name="A85125007J_Latest">#REF!</definedName>
    <definedName name="A85125008K">#REF!,#REF!</definedName>
    <definedName name="A85125008K_Data">#REF!</definedName>
    <definedName name="A85125008K_Latest">#REF!</definedName>
    <definedName name="A85125009L">#REF!,#REF!</definedName>
    <definedName name="A85125009L_Data">#REF!</definedName>
    <definedName name="A85125009L_Latest">#REF!</definedName>
    <definedName name="A85125010W">#REF!,#REF!</definedName>
    <definedName name="A85125010W_Data">#REF!</definedName>
    <definedName name="A85125010W_Latest">#REF!</definedName>
    <definedName name="A85125011X">#REF!,#REF!</definedName>
    <definedName name="A85125011X_Data">#REF!</definedName>
    <definedName name="A85125011X_Latest">#REF!</definedName>
    <definedName name="A85125012A">#REF!,#REF!</definedName>
    <definedName name="A85125012A_Data">#REF!</definedName>
    <definedName name="A85125012A_Latest">#REF!</definedName>
    <definedName name="A85125013C">#REF!,#REF!</definedName>
    <definedName name="A85125013C_Data">#REF!</definedName>
    <definedName name="A85125013C_Latest">#REF!</definedName>
    <definedName name="A85125014F">#REF!,#REF!</definedName>
    <definedName name="A85125014F_Data">#REF!</definedName>
    <definedName name="A85125014F_Latest">#REF!</definedName>
    <definedName name="A85125015J">#REF!,#REF!</definedName>
    <definedName name="A85125015J_Data">#REF!</definedName>
    <definedName name="A85125015J_Latest">#REF!</definedName>
    <definedName name="A85125016K">#REF!,#REF!</definedName>
    <definedName name="A85125016K_Data">#REF!</definedName>
    <definedName name="A85125016K_Latest">#REF!</definedName>
    <definedName name="A85125017L">#REF!,#REF!</definedName>
    <definedName name="A85125017L_Data">#REF!</definedName>
    <definedName name="A85125017L_Latest">#REF!</definedName>
    <definedName name="A85125018R">#REF!,#REF!</definedName>
    <definedName name="A85125018R_Data">#REF!</definedName>
    <definedName name="A85125018R_Latest">#REF!</definedName>
    <definedName name="A85125019T">#REF!,#REF!</definedName>
    <definedName name="A85125019T_Data">#REF!</definedName>
    <definedName name="A85125019T_Latest">#REF!</definedName>
    <definedName name="A85125020A">#REF!,#REF!</definedName>
    <definedName name="A85125020A_Data">#REF!</definedName>
    <definedName name="A85125020A_Latest">#REF!</definedName>
    <definedName name="A85125021C">#REF!,#REF!</definedName>
    <definedName name="A85125021C_Data">#REF!</definedName>
    <definedName name="A85125021C_Latest">#REF!</definedName>
    <definedName name="A85125022F">#REF!,#REF!</definedName>
    <definedName name="A85125022F_Data">#REF!</definedName>
    <definedName name="A85125022F_Latest">#REF!</definedName>
    <definedName name="A85125023J">#REF!,#REF!</definedName>
    <definedName name="A85125023J_Data">#REF!</definedName>
    <definedName name="A85125023J_Latest">#REF!</definedName>
    <definedName name="A85125024K">#REF!,#REF!</definedName>
    <definedName name="A85125024K_Data">#REF!</definedName>
    <definedName name="A85125024K_Latest">#REF!</definedName>
    <definedName name="A85125025L">#REF!,#REF!</definedName>
    <definedName name="A85125025L_Data">#REF!</definedName>
    <definedName name="A85125025L_Latest">#REF!</definedName>
    <definedName name="A85125026R">#REF!,#REF!</definedName>
    <definedName name="A85125026R_Data">#REF!</definedName>
    <definedName name="A85125026R_Latest">#REF!</definedName>
    <definedName name="A85125027T">#REF!,#REF!</definedName>
    <definedName name="A85125027T_Data">#REF!</definedName>
    <definedName name="A85125027T_Latest">#REF!</definedName>
    <definedName name="A85125028V">#REF!,#REF!</definedName>
    <definedName name="A85125028V_Data">#REF!</definedName>
    <definedName name="A85125028V_Latest">#REF!</definedName>
    <definedName name="A85125029W">#REF!,#REF!</definedName>
    <definedName name="A85125029W_Data">#REF!</definedName>
    <definedName name="A85125029W_Latest">#REF!</definedName>
    <definedName name="A85125030F">#REF!,#REF!</definedName>
    <definedName name="A85125030F_Data">#REF!</definedName>
    <definedName name="A85125030F_Latest">#REF!</definedName>
    <definedName name="A85125031J">#REF!,#REF!</definedName>
    <definedName name="A85125031J_Data">#REF!</definedName>
    <definedName name="A85125031J_Latest">#REF!</definedName>
    <definedName name="A85125032K">#REF!,#REF!</definedName>
    <definedName name="A85125032K_Data">#REF!</definedName>
    <definedName name="A85125032K_Latest">#REF!</definedName>
    <definedName name="A85125033L">#REF!,#REF!</definedName>
    <definedName name="A85125033L_Data">#REF!</definedName>
    <definedName name="A85125033L_Latest">#REF!</definedName>
    <definedName name="A85125034R">#REF!,#REF!</definedName>
    <definedName name="A85125034R_Data">#REF!</definedName>
    <definedName name="A85125034R_Latest">#REF!</definedName>
    <definedName name="A85125035T">#REF!,#REF!</definedName>
    <definedName name="A85125035T_Data">#REF!</definedName>
    <definedName name="A85125035T_Latest">#REF!</definedName>
    <definedName name="A85125036V">#REF!,#REF!</definedName>
    <definedName name="A85125036V_Data">#REF!</definedName>
    <definedName name="A85125036V_Latest">#REF!</definedName>
    <definedName name="A85125037W">#REF!,#REF!</definedName>
    <definedName name="A85125037W_Data">#REF!</definedName>
    <definedName name="A85125037W_Latest">#REF!</definedName>
    <definedName name="A85125038X">#REF!,#REF!</definedName>
    <definedName name="A85125038X_Data">#REF!</definedName>
    <definedName name="A85125038X_Latest">#REF!</definedName>
    <definedName name="A85125039A">#REF!,#REF!</definedName>
    <definedName name="A85125039A_Data">#REF!</definedName>
    <definedName name="A85125039A_Latest">#REF!</definedName>
    <definedName name="A85125040K">#REF!,#REF!</definedName>
    <definedName name="A85125040K_Data">#REF!</definedName>
    <definedName name="A85125040K_Latest">#REF!</definedName>
    <definedName name="A85125041L">#REF!,#REF!</definedName>
    <definedName name="A85125041L_Data">#REF!</definedName>
    <definedName name="A85125041L_Latest">#REF!</definedName>
    <definedName name="A85125042R">#REF!,#REF!</definedName>
    <definedName name="A85125042R_Data">#REF!</definedName>
    <definedName name="A85125042R_Latest">#REF!</definedName>
    <definedName name="A85125043T">#REF!,#REF!</definedName>
    <definedName name="A85125043T_Data">#REF!</definedName>
    <definedName name="A85125043T_Latest">#REF!</definedName>
    <definedName name="A85125044V">#REF!,#REF!</definedName>
    <definedName name="A85125044V_Data">#REF!</definedName>
    <definedName name="A85125044V_Latest">#REF!</definedName>
    <definedName name="A85125045W">#REF!,#REF!</definedName>
    <definedName name="A85125045W_Data">#REF!</definedName>
    <definedName name="A85125045W_Latest">#REF!</definedName>
    <definedName name="A85125046X">#REF!,#REF!</definedName>
    <definedName name="A85125046X_Data">#REF!</definedName>
    <definedName name="A85125046X_Latest">#REF!</definedName>
    <definedName name="A85125047A">#REF!,#REF!</definedName>
    <definedName name="A85125047A_Data">#REF!</definedName>
    <definedName name="A85125047A_Latest">#REF!</definedName>
    <definedName name="A85125048C">#REF!,#REF!</definedName>
    <definedName name="A85125048C_Data">#REF!</definedName>
    <definedName name="A85125048C_Latest">#REF!</definedName>
    <definedName name="A85125049F">#REF!,#REF!</definedName>
    <definedName name="A85125049F_Data">#REF!</definedName>
    <definedName name="A85125049F_Latest">#REF!</definedName>
    <definedName name="A85125050R">#REF!,#REF!</definedName>
    <definedName name="A85125050R_Data">#REF!</definedName>
    <definedName name="A85125050R_Latest">#REF!</definedName>
    <definedName name="A85125051T">#REF!,#REF!</definedName>
    <definedName name="A85125051T_Data">#REF!</definedName>
    <definedName name="A85125051T_Latest">#REF!</definedName>
    <definedName name="A85125052V">#REF!,#REF!</definedName>
    <definedName name="A85125052V_Data">#REF!</definedName>
    <definedName name="A85125052V_Latest">#REF!</definedName>
    <definedName name="A85125053W">#REF!,#REF!</definedName>
    <definedName name="A85125053W_Data">#REF!</definedName>
    <definedName name="A85125053W_Latest">#REF!</definedName>
    <definedName name="A85125054X">#REF!,#REF!</definedName>
    <definedName name="A85125054X_Data">#REF!</definedName>
    <definedName name="A85125054X_Latest">#REF!</definedName>
    <definedName name="A85125055A">#REF!,#REF!</definedName>
    <definedName name="A85125055A_Data">#REF!</definedName>
    <definedName name="A85125055A_Latest">#REF!</definedName>
    <definedName name="A85125056C">#REF!,#REF!</definedName>
    <definedName name="A85125056C_Data">#REF!</definedName>
    <definedName name="A85125056C_Latest">#REF!</definedName>
    <definedName name="A85125057F">#REF!,#REF!</definedName>
    <definedName name="A85125057F_Data">#REF!</definedName>
    <definedName name="A85125057F_Latest">#REF!</definedName>
    <definedName name="A85125379W">#REF!,#REF!</definedName>
    <definedName name="A85125379W_Data">#REF!</definedName>
    <definedName name="A85125379W_Latest">#REF!</definedName>
    <definedName name="A85125380F">#REF!,#REF!</definedName>
    <definedName name="A85125380F_Data">#REF!</definedName>
    <definedName name="A85125380F_Latest">#REF!</definedName>
    <definedName name="A85125381J">#REF!,#REF!</definedName>
    <definedName name="A85125381J_Data">#REF!</definedName>
    <definedName name="A85125381J_Latest">#REF!</definedName>
    <definedName name="A85125382K">#REF!,#REF!</definedName>
    <definedName name="A85125382K_Data">#REF!</definedName>
    <definedName name="A85125382K_Latest">#REF!</definedName>
    <definedName name="A85125383L">#REF!,#REF!</definedName>
    <definedName name="A85125383L_Data">#REF!</definedName>
    <definedName name="A85125383L_Latest">#REF!</definedName>
    <definedName name="A85125384R">#REF!,#REF!</definedName>
    <definedName name="A85125384R_Data">#REF!</definedName>
    <definedName name="A85125384R_Latest">#REF!</definedName>
    <definedName name="A85125385T">#REF!,#REF!</definedName>
    <definedName name="A85125385T_Data">#REF!</definedName>
    <definedName name="A85125385T_Latest">#REF!</definedName>
    <definedName name="A85125386V">#REF!,#REF!</definedName>
    <definedName name="A85125386V_Data">#REF!</definedName>
    <definedName name="A85125386V_Latest">#REF!</definedName>
    <definedName name="A85125387W">#REF!,#REF!</definedName>
    <definedName name="A85125387W_Data">#REF!</definedName>
    <definedName name="A85125387W_Latest">#REF!</definedName>
    <definedName name="A85125388X">#REF!,#REF!</definedName>
    <definedName name="A85125388X_Data">#REF!</definedName>
    <definedName name="A85125388X_Latest">#REF!</definedName>
    <definedName name="A85125389A">#REF!,#REF!</definedName>
    <definedName name="A85125389A_Data">#REF!</definedName>
    <definedName name="A85125389A_Latest">#REF!</definedName>
    <definedName name="A85125390K">#REF!,#REF!</definedName>
    <definedName name="A85125390K_Data">#REF!</definedName>
    <definedName name="A85125390K_Latest">#REF!</definedName>
    <definedName name="A85125391L">#REF!,#REF!</definedName>
    <definedName name="A85125391L_Data">#REF!</definedName>
    <definedName name="A85125391L_Latest">#REF!</definedName>
    <definedName name="A85125392R">#REF!,#REF!</definedName>
    <definedName name="A85125392R_Data">#REF!</definedName>
    <definedName name="A85125392R_Latest">#REF!</definedName>
    <definedName name="A85125393T">#REF!,#REF!</definedName>
    <definedName name="A85125393T_Data">#REF!</definedName>
    <definedName name="A85125393T_Latest">#REF!</definedName>
    <definedName name="A85125394V">#REF!,#REF!</definedName>
    <definedName name="A85125394V_Data">#REF!</definedName>
    <definedName name="A85125394V_Latest">#REF!</definedName>
    <definedName name="A85125811W">#REF!,#REF!</definedName>
    <definedName name="A85125811W_Data">#REF!</definedName>
    <definedName name="A85125811W_Latest">#REF!</definedName>
    <definedName name="A85125812X">#REF!,#REF!</definedName>
    <definedName name="A85125812X_Data">#REF!</definedName>
    <definedName name="A85125812X_Latest">#REF!</definedName>
    <definedName name="A85125813A">#REF!,#REF!</definedName>
    <definedName name="A85125813A_Data">#REF!</definedName>
    <definedName name="A85125813A_Latest">#REF!</definedName>
    <definedName name="A85125814C">#REF!,#REF!</definedName>
    <definedName name="A85125814C_Data">#REF!</definedName>
    <definedName name="A85125814C_Latest">#REF!</definedName>
    <definedName name="A85125815F">#REF!,#REF!</definedName>
    <definedName name="A85125815F_Data">#REF!</definedName>
    <definedName name="A85125815F_Latest">#REF!</definedName>
    <definedName name="A85125816J">#REF!,#REF!</definedName>
    <definedName name="A85125816J_Data">#REF!</definedName>
    <definedName name="A85125816J_Latest">#REF!</definedName>
    <definedName name="A85125817K">#REF!,#REF!</definedName>
    <definedName name="A85125817K_Data">#REF!</definedName>
    <definedName name="A85125817K_Latest">#REF!</definedName>
    <definedName name="A85125818L">#REF!,#REF!</definedName>
    <definedName name="A85125818L_Data">#REF!</definedName>
    <definedName name="A85125818L_Latest">#REF!</definedName>
    <definedName name="A85125819R">#REF!,#REF!</definedName>
    <definedName name="A85125819R_Data">#REF!</definedName>
    <definedName name="A85125819R_Latest">#REF!</definedName>
    <definedName name="A85125820X">#REF!,#REF!</definedName>
    <definedName name="A85125820X_Data">#REF!</definedName>
    <definedName name="A85125820X_Latest">#REF!</definedName>
    <definedName name="A85125821A">#REF!,#REF!</definedName>
    <definedName name="A85125821A_Data">#REF!</definedName>
    <definedName name="A85125821A_Latest">#REF!</definedName>
    <definedName name="A85125822C">#REF!,#REF!</definedName>
    <definedName name="A85125822C_Data">#REF!</definedName>
    <definedName name="A85125822C_Latest">#REF!</definedName>
    <definedName name="A85125823F">#REF!,#REF!</definedName>
    <definedName name="A85125823F_Data">#REF!</definedName>
    <definedName name="A85125823F_Latest">#REF!</definedName>
    <definedName name="A85125824J">#REF!,#REF!</definedName>
    <definedName name="A85125824J_Data">#REF!</definedName>
    <definedName name="A85125824J_Latest">#REF!</definedName>
    <definedName name="A85125825K">#REF!,#REF!</definedName>
    <definedName name="A85125825K_Data">#REF!</definedName>
    <definedName name="A85125825K_Latest">#REF!</definedName>
    <definedName name="A85125826L">#REF!,#REF!</definedName>
    <definedName name="A85125826L_Data">#REF!</definedName>
    <definedName name="A85125826L_Latest">#REF!</definedName>
    <definedName name="A85125827R">#REF!,#REF!</definedName>
    <definedName name="A85125827R_Data">#REF!</definedName>
    <definedName name="A85125827R_Latest">#REF!</definedName>
    <definedName name="A85125828T">#REF!,#REF!</definedName>
    <definedName name="A85125828T_Data">#REF!</definedName>
    <definedName name="A85125828T_Latest">#REF!</definedName>
    <definedName name="A85125829V">#REF!,#REF!</definedName>
    <definedName name="A85125829V_Data">#REF!</definedName>
    <definedName name="A85125829V_Latest">#REF!</definedName>
    <definedName name="A85125830C">#REF!,#REF!</definedName>
    <definedName name="A85125830C_Data">#REF!</definedName>
    <definedName name="A85125830C_Latest">#REF!</definedName>
    <definedName name="A85125831F">#REF!,#REF!</definedName>
    <definedName name="A85125831F_Data">#REF!</definedName>
    <definedName name="A85125831F_Latest">#REF!</definedName>
    <definedName name="A85125832J">#REF!,#REF!</definedName>
    <definedName name="A85125832J_Data">#REF!</definedName>
    <definedName name="A85125832J_Latest">#REF!</definedName>
    <definedName name="A85125833K">#REF!,#REF!</definedName>
    <definedName name="A85125833K_Data">#REF!</definedName>
    <definedName name="A85125833K_Latest">#REF!</definedName>
    <definedName name="A85125834L">#REF!,#REF!</definedName>
    <definedName name="A85125834L_Data">#REF!</definedName>
    <definedName name="A85125834L_Latest">#REF!</definedName>
    <definedName name="A85125835R">#REF!,#REF!</definedName>
    <definedName name="A85125835R_Data">#REF!</definedName>
    <definedName name="A85125835R_Latest">#REF!</definedName>
    <definedName name="A85125836T">#REF!,#REF!</definedName>
    <definedName name="A85125836T_Data">#REF!</definedName>
    <definedName name="A85125836T_Latest">#REF!</definedName>
    <definedName name="A85125837V">#REF!,#REF!</definedName>
    <definedName name="A85125837V_Data">#REF!</definedName>
    <definedName name="A85125837V_Latest">#REF!</definedName>
    <definedName name="A85125838W">#REF!,#REF!</definedName>
    <definedName name="A85125838W_Data">#REF!</definedName>
    <definedName name="A85125838W_Latest">#REF!</definedName>
    <definedName name="A85125839X">#REF!,#REF!</definedName>
    <definedName name="A85125839X_Data">#REF!</definedName>
    <definedName name="A85125839X_Latest">#REF!</definedName>
    <definedName name="A85125840J">#REF!,#REF!</definedName>
    <definedName name="A85125840J_Data">#REF!</definedName>
    <definedName name="A85125840J_Latest">#REF!</definedName>
    <definedName name="A85125841K">#REF!,#REF!</definedName>
    <definedName name="A85125841K_Data">#REF!</definedName>
    <definedName name="A85125841K_Latest">#REF!</definedName>
    <definedName name="A85125842L">#REF!,#REF!</definedName>
    <definedName name="A85125842L_Data">#REF!</definedName>
    <definedName name="A85125842L_Latest">#REF!</definedName>
    <definedName name="A85125843R">#REF!,#REF!</definedName>
    <definedName name="A85125843R_Data">#REF!</definedName>
    <definedName name="A85125843R_Latest">#REF!</definedName>
    <definedName name="A85125844T">#REF!,#REF!</definedName>
    <definedName name="A85125844T_Data">#REF!</definedName>
    <definedName name="A85125844T_Latest">#REF!</definedName>
    <definedName name="A85125845V">#REF!,#REF!</definedName>
    <definedName name="A85125845V_Data">#REF!</definedName>
    <definedName name="A85125845V_Latest">#REF!</definedName>
    <definedName name="A85125846W">#REF!,#REF!</definedName>
    <definedName name="A85125846W_Data">#REF!</definedName>
    <definedName name="A85125846W_Latest">#REF!</definedName>
    <definedName name="A85125847X">#REF!,#REF!</definedName>
    <definedName name="A85125847X_Data">#REF!</definedName>
    <definedName name="A85125847X_Latest">#REF!</definedName>
    <definedName name="A85125848A">#REF!,#REF!</definedName>
    <definedName name="A85125848A_Data">#REF!</definedName>
    <definedName name="A85125848A_Latest">#REF!</definedName>
    <definedName name="A85125849C">#REF!,#REF!</definedName>
    <definedName name="A85125849C_Data">#REF!</definedName>
    <definedName name="A85125849C_Latest">#REF!</definedName>
    <definedName name="A85125850L">#REF!,#REF!</definedName>
    <definedName name="A85125850L_Data">#REF!</definedName>
    <definedName name="A85125850L_Latest">#REF!</definedName>
    <definedName name="A85125851R">#REF!,#REF!</definedName>
    <definedName name="A85125851R_Data">#REF!</definedName>
    <definedName name="A85125851R_Latest">#REF!</definedName>
    <definedName name="A85125852T">#REF!,#REF!</definedName>
    <definedName name="A85125852T_Data">#REF!</definedName>
    <definedName name="A85125852T_Latest">#REF!</definedName>
    <definedName name="A85125853V">#REF!,#REF!</definedName>
    <definedName name="A85125853V_Data">#REF!</definedName>
    <definedName name="A85125853V_Latest">#REF!</definedName>
    <definedName name="A85125854W">#REF!,#REF!</definedName>
    <definedName name="A85125854W_Data">#REF!</definedName>
    <definedName name="A85125854W_Latest">#REF!</definedName>
    <definedName name="A85125855X">#REF!,#REF!</definedName>
    <definedName name="A85125855X_Data">#REF!</definedName>
    <definedName name="A85125855X_Latest">#REF!</definedName>
    <definedName name="A85125856A">#REF!,#REF!</definedName>
    <definedName name="A85125856A_Data">#REF!</definedName>
    <definedName name="A85125856A_Latest">#REF!</definedName>
    <definedName name="A85125857C">#REF!,#REF!</definedName>
    <definedName name="A85125857C_Data">#REF!</definedName>
    <definedName name="A85125857C_Latest">#REF!</definedName>
    <definedName name="A85125858F">#REF!,#REF!</definedName>
    <definedName name="A85125858F_Data">#REF!</definedName>
    <definedName name="A85125858F_Latest">#REF!</definedName>
    <definedName name="A85125859J">#REF!,#REF!</definedName>
    <definedName name="A85125859J_Data">#REF!</definedName>
    <definedName name="A85125859J_Latest">#REF!</definedName>
    <definedName name="A85125860T">#REF!,#REF!</definedName>
    <definedName name="A85125860T_Data">#REF!</definedName>
    <definedName name="A85125860T_Latest">#REF!</definedName>
    <definedName name="A85125861V">#REF!,#REF!</definedName>
    <definedName name="A85125861V_Data">#REF!</definedName>
    <definedName name="A85125861V_Latest">#REF!</definedName>
    <definedName name="A85125862W">#REF!,#REF!</definedName>
    <definedName name="A85125862W_Data">#REF!</definedName>
    <definedName name="A85125862W_Latest">#REF!</definedName>
    <definedName name="A85125863X">#REF!,#REF!</definedName>
    <definedName name="A85125863X_Data">#REF!</definedName>
    <definedName name="A85125863X_Latest">#REF!</definedName>
    <definedName name="A85125864A">#REF!,#REF!</definedName>
    <definedName name="A85125864A_Data">#REF!</definedName>
    <definedName name="A85125864A_Latest">#REF!</definedName>
    <definedName name="A85125865C">#REF!,#REF!</definedName>
    <definedName name="A85125865C_Data">#REF!</definedName>
    <definedName name="A85125865C_Latest">#REF!</definedName>
    <definedName name="A85125866F">#REF!,#REF!</definedName>
    <definedName name="A85125866F_Data">#REF!</definedName>
    <definedName name="A85125866F_Latest">#REF!</definedName>
    <definedName name="A85125867J">#REF!,#REF!</definedName>
    <definedName name="A85125867J_Data">#REF!</definedName>
    <definedName name="A85125867J_Latest">#REF!</definedName>
    <definedName name="A85125868K">#REF!,#REF!</definedName>
    <definedName name="A85125868K_Data">#REF!</definedName>
    <definedName name="A85125868K_Latest">#REF!</definedName>
    <definedName name="A85125869L">#REF!,#REF!</definedName>
    <definedName name="A85125869L_Data">#REF!</definedName>
    <definedName name="A85125869L_Latest">#REF!</definedName>
    <definedName name="A85125870W">#REF!,#REF!</definedName>
    <definedName name="A85125870W_Data">#REF!</definedName>
    <definedName name="A85125870W_Latest">#REF!</definedName>
    <definedName name="A85125871X">#REF!,#REF!</definedName>
    <definedName name="A85125871X_Data">#REF!</definedName>
    <definedName name="A85125871X_Latest">#REF!</definedName>
    <definedName name="A85125872A">#REF!,#REF!</definedName>
    <definedName name="A85125872A_Data">#REF!</definedName>
    <definedName name="A85125872A_Latest">#REF!</definedName>
    <definedName name="A85125873C">#REF!,#REF!</definedName>
    <definedName name="A85125873C_Data">#REF!</definedName>
    <definedName name="A85125873C_Latest">#REF!</definedName>
    <definedName name="A85125874F">#REF!,#REF!</definedName>
    <definedName name="A85125874F_Data">#REF!</definedName>
    <definedName name="A85125874F_Latest">#REF!</definedName>
    <definedName name="A85125875J">#REF!,#REF!</definedName>
    <definedName name="A85125875J_Data">#REF!</definedName>
    <definedName name="A85125875J_Latest">#REF!</definedName>
    <definedName name="A85125876K">#REF!,#REF!</definedName>
    <definedName name="A85125876K_Data">#REF!</definedName>
    <definedName name="A85125876K_Latest">#REF!</definedName>
    <definedName name="A85125877L">#REF!,#REF!</definedName>
    <definedName name="A85125877L_Data">#REF!</definedName>
    <definedName name="A85125877L_Latest">#REF!</definedName>
    <definedName name="A85125878R">#REF!,#REF!</definedName>
    <definedName name="A85125878R_Data">#REF!</definedName>
    <definedName name="A85125878R_Latest">#REF!</definedName>
    <definedName name="A85125879T">#REF!,#REF!</definedName>
    <definedName name="A85125879T_Data">#REF!</definedName>
    <definedName name="A85125879T_Latest">#REF!</definedName>
    <definedName name="A85125880A">#REF!,#REF!</definedName>
    <definedName name="A85125880A_Data">#REF!</definedName>
    <definedName name="A85125880A_Latest">#REF!</definedName>
    <definedName name="A85125881C">#REF!,#REF!</definedName>
    <definedName name="A85125881C_Data">#REF!</definedName>
    <definedName name="A85125881C_Latest">#REF!</definedName>
    <definedName name="A85125882F">#REF!,#REF!</definedName>
    <definedName name="A85125882F_Data">#REF!</definedName>
    <definedName name="A85125882F_Latest">#REF!</definedName>
    <definedName name="A85125883J">#REF!,#REF!</definedName>
    <definedName name="A85125883J_Data">#REF!</definedName>
    <definedName name="A85125883J_Latest">#REF!</definedName>
    <definedName name="A85125884K">#REF!,#REF!</definedName>
    <definedName name="A85125884K_Data">#REF!</definedName>
    <definedName name="A85125884K_Latest">#REF!</definedName>
    <definedName name="A85125885L">#REF!,#REF!</definedName>
    <definedName name="A85125885L_Data">#REF!</definedName>
    <definedName name="A85125885L_Latest">#REF!</definedName>
    <definedName name="A85125886R">#REF!,#REF!</definedName>
    <definedName name="A85125886R_Data">#REF!</definedName>
    <definedName name="A85125886R_Latest">#REF!</definedName>
    <definedName name="A85125887T">#REF!,#REF!</definedName>
    <definedName name="A85125887T_Data">#REF!</definedName>
    <definedName name="A85125887T_Latest">#REF!</definedName>
    <definedName name="A85125888V">#REF!,#REF!</definedName>
    <definedName name="A85125888V_Data">#REF!</definedName>
    <definedName name="A85125888V_Latest">#REF!</definedName>
    <definedName name="A85125889W">#REF!,#REF!</definedName>
    <definedName name="A85125889W_Data">#REF!</definedName>
    <definedName name="A85125889W_Latest">#REF!</definedName>
    <definedName name="A85125890F">#REF!,#REF!</definedName>
    <definedName name="A85125890F_Data">#REF!</definedName>
    <definedName name="A85125890F_Latest">#REF!</definedName>
    <definedName name="A85125891J">#REF!,#REF!</definedName>
    <definedName name="A85125891J_Data">#REF!</definedName>
    <definedName name="A85125891J_Latest">#REF!</definedName>
    <definedName name="A85125892K">#REF!,#REF!</definedName>
    <definedName name="A85125892K_Data">#REF!</definedName>
    <definedName name="A85125892K_Latest">#REF!</definedName>
    <definedName name="A85125893L">#REF!,#REF!</definedName>
    <definedName name="A85125893L_Data">#REF!</definedName>
    <definedName name="A85125893L_Latest">#REF!</definedName>
    <definedName name="A85125894R">#REF!,#REF!</definedName>
    <definedName name="A85125894R_Data">#REF!</definedName>
    <definedName name="A85125894R_Latest">#REF!</definedName>
    <definedName name="A85125895T">#REF!,#REF!</definedName>
    <definedName name="A85125895T_Data">#REF!</definedName>
    <definedName name="A85125895T_Latest">#REF!</definedName>
    <definedName name="A85125896V">#REF!,#REF!</definedName>
    <definedName name="A85125896V_Data">#REF!</definedName>
    <definedName name="A85125896V_Latest">#REF!</definedName>
    <definedName name="A85125897W">#REF!,#REF!</definedName>
    <definedName name="A85125897W_Data">#REF!</definedName>
    <definedName name="A85125897W_Latest">#REF!</definedName>
    <definedName name="A85125898X">#REF!,#REF!</definedName>
    <definedName name="A85125898X_Data">#REF!</definedName>
    <definedName name="A85125898X_Latest">#REF!</definedName>
    <definedName name="A85125899A">#REF!,#REF!</definedName>
    <definedName name="A85125899A_Data">#REF!</definedName>
    <definedName name="A85125899A_Latest">#REF!</definedName>
    <definedName name="A85125900X">#REF!,#REF!</definedName>
    <definedName name="A85125900X_Data">#REF!</definedName>
    <definedName name="A85125900X_Latest">#REF!</definedName>
    <definedName name="A85125901A">#REF!,#REF!</definedName>
    <definedName name="A85125901A_Data">#REF!</definedName>
    <definedName name="A85125901A_Latest">#REF!</definedName>
    <definedName name="A85125902C">#REF!,#REF!</definedName>
    <definedName name="A85125902C_Data">#REF!</definedName>
    <definedName name="A85125902C_Latest">#REF!</definedName>
    <definedName name="A85125903F">#REF!,#REF!</definedName>
    <definedName name="A85125903F_Data">#REF!</definedName>
    <definedName name="A85125903F_Latest">#REF!</definedName>
    <definedName name="A85231682X">#REF!,#REF!</definedName>
    <definedName name="A85231682X_Data">#REF!</definedName>
    <definedName name="A85231682X_Latest">#REF!</definedName>
    <definedName name="A85231684C">#REF!,#REF!</definedName>
    <definedName name="A85231684C_Data">#REF!</definedName>
    <definedName name="A85231684C_Latest">#REF!</definedName>
    <definedName name="A85231686J">#REF!,#REF!</definedName>
    <definedName name="A85231686J_Data">#REF!</definedName>
    <definedName name="A85231686J_Latest">#REF!</definedName>
    <definedName name="A85231688L">#REF!,#REF!</definedName>
    <definedName name="A85231688L_Data">#REF!</definedName>
    <definedName name="A85231688L_Latest">#REF!</definedName>
    <definedName name="A85231690X">#REF!,#REF!</definedName>
    <definedName name="A85231690X_Data">#REF!</definedName>
    <definedName name="A85231690X_Latest">#REF!</definedName>
    <definedName name="A85231692C">#REF!,#REF!</definedName>
    <definedName name="A85231692C_Data">#REF!</definedName>
    <definedName name="A85231692C_Latest">#REF!</definedName>
    <definedName name="A85231694J">#REF!,#REF!</definedName>
    <definedName name="A85231694J_Data">#REF!</definedName>
    <definedName name="A85231694J_Latest">#REF!</definedName>
    <definedName name="A85231696L">#REF!,#REF!</definedName>
    <definedName name="A85231696L_Data">#REF!</definedName>
    <definedName name="A85231696L_Latest">#REF!</definedName>
    <definedName name="A85231698T">#REF!,#REF!</definedName>
    <definedName name="A85231698T_Data">#REF!</definedName>
    <definedName name="A85231698T_Latest">#REF!</definedName>
    <definedName name="A85231700T">#REF!,#REF!</definedName>
    <definedName name="A85231700T_Data">#REF!</definedName>
    <definedName name="A85231700T_Latest">#REF!</definedName>
    <definedName name="A85231702W">#REF!,#REF!</definedName>
    <definedName name="A85231702W_Data">#REF!</definedName>
    <definedName name="A85231702W_Latest">#REF!</definedName>
    <definedName name="A85231704A">#REF!,#REF!</definedName>
    <definedName name="A85231704A_Data">#REF!</definedName>
    <definedName name="A85231704A_Latest">#REF!</definedName>
    <definedName name="A85231706F">#REF!,#REF!</definedName>
    <definedName name="A85231706F_Data">#REF!</definedName>
    <definedName name="A85231706F_Latest">#REF!</definedName>
    <definedName name="A85231708K">#REF!,#REF!</definedName>
    <definedName name="A85231708K_Data">#REF!</definedName>
    <definedName name="A85231708K_Latest">#REF!</definedName>
    <definedName name="A85231710W">#REF!,#REF!</definedName>
    <definedName name="A85231710W_Data">#REF!</definedName>
    <definedName name="A85231710W_Latest">#REF!</definedName>
    <definedName name="A85231712A">#REF!,#REF!</definedName>
    <definedName name="A85231712A_Data">#REF!</definedName>
    <definedName name="A85231712A_Latest">#REF!</definedName>
    <definedName name="A85231714F">#REF!,#REF!</definedName>
    <definedName name="A85231714F_Data">#REF!</definedName>
    <definedName name="A85231714F_Latest">#REF!</definedName>
    <definedName name="A85231716K">#REF!,#REF!</definedName>
    <definedName name="A85231716K_Data">#REF!</definedName>
    <definedName name="A85231716K_Latest">#REF!</definedName>
    <definedName name="A85231718R">#REF!,#REF!</definedName>
    <definedName name="A85231718R_Data">#REF!</definedName>
    <definedName name="A85231718R_Latest">#REF!</definedName>
    <definedName name="A85231720A">#REF!,#REF!</definedName>
    <definedName name="A85231720A_Data">#REF!</definedName>
    <definedName name="A85231720A_Latest">#REF!</definedName>
    <definedName name="A85231722F">#REF!,#REF!</definedName>
    <definedName name="A85231722F_Data">#REF!</definedName>
    <definedName name="A85231722F_Latest">#REF!</definedName>
    <definedName name="A85231724K">#REF!,#REF!</definedName>
    <definedName name="A85231724K_Data">#REF!</definedName>
    <definedName name="A85231724K_Latest">#REF!</definedName>
    <definedName name="A85231726R">#REF!,#REF!</definedName>
    <definedName name="A85231726R_Data">#REF!</definedName>
    <definedName name="A85231726R_Latest">#REF!</definedName>
    <definedName name="A85231728V">#REF!,#REF!</definedName>
    <definedName name="A85231728V_Data">#REF!</definedName>
    <definedName name="A85231728V_Latest">#REF!</definedName>
    <definedName name="A85231730F">#REF!,#REF!</definedName>
    <definedName name="A85231730F_Data">#REF!</definedName>
    <definedName name="A85231730F_Latest">#REF!</definedName>
    <definedName name="A85231731J">#REF!,#REF!</definedName>
    <definedName name="A85231731J_Data">#REF!</definedName>
    <definedName name="A85231731J_Latest">#REF!</definedName>
    <definedName name="A85231732K">#REF!,#REF!</definedName>
    <definedName name="A85231732K_Data">#REF!</definedName>
    <definedName name="A85231732K_Latest">#REF!</definedName>
    <definedName name="A85231733L">#REF!,#REF!</definedName>
    <definedName name="A85231733L_Data">#REF!</definedName>
    <definedName name="A85231733L_Latest">#REF!</definedName>
    <definedName name="A85231734R">#REF!,#REF!</definedName>
    <definedName name="A85231734R_Data">#REF!</definedName>
    <definedName name="A85231734R_Latest">#REF!</definedName>
    <definedName name="A85231735T">#REF!,#REF!</definedName>
    <definedName name="A85231735T_Data">#REF!</definedName>
    <definedName name="A85231735T_Latest">#REF!</definedName>
    <definedName name="A85231736V">#REF!,#REF!</definedName>
    <definedName name="A85231736V_Data">#REF!</definedName>
    <definedName name="A85231736V_Latest">#REF!</definedName>
    <definedName name="A85231737W">#REF!,#REF!</definedName>
    <definedName name="A85231737W_Data">#REF!</definedName>
    <definedName name="A85231737W_Latest">#REF!</definedName>
    <definedName name="A85231738X">#REF!,#REF!</definedName>
    <definedName name="A85231738X_Data">#REF!</definedName>
    <definedName name="A85231738X_Latest">#REF!</definedName>
    <definedName name="A85231739A">#REF!,#REF!</definedName>
    <definedName name="A85231739A_Data">#REF!</definedName>
    <definedName name="A85231739A_Latest">#REF!</definedName>
    <definedName name="A85231740K">#REF!,#REF!</definedName>
    <definedName name="A85231740K_Data">#REF!</definedName>
    <definedName name="A85231740K_Latest">#REF!</definedName>
    <definedName name="A85231741L">#REF!,#REF!</definedName>
    <definedName name="A85231741L_Data">#REF!</definedName>
    <definedName name="A85231741L_Latest">#REF!</definedName>
    <definedName name="A85231742R">#REF!,#REF!</definedName>
    <definedName name="A85231742R_Data">#REF!</definedName>
    <definedName name="A85231742R_Latest">#REF!</definedName>
    <definedName name="A85231743T">#REF!,#REF!</definedName>
    <definedName name="A85231743T_Data">#REF!</definedName>
    <definedName name="A85231743T_Latest">#REF!</definedName>
    <definedName name="A85231744V">#REF!,#REF!</definedName>
    <definedName name="A85231744V_Data">#REF!</definedName>
    <definedName name="A85231744V_Latest">#REF!</definedName>
    <definedName name="A85231745W">#REF!,#REF!</definedName>
    <definedName name="A85231745W_Data">#REF!</definedName>
    <definedName name="A85231745W_Latest">#REF!</definedName>
    <definedName name="A85231746X">#REF!,#REF!</definedName>
    <definedName name="A85231746X_Data">#REF!</definedName>
    <definedName name="A85231746X_Latest">#REF!</definedName>
    <definedName name="A85231747A">#REF!,#REF!</definedName>
    <definedName name="A85231747A_Data">#REF!</definedName>
    <definedName name="A85231747A_Latest">#REF!</definedName>
    <definedName name="A85231748C">#REF!,#REF!</definedName>
    <definedName name="A85231748C_Data">#REF!</definedName>
    <definedName name="A85231748C_Latest">#REF!</definedName>
    <definedName name="A85231749F">#REF!,#REF!</definedName>
    <definedName name="A85231749F_Data">#REF!</definedName>
    <definedName name="A85231749F_Latest">#REF!</definedName>
    <definedName name="A85231750R">#REF!,#REF!</definedName>
    <definedName name="A85231750R_Data">#REF!</definedName>
    <definedName name="A85231750R_Latest">#REF!</definedName>
    <definedName name="A85231751T">#REF!,#REF!</definedName>
    <definedName name="A85231751T_Data">#REF!</definedName>
    <definedName name="A85231751T_Latest">#REF!</definedName>
    <definedName name="A85231752V">#REF!,#REF!</definedName>
    <definedName name="A85231752V_Data">#REF!</definedName>
    <definedName name="A85231752V_Latest">#REF!</definedName>
    <definedName name="A85231753W">#REF!,#REF!</definedName>
    <definedName name="A85231753W_Data">#REF!</definedName>
    <definedName name="A85231753W_Latest">#REF!</definedName>
    <definedName name="A85231754X">#REF!,#REF!</definedName>
    <definedName name="A85231754X_Data">#REF!</definedName>
    <definedName name="A85231754X_Latest">#REF!</definedName>
    <definedName name="A85231755A">#REF!,#REF!</definedName>
    <definedName name="A85231755A_Data">#REF!</definedName>
    <definedName name="A85231755A_Latest">#REF!</definedName>
    <definedName name="A85231756C">#REF!,#REF!</definedName>
    <definedName name="A85231756C_Data">#REF!</definedName>
    <definedName name="A85231756C_Latest">#REF!</definedName>
    <definedName name="A85231757F">#REF!,#REF!</definedName>
    <definedName name="A85231757F_Data">#REF!</definedName>
    <definedName name="A85231757F_Latest">#REF!</definedName>
    <definedName name="A85231758J">#REF!,#REF!</definedName>
    <definedName name="A85231758J_Data">#REF!</definedName>
    <definedName name="A85231758J_Latest">#REF!</definedName>
    <definedName name="A85231759K">#REF!,#REF!</definedName>
    <definedName name="A85231759K_Data">#REF!</definedName>
    <definedName name="A85231759K_Latest">#REF!</definedName>
    <definedName name="A85231760V">#REF!,#REF!</definedName>
    <definedName name="A85231760V_Data">#REF!</definedName>
    <definedName name="A85231760V_Latest">#REF!</definedName>
    <definedName name="A85231761W">#REF!,#REF!</definedName>
    <definedName name="A85231761W_Data">#REF!</definedName>
    <definedName name="A85231761W_Latest">#REF!</definedName>
    <definedName name="A85231762X">#REF!,#REF!</definedName>
    <definedName name="A85231762X_Data">#REF!</definedName>
    <definedName name="A85231762X_Latest">#REF!</definedName>
    <definedName name="A85231763A">#REF!,#REF!</definedName>
    <definedName name="A85231763A_Data">#REF!</definedName>
    <definedName name="A85231763A_Latest">#REF!</definedName>
    <definedName name="A85231764C">#REF!,#REF!</definedName>
    <definedName name="A85231764C_Data">#REF!</definedName>
    <definedName name="A85231764C_Latest">#REF!</definedName>
    <definedName name="A85231765F">#REF!,#REF!</definedName>
    <definedName name="A85231765F_Data">#REF!</definedName>
    <definedName name="A85231765F_Latest">#REF!</definedName>
    <definedName name="A85231766J">#REF!,#REF!</definedName>
    <definedName name="A85231766J_Data">#REF!</definedName>
    <definedName name="A85231766J_Latest">#REF!</definedName>
    <definedName name="A85231767K">#REF!,#REF!</definedName>
    <definedName name="A85231767K_Data">#REF!</definedName>
    <definedName name="A85231767K_Latest">#REF!</definedName>
    <definedName name="A85231768L">#REF!,#REF!</definedName>
    <definedName name="A85231768L_Data">#REF!</definedName>
    <definedName name="A85231768L_Latest">#REF!</definedName>
    <definedName name="A85231769R">#REF!,#REF!</definedName>
    <definedName name="A85231769R_Data">#REF!</definedName>
    <definedName name="A85231769R_Latest">#REF!</definedName>
    <definedName name="A85231770X">#REF!,#REF!</definedName>
    <definedName name="A85231770X_Data">#REF!</definedName>
    <definedName name="A85231770X_Latest">#REF!</definedName>
    <definedName name="A85231771A">#REF!,#REF!</definedName>
    <definedName name="A85231771A_Data">#REF!</definedName>
    <definedName name="A85231771A_Latest">#REF!</definedName>
    <definedName name="A85231772C">#REF!,#REF!</definedName>
    <definedName name="A85231772C_Data">#REF!</definedName>
    <definedName name="A85231772C_Latest">#REF!</definedName>
    <definedName name="A85231773F">#REF!,#REF!</definedName>
    <definedName name="A85231773F_Data">#REF!</definedName>
    <definedName name="A85231773F_Latest">#REF!</definedName>
    <definedName name="A85231774J">#REF!,#REF!</definedName>
    <definedName name="A85231774J_Data">#REF!</definedName>
    <definedName name="A85231774J_Latest">#REF!</definedName>
    <definedName name="A85231775K">#REF!,#REF!</definedName>
    <definedName name="A85231775K_Data">#REF!</definedName>
    <definedName name="A85231775K_Latest">#REF!</definedName>
    <definedName name="A85231776L">#REF!,#REF!</definedName>
    <definedName name="A85231776L_Data">#REF!</definedName>
    <definedName name="A85231776L_Latest">#REF!</definedName>
    <definedName name="A85231777R">#REF!,#REF!</definedName>
    <definedName name="A85231777R_Data">#REF!</definedName>
    <definedName name="A85231777R_Latest">#REF!</definedName>
    <definedName name="Date_Range">#REF!,#REF!</definedName>
    <definedName name="Date_Range_Data">#REF!</definedName>
    <definedName name="FN1_Data">#REF!</definedName>
    <definedName name="FN2_Data">#REF!</definedName>
    <definedName name="_xlnm.Print_Area" localSheetId="2">Table1!$A$6:$L$19</definedName>
    <definedName name="_xlnm.Print_Area" localSheetId="15">TableA1!$A$2:$O$25</definedName>
    <definedName name="_xlnm.Print_Area" localSheetId="16">TableA2!$A$2:$L$65</definedName>
    <definedName name="_xlnm.Print_Area" localSheetId="21">TableA4!$A$1:$I$21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6" i="72" l="1"/>
  <c r="J6" i="103" l="1"/>
  <c r="K6" i="103" s="1"/>
  <c r="L6" i="103" s="1"/>
  <c r="N18" i="98" l="1"/>
  <c r="N3" i="98"/>
  <c r="N4" i="98"/>
  <c r="P28" i="98"/>
  <c r="N28" i="98"/>
  <c r="N5" i="98"/>
  <c r="N13" i="98"/>
  <c r="N21" i="98"/>
  <c r="N29" i="98"/>
  <c r="N37" i="98"/>
  <c r="P37" i="98"/>
  <c r="N34" i="98"/>
  <c r="N35" i="98"/>
  <c r="N6" i="98"/>
  <c r="N14" i="98"/>
  <c r="N22" i="98"/>
  <c r="N30" i="98"/>
  <c r="N38" i="98"/>
  <c r="P39" i="98"/>
  <c r="N39" i="98"/>
  <c r="N10" i="98"/>
  <c r="N11" i="98"/>
  <c r="N20" i="98"/>
  <c r="N7" i="98"/>
  <c r="N15" i="98"/>
  <c r="N23" i="98"/>
  <c r="P31" i="98"/>
  <c r="N31" i="98"/>
  <c r="N8" i="98"/>
  <c r="N16" i="98"/>
  <c r="P16" i="98"/>
  <c r="N24" i="98"/>
  <c r="N32" i="98"/>
  <c r="P32" i="98"/>
  <c r="N40" i="98"/>
  <c r="N26" i="98"/>
  <c r="N19" i="98"/>
  <c r="N27" i="98"/>
  <c r="N12" i="98"/>
  <c r="N9" i="98"/>
  <c r="N17" i="98"/>
  <c r="N25" i="98"/>
  <c r="N33" i="98"/>
  <c r="P41" i="98"/>
  <c r="N41" i="98"/>
  <c r="N42" i="98"/>
  <c r="P42" i="98"/>
  <c r="N43" i="98"/>
  <c r="P2" i="98"/>
  <c r="N2" i="98"/>
  <c r="N36" i="98"/>
  <c r="P36" i="98"/>
  <c r="N44" i="98"/>
  <c r="J7" i="103"/>
  <c r="K7" i="103" s="1"/>
  <c r="F85" i="79"/>
  <c r="L85" i="79"/>
  <c r="G85" i="79"/>
  <c r="M85" i="79"/>
  <c r="N85" i="79"/>
  <c r="C85" i="79"/>
  <c r="I85" i="79"/>
  <c r="K85" i="79"/>
  <c r="J85" i="79"/>
  <c r="E85" i="79"/>
  <c r="D85" i="79"/>
  <c r="M96" i="79"/>
  <c r="L96" i="79"/>
  <c r="K96" i="79"/>
  <c r="J96" i="79"/>
  <c r="I96" i="79"/>
  <c r="AH52" i="77"/>
  <c r="W53" i="77"/>
  <c r="AV53" i="77"/>
  <c r="BA52" i="77"/>
  <c r="AV52" i="77"/>
  <c r="AE52" i="77"/>
  <c r="W52" i="77"/>
  <c r="V52" i="77" s="1"/>
  <c r="AB52" i="77" s="1"/>
  <c r="T52" i="77"/>
  <c r="H52" i="77" s="1"/>
  <c r="N52" i="77"/>
  <c r="I52" i="77"/>
  <c r="F52" i="77"/>
  <c r="D52" i="77"/>
  <c r="BA51" i="77"/>
  <c r="AV51" i="77"/>
  <c r="AH51" i="77"/>
  <c r="AE51" i="77"/>
  <c r="W51" i="77"/>
  <c r="T51" i="77"/>
  <c r="H51" i="77" s="1"/>
  <c r="N51" i="77"/>
  <c r="I51" i="77"/>
  <c r="F51" i="77"/>
  <c r="D51" i="77"/>
  <c r="BA50" i="77"/>
  <c r="AV50" i="77"/>
  <c r="AH50" i="77"/>
  <c r="W50" i="77"/>
  <c r="V50" i="77" s="1"/>
  <c r="AB50" i="77" s="1"/>
  <c r="T50" i="77"/>
  <c r="H50" i="77" s="1"/>
  <c r="O50" i="77" s="1"/>
  <c r="N50" i="77"/>
  <c r="I50" i="77"/>
  <c r="F50" i="77"/>
  <c r="D50" i="77"/>
  <c r="BA49" i="77"/>
  <c r="AV49" i="77"/>
  <c r="AH49" i="77"/>
  <c r="AE49" i="77"/>
  <c r="AC49" i="77"/>
  <c r="W49" i="77"/>
  <c r="T49" i="77"/>
  <c r="H49" i="77" s="1"/>
  <c r="N49" i="77"/>
  <c r="I49" i="77"/>
  <c r="F49" i="77"/>
  <c r="D49" i="77"/>
  <c r="BA48" i="77"/>
  <c r="AV48" i="77"/>
  <c r="AH48" i="77"/>
  <c r="AE48" i="77"/>
  <c r="W48" i="77"/>
  <c r="T48" i="77"/>
  <c r="H48" i="77" s="1"/>
  <c r="N48" i="77"/>
  <c r="I48" i="77"/>
  <c r="F48" i="77"/>
  <c r="D48" i="77"/>
  <c r="BA47" i="77"/>
  <c r="AV47" i="77"/>
  <c r="AH47" i="77"/>
  <c r="AE47" i="77"/>
  <c r="W47" i="77"/>
  <c r="T47" i="77"/>
  <c r="H47" i="77" s="1"/>
  <c r="N47" i="77"/>
  <c r="I47" i="77"/>
  <c r="F47" i="77"/>
  <c r="D47" i="77"/>
  <c r="BA46" i="77"/>
  <c r="AV46" i="77"/>
  <c r="AH46" i="77"/>
  <c r="W46" i="77"/>
  <c r="T46" i="77"/>
  <c r="H46" i="77" s="1"/>
  <c r="N46" i="77"/>
  <c r="I46" i="77"/>
  <c r="F46" i="77"/>
  <c r="D46" i="77"/>
  <c r="BK45" i="77"/>
  <c r="BA45" i="77"/>
  <c r="AV45" i="77"/>
  <c r="AH45" i="77"/>
  <c r="W45" i="77"/>
  <c r="S45" i="77"/>
  <c r="N45" i="77"/>
  <c r="I45" i="77"/>
  <c r="F45" i="77"/>
  <c r="D45" i="77"/>
  <c r="BK44" i="77"/>
  <c r="AP44" i="77"/>
  <c r="AH44" i="77"/>
  <c r="W44" i="77"/>
  <c r="V44" i="77" s="1"/>
  <c r="S44" i="77"/>
  <c r="E44" i="77"/>
  <c r="I44" i="77" s="1"/>
  <c r="D44" i="77"/>
  <c r="BK43" i="77"/>
  <c r="AP43" i="77"/>
  <c r="AH43" i="77"/>
  <c r="BL43" i="77"/>
  <c r="W43" i="77"/>
  <c r="V43" i="77" s="1"/>
  <c r="S43" i="77"/>
  <c r="E43" i="77"/>
  <c r="D43" i="77"/>
  <c r="BK42" i="77"/>
  <c r="AP42" i="77"/>
  <c r="AH42" i="77"/>
  <c r="W42" i="77"/>
  <c r="S42" i="77"/>
  <c r="E42" i="77"/>
  <c r="I42" i="77" s="1"/>
  <c r="D42" i="77"/>
  <c r="BK41" i="77"/>
  <c r="AP41" i="77"/>
  <c r="AH41" i="77"/>
  <c r="BL41" i="77"/>
  <c r="W41" i="77"/>
  <c r="S41" i="77"/>
  <c r="E41" i="77"/>
  <c r="D41" i="77"/>
  <c r="BK40" i="77"/>
  <c r="AP40" i="77"/>
  <c r="AH40" i="77"/>
  <c r="W40" i="77"/>
  <c r="S40" i="77"/>
  <c r="E40" i="77"/>
  <c r="D40" i="77"/>
  <c r="BK39" i="77"/>
  <c r="AP39" i="77"/>
  <c r="AH39" i="77"/>
  <c r="AE39" i="77" s="1"/>
  <c r="BL39" i="77"/>
  <c r="W39" i="77"/>
  <c r="S39" i="77"/>
  <c r="E39" i="77"/>
  <c r="D39" i="77"/>
  <c r="BK38" i="77"/>
  <c r="AP38" i="77"/>
  <c r="AH38" i="77"/>
  <c r="W38" i="77"/>
  <c r="S38" i="77"/>
  <c r="E38" i="77"/>
  <c r="I38" i="77" s="1"/>
  <c r="D38" i="77"/>
  <c r="BK37" i="77"/>
  <c r="AP37" i="77"/>
  <c r="AH37" i="77"/>
  <c r="V37" i="77"/>
  <c r="W37" i="77"/>
  <c r="S37" i="77"/>
  <c r="E37" i="77"/>
  <c r="I37" i="77" s="1"/>
  <c r="D37" i="77"/>
  <c r="BK36" i="77"/>
  <c r="AP36" i="77"/>
  <c r="AH36" i="77"/>
  <c r="BL36" i="77"/>
  <c r="W36" i="77"/>
  <c r="S36" i="77"/>
  <c r="E36" i="77"/>
  <c r="D36" i="77"/>
  <c r="BK35" i="77"/>
  <c r="AP35" i="77"/>
  <c r="AH35" i="77"/>
  <c r="BL35" i="77"/>
  <c r="W35" i="77"/>
  <c r="S35" i="77"/>
  <c r="E35" i="77"/>
  <c r="D35" i="77"/>
  <c r="BK34" i="77"/>
  <c r="AP34" i="77"/>
  <c r="AH34" i="77"/>
  <c r="BL34" i="77"/>
  <c r="W34" i="77"/>
  <c r="S34" i="77"/>
  <c r="E34" i="77"/>
  <c r="D34" i="77"/>
  <c r="BK33" i="77"/>
  <c r="AP33" i="77"/>
  <c r="AH33" i="77"/>
  <c r="BL33" i="77"/>
  <c r="W33" i="77"/>
  <c r="V33" i="77" s="1"/>
  <c r="S33" i="77"/>
  <c r="E33" i="77"/>
  <c r="D33" i="77"/>
  <c r="BK32" i="77"/>
  <c r="AP32" i="77"/>
  <c r="AH32" i="77"/>
  <c r="AE32" i="77"/>
  <c r="W32" i="77"/>
  <c r="V32" i="77" s="1"/>
  <c r="S32" i="77"/>
  <c r="E32" i="77"/>
  <c r="I32" i="77" s="1"/>
  <c r="D32" i="77"/>
  <c r="BK31" i="77"/>
  <c r="AP31" i="77"/>
  <c r="AH31" i="77"/>
  <c r="W31" i="77"/>
  <c r="V31" i="77" s="1"/>
  <c r="S31" i="77"/>
  <c r="E31" i="77"/>
  <c r="D31" i="77"/>
  <c r="BK30" i="77"/>
  <c r="AP30" i="77"/>
  <c r="AH30" i="77"/>
  <c r="W30" i="77"/>
  <c r="V30" i="77" s="1"/>
  <c r="S30" i="77"/>
  <c r="E30" i="77"/>
  <c r="I30" i="77" s="1"/>
  <c r="D30" i="77"/>
  <c r="BK29" i="77"/>
  <c r="AP29" i="77"/>
  <c r="AH29" i="77"/>
  <c r="AE29" i="77" s="1"/>
  <c r="BL29" i="77"/>
  <c r="W29" i="77"/>
  <c r="V29" i="77" s="1"/>
  <c r="S29" i="77"/>
  <c r="E29" i="77"/>
  <c r="D29" i="77"/>
  <c r="BK28" i="77"/>
  <c r="AP28" i="77"/>
  <c r="AH28" i="77"/>
  <c r="W28" i="77"/>
  <c r="S28" i="77"/>
  <c r="E28" i="77"/>
  <c r="D28" i="77"/>
  <c r="BK27" i="77"/>
  <c r="AP27" i="77"/>
  <c r="AH27" i="77"/>
  <c r="BL27" i="77"/>
  <c r="W27" i="77"/>
  <c r="V27" i="77" s="1"/>
  <c r="S27" i="77"/>
  <c r="E27" i="77"/>
  <c r="D27" i="77"/>
  <c r="BK26" i="77"/>
  <c r="AP26" i="77"/>
  <c r="AH26" i="77"/>
  <c r="W26" i="77"/>
  <c r="S26" i="77"/>
  <c r="E26" i="77"/>
  <c r="I26" i="77" s="1"/>
  <c r="D26" i="77"/>
  <c r="BK25" i="77"/>
  <c r="AP25" i="77"/>
  <c r="AH25" i="77"/>
  <c r="BL25" i="77"/>
  <c r="W25" i="77"/>
  <c r="V25" i="77" s="1"/>
  <c r="S25" i="77"/>
  <c r="E25" i="77"/>
  <c r="D25" i="77"/>
  <c r="BK24" i="77"/>
  <c r="AP24" i="77"/>
  <c r="AH24" i="77"/>
  <c r="W24" i="77"/>
  <c r="V24" i="77"/>
  <c r="S24" i="77"/>
  <c r="E24" i="77"/>
  <c r="D24" i="77"/>
  <c r="BK23" i="77"/>
  <c r="AP23" i="77"/>
  <c r="AH23" i="77"/>
  <c r="BL23" i="77"/>
  <c r="W23" i="77"/>
  <c r="V23" i="77" s="1"/>
  <c r="S23" i="77"/>
  <c r="E23" i="77"/>
  <c r="I23" i="77" s="1"/>
  <c r="D23" i="77"/>
  <c r="BK22" i="77"/>
  <c r="AP22" i="77"/>
  <c r="AH22" i="77"/>
  <c r="AE22" i="77"/>
  <c r="W22" i="77"/>
  <c r="V22" i="77" s="1"/>
  <c r="S22" i="77"/>
  <c r="E22" i="77"/>
  <c r="D22" i="77"/>
  <c r="BK21" i="77"/>
  <c r="AP21" i="77"/>
  <c r="AH21" i="77"/>
  <c r="BL21" i="77"/>
  <c r="W21" i="77"/>
  <c r="V21" i="77" s="1"/>
  <c r="S21" i="77"/>
  <c r="E21" i="77"/>
  <c r="D21" i="77"/>
  <c r="BK20" i="77"/>
  <c r="AP20" i="77"/>
  <c r="AH20" i="77"/>
  <c r="AE20" i="77" s="1"/>
  <c r="BL20" i="77"/>
  <c r="W20" i="77"/>
  <c r="S20" i="77"/>
  <c r="E20" i="77"/>
  <c r="F20" i="77" s="1"/>
  <c r="D20" i="77"/>
  <c r="BK19" i="77"/>
  <c r="AP19" i="77"/>
  <c r="AH19" i="77"/>
  <c r="BL19" i="77"/>
  <c r="W19" i="77"/>
  <c r="V19" i="77" s="1"/>
  <c r="S19" i="77"/>
  <c r="E19" i="77"/>
  <c r="D19" i="77"/>
  <c r="BK18" i="77"/>
  <c r="AP18" i="77"/>
  <c r="AH18" i="77"/>
  <c r="W18" i="77"/>
  <c r="V18" i="77" s="1"/>
  <c r="S18" i="77"/>
  <c r="E18" i="77"/>
  <c r="F18" i="77" s="1"/>
  <c r="D18" i="77"/>
  <c r="BK17" i="77"/>
  <c r="AP17" i="77"/>
  <c r="AH17" i="77"/>
  <c r="BL17" i="77"/>
  <c r="W17" i="77"/>
  <c r="V17" i="77"/>
  <c r="S17" i="77"/>
  <c r="E17" i="77"/>
  <c r="D17" i="77"/>
  <c r="BK16" i="77"/>
  <c r="AP16" i="77"/>
  <c r="AH16" i="77"/>
  <c r="BL16" i="77"/>
  <c r="AE16" i="77"/>
  <c r="W16" i="77"/>
  <c r="S16" i="77"/>
  <c r="E16" i="77"/>
  <c r="I16" i="77" s="1"/>
  <c r="D16" i="77"/>
  <c r="BK15" i="77"/>
  <c r="AP15" i="77"/>
  <c r="AH15" i="77"/>
  <c r="BL15" i="77"/>
  <c r="W15" i="77"/>
  <c r="S15" i="77"/>
  <c r="E15" i="77"/>
  <c r="D15" i="77"/>
  <c r="BK14" i="77"/>
  <c r="AP14" i="77"/>
  <c r="AH14" i="77"/>
  <c r="BL14" i="77"/>
  <c r="W14" i="77"/>
  <c r="V14" i="77" s="1"/>
  <c r="S14" i="77"/>
  <c r="E14" i="77"/>
  <c r="D14" i="77"/>
  <c r="BK13" i="77"/>
  <c r="AP13" i="77"/>
  <c r="AH13" i="77"/>
  <c r="BL13" i="77"/>
  <c r="W13" i="77"/>
  <c r="V13" i="77" s="1"/>
  <c r="S13" i="77"/>
  <c r="E13" i="77"/>
  <c r="D13" i="77"/>
  <c r="BK12" i="77"/>
  <c r="AP12" i="77"/>
  <c r="AH12" i="77"/>
  <c r="W12" i="77"/>
  <c r="V12" i="77" s="1"/>
  <c r="S12" i="77"/>
  <c r="E12" i="77"/>
  <c r="D12" i="77"/>
  <c r="BK11" i="77"/>
  <c r="AP11" i="77"/>
  <c r="AH11" i="77"/>
  <c r="Z11" i="77"/>
  <c r="S11" i="77"/>
  <c r="E11" i="77"/>
  <c r="F11" i="77" s="1"/>
  <c r="D11" i="77"/>
  <c r="BK10" i="77"/>
  <c r="AP10" i="77"/>
  <c r="AH10" i="77"/>
  <c r="S10" i="77"/>
  <c r="E10" i="77"/>
  <c r="D10" i="77"/>
  <c r="BK9" i="77"/>
  <c r="AP9" i="77"/>
  <c r="AH9" i="77"/>
  <c r="BL9" i="77"/>
  <c r="S9" i="77"/>
  <c r="E9" i="77"/>
  <c r="D9" i="77"/>
  <c r="BK8" i="77"/>
  <c r="AP8" i="77"/>
  <c r="AH8" i="77"/>
  <c r="S8" i="77"/>
  <c r="E8" i="77"/>
  <c r="I8" i="77" s="1"/>
  <c r="D8" i="77"/>
  <c r="BK7" i="77"/>
  <c r="AP7" i="77"/>
  <c r="AH7" i="77"/>
  <c r="AE7" i="77" s="1"/>
  <c r="BL7" i="77"/>
  <c r="S7" i="77"/>
  <c r="E7" i="77"/>
  <c r="I7" i="77" s="1"/>
  <c r="D7" i="77"/>
  <c r="BK6" i="77"/>
  <c r="AP6" i="77"/>
  <c r="AH6" i="77"/>
  <c r="S6" i="77"/>
  <c r="E6" i="77"/>
  <c r="I6" i="77" s="1"/>
  <c r="D6" i="77"/>
  <c r="BK5" i="77"/>
  <c r="AP5" i="77"/>
  <c r="AH5" i="77"/>
  <c r="S5" i="77"/>
  <c r="E5" i="77"/>
  <c r="D5" i="77"/>
  <c r="V47" i="77" l="1"/>
  <c r="AB47" i="77" s="1"/>
  <c r="V45" i="77"/>
  <c r="AC52" i="77"/>
  <c r="AE14" i="77"/>
  <c r="AE19" i="77"/>
  <c r="V20" i="77"/>
  <c r="AE34" i="77"/>
  <c r="AL34" i="77" s="1"/>
  <c r="V41" i="77"/>
  <c r="V48" i="77"/>
  <c r="AB48" i="77" s="1"/>
  <c r="AC50" i="77"/>
  <c r="O48" i="98"/>
  <c r="O51" i="77"/>
  <c r="V42" i="77"/>
  <c r="O49" i="77"/>
  <c r="V53" i="77"/>
  <c r="K14" i="95" s="1"/>
  <c r="AE36" i="77"/>
  <c r="AC46" i="77"/>
  <c r="V49" i="77"/>
  <c r="AB49" i="77" s="1"/>
  <c r="O46" i="77"/>
  <c r="AE17" i="77"/>
  <c r="AR17" i="77" s="1"/>
  <c r="AF22" i="77"/>
  <c r="V28" i="77"/>
  <c r="AF32" i="77"/>
  <c r="V38" i="77"/>
  <c r="O47" i="77"/>
  <c r="F53" i="77"/>
  <c r="V39" i="77"/>
  <c r="AL39" i="77" s="1"/>
  <c r="AE9" i="77"/>
  <c r="AR9" i="77" s="1"/>
  <c r="AE41" i="77"/>
  <c r="AR41" i="77" s="1"/>
  <c r="AL47" i="77"/>
  <c r="AO47" i="77" s="1"/>
  <c r="AR47" i="77" s="1"/>
  <c r="AE13" i="77"/>
  <c r="AF13" i="77" s="1"/>
  <c r="AE15" i="77"/>
  <c r="AF15" i="77" s="1"/>
  <c r="AE23" i="77"/>
  <c r="AR23" i="77" s="1"/>
  <c r="AE27" i="77"/>
  <c r="AL27" i="77" s="1"/>
  <c r="B85" i="79"/>
  <c r="H85" i="79"/>
  <c r="AG53" i="77" s="1"/>
  <c r="V36" i="77"/>
  <c r="AL36" i="77" s="1"/>
  <c r="V35" i="77"/>
  <c r="AE33" i="77"/>
  <c r="AE30" i="77"/>
  <c r="AF30" i="77" s="1"/>
  <c r="V26" i="77"/>
  <c r="AE21" i="77"/>
  <c r="AL21" i="77" s="1"/>
  <c r="V46" i="77"/>
  <c r="AB46" i="77" s="1"/>
  <c r="AE43" i="77"/>
  <c r="AF43" i="77" s="1"/>
  <c r="T53" i="77"/>
  <c r="H53" i="77" s="1"/>
  <c r="O52" i="77"/>
  <c r="O48" i="77"/>
  <c r="V16" i="77"/>
  <c r="V15" i="77"/>
  <c r="AC48" i="77"/>
  <c r="J8" i="103"/>
  <c r="AI53" i="77" s="1"/>
  <c r="AJ53" i="77"/>
  <c r="BC45" i="77"/>
  <c r="BD45" i="77"/>
  <c r="BB45" i="77"/>
  <c r="BE45" i="77"/>
  <c r="BL45" i="77"/>
  <c r="AE45" i="77"/>
  <c r="BL44" i="77"/>
  <c r="AE44" i="77"/>
  <c r="AF44" i="77" s="1"/>
  <c r="F43" i="77"/>
  <c r="I43" i="77"/>
  <c r="F41" i="77"/>
  <c r="I41" i="77"/>
  <c r="AE40" i="77"/>
  <c r="AF40" i="77" s="1"/>
  <c r="BL40" i="77"/>
  <c r="F40" i="77"/>
  <c r="I40" i="77"/>
  <c r="AE38" i="77"/>
  <c r="AF38" i="77" s="1"/>
  <c r="BL38" i="77"/>
  <c r="AE37" i="77"/>
  <c r="AS37" i="77" s="1"/>
  <c r="BL37" i="77"/>
  <c r="F35" i="77"/>
  <c r="I35" i="77"/>
  <c r="F34" i="77"/>
  <c r="I34" i="77"/>
  <c r="F31" i="77"/>
  <c r="I31" i="77"/>
  <c r="F29" i="77"/>
  <c r="I29" i="77"/>
  <c r="I28" i="77"/>
  <c r="F28" i="77"/>
  <c r="F27" i="77"/>
  <c r="I27" i="77"/>
  <c r="F25" i="77"/>
  <c r="I25" i="77"/>
  <c r="F24" i="77"/>
  <c r="I24" i="77"/>
  <c r="I22" i="77"/>
  <c r="F22" i="77"/>
  <c r="F21" i="77"/>
  <c r="I21" i="77"/>
  <c r="AE18" i="77"/>
  <c r="BL18" i="77"/>
  <c r="I15" i="77"/>
  <c r="F15" i="77"/>
  <c r="AR14" i="77"/>
  <c r="AS14" i="77"/>
  <c r="AR13" i="77"/>
  <c r="AS13" i="77"/>
  <c r="F13" i="77"/>
  <c r="I13" i="77"/>
  <c r="AE12" i="77"/>
  <c r="AS12" i="77" s="1"/>
  <c r="BL12" i="77"/>
  <c r="AF12" i="77"/>
  <c r="I12" i="77"/>
  <c r="F12" i="77"/>
  <c r="Z10" i="77"/>
  <c r="W11" i="77"/>
  <c r="V11" i="77" s="1"/>
  <c r="AE10" i="77"/>
  <c r="AS10" i="77" s="1"/>
  <c r="BL10" i="77"/>
  <c r="F10" i="77"/>
  <c r="I10" i="77"/>
  <c r="F9" i="77"/>
  <c r="I9" i="77"/>
  <c r="BL8" i="77"/>
  <c r="AE8" i="77"/>
  <c r="AS8" i="77" s="1"/>
  <c r="AS7" i="77"/>
  <c r="AR7" i="77"/>
  <c r="F5" i="77"/>
  <c r="I5" i="77"/>
  <c r="N53" i="77"/>
  <c r="AS47" i="77"/>
  <c r="AT47" i="77"/>
  <c r="AL22" i="77"/>
  <c r="I39" i="77"/>
  <c r="F39" i="77"/>
  <c r="F23" i="77"/>
  <c r="AL20" i="77"/>
  <c r="AS20" i="77"/>
  <c r="AR20" i="77"/>
  <c r="AF20" i="77"/>
  <c r="AE28" i="77"/>
  <c r="BL28" i="77"/>
  <c r="AF28" i="77"/>
  <c r="F38" i="77"/>
  <c r="AS27" i="77"/>
  <c r="AR27" i="77"/>
  <c r="I17" i="77"/>
  <c r="F17" i="77"/>
  <c r="F37" i="77"/>
  <c r="AF52" i="77"/>
  <c r="AL52" i="77"/>
  <c r="AO52" i="77" s="1"/>
  <c r="AF9" i="77"/>
  <c r="AF47" i="77"/>
  <c r="V34" i="77"/>
  <c r="AF29" i="77"/>
  <c r="AL29" i="77"/>
  <c r="AS29" i="77"/>
  <c r="AR29" i="77"/>
  <c r="AE46" i="77"/>
  <c r="AS30" i="77"/>
  <c r="AS32" i="77"/>
  <c r="AR32" i="77"/>
  <c r="AS34" i="77"/>
  <c r="AR34" i="77"/>
  <c r="AF34" i="77"/>
  <c r="AZ45" i="77"/>
  <c r="AY45" i="77"/>
  <c r="AW45" i="77"/>
  <c r="AX45" i="77"/>
  <c r="F6" i="77"/>
  <c r="I18" i="77"/>
  <c r="I19" i="77"/>
  <c r="F19" i="77"/>
  <c r="AR30" i="77"/>
  <c r="AL32" i="77"/>
  <c r="AF51" i="77"/>
  <c r="F7" i="77"/>
  <c r="AS16" i="77"/>
  <c r="AR16" i="77"/>
  <c r="AL16" i="77"/>
  <c r="F42" i="77"/>
  <c r="AF16" i="77"/>
  <c r="AE35" i="77"/>
  <c r="AF35" i="77" s="1"/>
  <c r="AS36" i="77"/>
  <c r="AR36" i="77"/>
  <c r="AF36" i="77"/>
  <c r="F26" i="77"/>
  <c r="D53" i="77"/>
  <c r="V51" i="77"/>
  <c r="AB51" i="77" s="1"/>
  <c r="AC51" i="77"/>
  <c r="AL18" i="77"/>
  <c r="BL30" i="77"/>
  <c r="AF39" i="77"/>
  <c r="AR39" i="77"/>
  <c r="AS39" i="77"/>
  <c r="F44" i="77"/>
  <c r="AE50" i="77"/>
  <c r="AL50" i="77" s="1"/>
  <c r="AO50" i="77" s="1"/>
  <c r="I14" i="77"/>
  <c r="F14" i="77"/>
  <c r="AS17" i="77"/>
  <c r="I20" i="77"/>
  <c r="BL32" i="77"/>
  <c r="BL6" i="77"/>
  <c r="AE6" i="77"/>
  <c r="O53" i="77"/>
  <c r="I33" i="77"/>
  <c r="F33" i="77"/>
  <c r="AF49" i="77"/>
  <c r="AF7" i="77"/>
  <c r="AR12" i="77"/>
  <c r="AF19" i="77"/>
  <c r="AS19" i="77"/>
  <c r="AR19" i="77"/>
  <c r="AL19" i="77"/>
  <c r="BL24" i="77"/>
  <c r="AE24" i="77"/>
  <c r="AS23" i="77"/>
  <c r="V40" i="77"/>
  <c r="AE11" i="77"/>
  <c r="BL11" i="77"/>
  <c r="AE5" i="77"/>
  <c r="BL5" i="77"/>
  <c r="AE42" i="77"/>
  <c r="AF42" i="77" s="1"/>
  <c r="BL42" i="77"/>
  <c r="AL17" i="77"/>
  <c r="AE26" i="77"/>
  <c r="BL26" i="77"/>
  <c r="F30" i="77"/>
  <c r="AL41" i="77"/>
  <c r="AF48" i="77"/>
  <c r="AL48" i="77"/>
  <c r="AO48" i="77" s="1"/>
  <c r="AL12" i="77"/>
  <c r="F16" i="77"/>
  <c r="AE25" i="77"/>
  <c r="AB45" i="77"/>
  <c r="T45" i="77"/>
  <c r="AC47" i="77"/>
  <c r="BL22" i="77"/>
  <c r="AF27" i="77"/>
  <c r="I53" i="77"/>
  <c r="AE31" i="77"/>
  <c r="BL31" i="77"/>
  <c r="I36" i="77"/>
  <c r="F36" i="77"/>
  <c r="AL14" i="77"/>
  <c r="AS22" i="77"/>
  <c r="AR22" i="77"/>
  <c r="F8" i="77"/>
  <c r="AF14" i="77"/>
  <c r="BA53" i="77"/>
  <c r="AF18" i="77"/>
  <c r="I11" i="77"/>
  <c r="F32" i="77"/>
  <c r="E252" i="98"/>
  <c r="E251" i="98"/>
  <c r="E250" i="98"/>
  <c r="E249" i="98"/>
  <c r="E248" i="98"/>
  <c r="E247" i="98"/>
  <c r="E246" i="98"/>
  <c r="E245" i="98"/>
  <c r="E244" i="98"/>
  <c r="E243" i="98"/>
  <c r="E242" i="98"/>
  <c r="E241" i="98"/>
  <c r="E240" i="98"/>
  <c r="E239" i="98"/>
  <c r="E238" i="98"/>
  <c r="E237" i="98"/>
  <c r="E236" i="98"/>
  <c r="E235" i="98"/>
  <c r="E234" i="98"/>
  <c r="E233" i="98"/>
  <c r="E232" i="98"/>
  <c r="E231" i="98"/>
  <c r="E230" i="98"/>
  <c r="E229" i="98"/>
  <c r="E228" i="98"/>
  <c r="E227" i="98"/>
  <c r="E226" i="98"/>
  <c r="E225" i="98"/>
  <c r="E224" i="98"/>
  <c r="E223" i="98"/>
  <c r="E222" i="98"/>
  <c r="E221" i="98"/>
  <c r="E220" i="98"/>
  <c r="E219" i="98"/>
  <c r="E218" i="98"/>
  <c r="E217" i="98"/>
  <c r="E216" i="98"/>
  <c r="E215" i="98"/>
  <c r="E214" i="98"/>
  <c r="E213" i="98"/>
  <c r="E212" i="98"/>
  <c r="E211" i="98"/>
  <c r="E210" i="98"/>
  <c r="E209" i="98"/>
  <c r="E208" i="98"/>
  <c r="E207" i="98"/>
  <c r="E206" i="98"/>
  <c r="E205" i="98"/>
  <c r="E204" i="98"/>
  <c r="E203" i="98"/>
  <c r="E202" i="98"/>
  <c r="E201" i="98"/>
  <c r="E200" i="98"/>
  <c r="E199" i="98"/>
  <c r="E198" i="98"/>
  <c r="E197" i="98"/>
  <c r="E196" i="98"/>
  <c r="E195" i="98"/>
  <c r="E194" i="98"/>
  <c r="E193" i="98"/>
  <c r="E192" i="98"/>
  <c r="E191" i="98"/>
  <c r="E190" i="98"/>
  <c r="E189" i="98"/>
  <c r="E188" i="98"/>
  <c r="E187" i="98"/>
  <c r="E186" i="98"/>
  <c r="E185" i="98"/>
  <c r="E184" i="98"/>
  <c r="E183" i="98"/>
  <c r="E182" i="98"/>
  <c r="E181" i="98"/>
  <c r="E180" i="98"/>
  <c r="E179" i="98"/>
  <c r="E178" i="98"/>
  <c r="E177" i="98"/>
  <c r="E176" i="98"/>
  <c r="E175" i="98"/>
  <c r="E174" i="98"/>
  <c r="E173" i="98"/>
  <c r="E172" i="98"/>
  <c r="E171" i="98"/>
  <c r="E170" i="98"/>
  <c r="E169" i="98"/>
  <c r="E168" i="98"/>
  <c r="E167" i="98"/>
  <c r="E166" i="98"/>
  <c r="E165" i="98"/>
  <c r="E164" i="98"/>
  <c r="E163" i="98"/>
  <c r="E162" i="98"/>
  <c r="E161" i="98"/>
  <c r="E160" i="98"/>
  <c r="E159" i="98"/>
  <c r="E158" i="98"/>
  <c r="E157" i="98"/>
  <c r="E156" i="98"/>
  <c r="E155" i="98"/>
  <c r="E154" i="98"/>
  <c r="E153" i="98"/>
  <c r="E152" i="98"/>
  <c r="E151" i="98"/>
  <c r="E150" i="98"/>
  <c r="E149" i="98"/>
  <c r="E148" i="98"/>
  <c r="E147" i="98"/>
  <c r="E146" i="98"/>
  <c r="E145" i="98"/>
  <c r="E144" i="98"/>
  <c r="E143" i="98"/>
  <c r="E142" i="98"/>
  <c r="E141" i="98"/>
  <c r="E140" i="98"/>
  <c r="E139" i="98"/>
  <c r="E138" i="98"/>
  <c r="E137" i="98"/>
  <c r="E136" i="98"/>
  <c r="E135" i="98"/>
  <c r="E134" i="98"/>
  <c r="E133" i="98"/>
  <c r="E132" i="98"/>
  <c r="E131" i="98"/>
  <c r="E130" i="98"/>
  <c r="E129" i="98"/>
  <c r="E128" i="98"/>
  <c r="E127" i="98"/>
  <c r="E126" i="98"/>
  <c r="E125" i="98"/>
  <c r="E124" i="98"/>
  <c r="E123" i="98"/>
  <c r="E122" i="98"/>
  <c r="E121" i="98"/>
  <c r="E120" i="98"/>
  <c r="E119" i="98"/>
  <c r="E118" i="98"/>
  <c r="E117" i="98"/>
  <c r="E116" i="98"/>
  <c r="E115" i="98"/>
  <c r="E114" i="98"/>
  <c r="E113" i="98"/>
  <c r="E112" i="98"/>
  <c r="E111" i="98"/>
  <c r="E110" i="98"/>
  <c r="E109" i="98"/>
  <c r="E108" i="98"/>
  <c r="E107" i="98"/>
  <c r="E106" i="98"/>
  <c r="E105" i="98"/>
  <c r="E104" i="98"/>
  <c r="E103" i="98"/>
  <c r="E102" i="98"/>
  <c r="E101" i="98"/>
  <c r="E100" i="98"/>
  <c r="E99" i="98"/>
  <c r="E98" i="98"/>
  <c r="E97" i="98"/>
  <c r="E96" i="98"/>
  <c r="E95" i="98"/>
  <c r="E94" i="98"/>
  <c r="E93" i="98"/>
  <c r="E92" i="98"/>
  <c r="E91" i="98"/>
  <c r="E90" i="98"/>
  <c r="E89" i="98"/>
  <c r="E88" i="98"/>
  <c r="E87" i="98"/>
  <c r="E86" i="98"/>
  <c r="E85" i="98"/>
  <c r="E84" i="98"/>
  <c r="E83" i="98"/>
  <c r="E82" i="98"/>
  <c r="E81" i="98"/>
  <c r="E80" i="98"/>
  <c r="E79" i="98"/>
  <c r="E78" i="98"/>
  <c r="E77" i="98"/>
  <c r="E76" i="98"/>
  <c r="E75" i="98"/>
  <c r="E74" i="98"/>
  <c r="E73" i="98"/>
  <c r="E72" i="98"/>
  <c r="E71" i="98"/>
  <c r="E70" i="98"/>
  <c r="E69" i="98"/>
  <c r="E68" i="98"/>
  <c r="E67" i="98"/>
  <c r="E66" i="98"/>
  <c r="E65" i="98"/>
  <c r="E64" i="98"/>
  <c r="E63" i="98"/>
  <c r="E62" i="98"/>
  <c r="E61" i="98"/>
  <c r="E60" i="98"/>
  <c r="E59" i="98"/>
  <c r="E58" i="98"/>
  <c r="E57" i="98"/>
  <c r="E56" i="98"/>
  <c r="E55" i="98"/>
  <c r="E54" i="98"/>
  <c r="E53" i="98"/>
  <c r="E52" i="98"/>
  <c r="E51" i="98"/>
  <c r="E50" i="98"/>
  <c r="E49" i="98"/>
  <c r="E48" i="98"/>
  <c r="E47" i="98"/>
  <c r="E7" i="98"/>
  <c r="E43" i="98"/>
  <c r="E36" i="98"/>
  <c r="E12" i="98"/>
  <c r="E38" i="98"/>
  <c r="E19" i="98"/>
  <c r="E42" i="98"/>
  <c r="E8" i="98"/>
  <c r="E35" i="98"/>
  <c r="E37" i="98"/>
  <c r="E4" i="98"/>
  <c r="E13" i="98"/>
  <c r="E17" i="98"/>
  <c r="E34" i="98"/>
  <c r="E33" i="98"/>
  <c r="E16" i="98"/>
  <c r="E32" i="98"/>
  <c r="E31" i="98"/>
  <c r="E39" i="98"/>
  <c r="E15" i="98"/>
  <c r="E11" i="98"/>
  <c r="E30" i="98"/>
  <c r="E44" i="98"/>
  <c r="E29" i="98"/>
  <c r="E28" i="98"/>
  <c r="E27" i="98"/>
  <c r="E10" i="98"/>
  <c r="E26" i="98"/>
  <c r="E9" i="98"/>
  <c r="E41" i="98"/>
  <c r="E25" i="98"/>
  <c r="E40" i="98"/>
  <c r="E18" i="98"/>
  <c r="E24" i="98"/>
  <c r="E23" i="98"/>
  <c r="E6" i="98"/>
  <c r="E5" i="98"/>
  <c r="E2" i="98"/>
  <c r="E14" i="98"/>
  <c r="E3" i="98"/>
  <c r="E22" i="98"/>
  <c r="E21" i="98"/>
  <c r="E20" i="98"/>
  <c r="F56" i="98"/>
  <c r="F47" i="98"/>
  <c r="F48" i="98"/>
  <c r="F49" i="98"/>
  <c r="F156" i="98"/>
  <c r="F95" i="98"/>
  <c r="F51" i="98"/>
  <c r="F54" i="98"/>
  <c r="F52" i="98"/>
  <c r="F224" i="98"/>
  <c r="F53" i="98"/>
  <c r="F96" i="98"/>
  <c r="F169" i="98"/>
  <c r="F55" i="98"/>
  <c r="F57" i="98"/>
  <c r="F60" i="98"/>
  <c r="F61" i="98"/>
  <c r="F58" i="98"/>
  <c r="F73" i="98"/>
  <c r="F62" i="98"/>
  <c r="F65" i="98"/>
  <c r="F66" i="98"/>
  <c r="F67" i="98"/>
  <c r="F70" i="98"/>
  <c r="F64" i="98"/>
  <c r="F68" i="98"/>
  <c r="F72" i="98"/>
  <c r="F69" i="98"/>
  <c r="F214" i="98"/>
  <c r="F63" i="98"/>
  <c r="F74" i="98"/>
  <c r="F89" i="98"/>
  <c r="F86" i="98"/>
  <c r="F76" i="98"/>
  <c r="F78" i="98"/>
  <c r="F93" i="98"/>
  <c r="F82" i="98"/>
  <c r="F90" i="98"/>
  <c r="F97" i="98"/>
  <c r="F84" i="98"/>
  <c r="F94" i="98"/>
  <c r="F195" i="98"/>
  <c r="F88" i="98"/>
  <c r="F85" i="98"/>
  <c r="F77" i="98"/>
  <c r="F101" i="98"/>
  <c r="F83" i="98"/>
  <c r="F87" i="98"/>
  <c r="F91" i="98"/>
  <c r="F79" i="98"/>
  <c r="F92" i="98"/>
  <c r="F103" i="98"/>
  <c r="F104" i="98"/>
  <c r="F105" i="98"/>
  <c r="F107" i="98"/>
  <c r="F187" i="98"/>
  <c r="F80" i="98"/>
  <c r="F112" i="98"/>
  <c r="F201" i="98"/>
  <c r="F108" i="98"/>
  <c r="F113" i="98"/>
  <c r="F115" i="98"/>
  <c r="F110" i="98"/>
  <c r="F111" i="98"/>
  <c r="F109" i="98"/>
  <c r="F114" i="98"/>
  <c r="F116" i="98"/>
  <c r="F117" i="98"/>
  <c r="F126" i="98"/>
  <c r="F125" i="98"/>
  <c r="F124" i="98"/>
  <c r="F120" i="98"/>
  <c r="F122" i="98"/>
  <c r="F119" i="98"/>
  <c r="F121" i="98"/>
  <c r="F123" i="98"/>
  <c r="F127" i="98"/>
  <c r="F136" i="98"/>
  <c r="F144" i="98"/>
  <c r="F137" i="98"/>
  <c r="F139" i="98"/>
  <c r="F131" i="98"/>
  <c r="F138" i="98"/>
  <c r="F129" i="98"/>
  <c r="F118" i="98"/>
  <c r="F133" i="98"/>
  <c r="F132" i="98"/>
  <c r="F128" i="98"/>
  <c r="F141" i="98"/>
  <c r="F142" i="98"/>
  <c r="F71" i="98"/>
  <c r="F140" i="98"/>
  <c r="F143" i="98"/>
  <c r="F145" i="98"/>
  <c r="F106" i="98"/>
  <c r="F134" i="98"/>
  <c r="F130" i="98"/>
  <c r="F98" i="98"/>
  <c r="F212" i="98"/>
  <c r="F146" i="98"/>
  <c r="F147" i="98"/>
  <c r="F151" i="98"/>
  <c r="F81" i="98"/>
  <c r="F148" i="98"/>
  <c r="F99" i="98"/>
  <c r="F149" i="98"/>
  <c r="F150" i="98"/>
  <c r="F152" i="98"/>
  <c r="F153" i="98"/>
  <c r="F155" i="98"/>
  <c r="F100" i="98"/>
  <c r="F157" i="98"/>
  <c r="F218" i="98"/>
  <c r="F154" i="98"/>
  <c r="F158" i="98"/>
  <c r="F159" i="98"/>
  <c r="F160" i="98"/>
  <c r="F161" i="98"/>
  <c r="F162" i="98"/>
  <c r="F165" i="98"/>
  <c r="F166" i="98"/>
  <c r="F164" i="98"/>
  <c r="F225" i="98"/>
  <c r="F163" i="98"/>
  <c r="F167" i="98"/>
  <c r="F171" i="98"/>
  <c r="F205" i="98"/>
  <c r="F168" i="98"/>
  <c r="F170" i="98"/>
  <c r="F213" i="98"/>
  <c r="F172" i="98"/>
  <c r="F177" i="98"/>
  <c r="F188" i="98"/>
  <c r="F176" i="98"/>
  <c r="F180" i="98"/>
  <c r="F179" i="98"/>
  <c r="F194" i="98"/>
  <c r="F173" i="98"/>
  <c r="F184" i="98"/>
  <c r="F178" i="98"/>
  <c r="F174" i="98"/>
  <c r="F181" i="98"/>
  <c r="F182" i="98"/>
  <c r="F175" i="98"/>
  <c r="F183" i="98"/>
  <c r="F185" i="98"/>
  <c r="F135" i="98"/>
  <c r="F190" i="98"/>
  <c r="F191" i="98"/>
  <c r="F189" i="98"/>
  <c r="F192" i="98"/>
  <c r="F50" i="98"/>
  <c r="F193" i="98"/>
  <c r="F196" i="98"/>
  <c r="F250" i="98"/>
  <c r="F197" i="98"/>
  <c r="F198" i="98"/>
  <c r="F199" i="98"/>
  <c r="F202" i="98"/>
  <c r="F216" i="98"/>
  <c r="F211" i="98"/>
  <c r="F203" i="98"/>
  <c r="F204" i="98"/>
  <c r="F219" i="98"/>
  <c r="F209" i="98"/>
  <c r="F207" i="98"/>
  <c r="F208" i="98"/>
  <c r="F200" i="98"/>
  <c r="F217" i="98"/>
  <c r="F206" i="98"/>
  <c r="F75" i="98"/>
  <c r="F210" i="98"/>
  <c r="F215" i="98"/>
  <c r="F227" i="98"/>
  <c r="F226" i="98"/>
  <c r="F231" i="98"/>
  <c r="F223" i="98"/>
  <c r="F237" i="98"/>
  <c r="F230" i="98"/>
  <c r="F232" i="98"/>
  <c r="F234" i="98"/>
  <c r="F236" i="98"/>
  <c r="F102" i="98"/>
  <c r="F228" i="98"/>
  <c r="F240" i="98"/>
  <c r="F239" i="98"/>
  <c r="F222" i="98"/>
  <c r="F238" i="98"/>
  <c r="F221" i="98"/>
  <c r="F229" i="98"/>
  <c r="F233" i="98"/>
  <c r="F235" i="98"/>
  <c r="F220" i="98"/>
  <c r="F241" i="98"/>
  <c r="F244" i="98"/>
  <c r="F186" i="98"/>
  <c r="F245" i="98"/>
  <c r="F249" i="98"/>
  <c r="F243" i="98"/>
  <c r="F59" i="98"/>
  <c r="F248" i="98"/>
  <c r="F251" i="98"/>
  <c r="F246" i="98"/>
  <c r="F247" i="98"/>
  <c r="F252" i="98"/>
  <c r="F242" i="98"/>
  <c r="O6" i="98" l="1"/>
  <c r="Q6" i="98"/>
  <c r="Q26" i="98"/>
  <c r="O26" i="98"/>
  <c r="R15" i="98"/>
  <c r="Q15" i="98"/>
  <c r="O15" i="98"/>
  <c r="Q13" i="98"/>
  <c r="O13" i="98"/>
  <c r="O12" i="98"/>
  <c r="Q12" i="98"/>
  <c r="W10" i="77"/>
  <c r="V10" i="77" s="1"/>
  <c r="Z9" i="77"/>
  <c r="O20" i="98"/>
  <c r="Q20" i="98"/>
  <c r="Q23" i="98"/>
  <c r="O23" i="98"/>
  <c r="Q10" i="98"/>
  <c r="O10" i="98"/>
  <c r="R39" i="98"/>
  <c r="Q39" i="98"/>
  <c r="O39" i="98"/>
  <c r="R4" i="98"/>
  <c r="O4" i="98"/>
  <c r="Q4" i="98"/>
  <c r="O36" i="98"/>
  <c r="R36" i="98"/>
  <c r="Q36" i="98"/>
  <c r="O21" i="98"/>
  <c r="Q21" i="98"/>
  <c r="Q24" i="98"/>
  <c r="O24" i="98"/>
  <c r="O27" i="98"/>
  <c r="Q27" i="98"/>
  <c r="Q31" i="98"/>
  <c r="O31" i="98"/>
  <c r="R31" i="98"/>
  <c r="R37" i="98"/>
  <c r="Q37" i="98"/>
  <c r="O37" i="98"/>
  <c r="O43" i="98"/>
  <c r="Q43" i="98"/>
  <c r="Q22" i="98"/>
  <c r="R22" i="98"/>
  <c r="O22" i="98"/>
  <c r="Q18" i="98"/>
  <c r="O18" i="98"/>
  <c r="O28" i="98"/>
  <c r="Q28" i="98"/>
  <c r="R28" i="98"/>
  <c r="R32" i="98"/>
  <c r="Q32" i="98"/>
  <c r="O32" i="98"/>
  <c r="O35" i="98"/>
  <c r="Q35" i="98"/>
  <c r="Q7" i="98"/>
  <c r="O7" i="98"/>
  <c r="O3" i="98"/>
  <c r="Q3" i="98"/>
  <c r="O40" i="98"/>
  <c r="Q40" i="98"/>
  <c r="R29" i="98"/>
  <c r="Q29" i="98"/>
  <c r="O29" i="98"/>
  <c r="O16" i="98"/>
  <c r="Q16" i="98"/>
  <c r="R16" i="98"/>
  <c r="O8" i="98"/>
  <c r="Q8" i="98"/>
  <c r="Q14" i="98"/>
  <c r="O14" i="98"/>
  <c r="R14" i="98"/>
  <c r="Q25" i="98"/>
  <c r="O25" i="98"/>
  <c r="O44" i="98"/>
  <c r="Q44" i="98"/>
  <c r="O33" i="98"/>
  <c r="Q33" i="98"/>
  <c r="R42" i="98"/>
  <c r="O42" i="98"/>
  <c r="Q42" i="98"/>
  <c r="AF41" i="77"/>
  <c r="AF17" i="77"/>
  <c r="H2" i="98"/>
  <c r="N59" i="98"/>
  <c r="N58" i="98"/>
  <c r="R2" i="98"/>
  <c r="O2" i="98"/>
  <c r="Q2" i="98"/>
  <c r="Q41" i="98"/>
  <c r="R41" i="98"/>
  <c r="O41" i="98"/>
  <c r="O30" i="98"/>
  <c r="Q30" i="98"/>
  <c r="Q34" i="98"/>
  <c r="O34" i="98"/>
  <c r="O19" i="98"/>
  <c r="Q19" i="98"/>
  <c r="AL38" i="77"/>
  <c r="AS41" i="77"/>
  <c r="O5" i="98"/>
  <c r="R5" i="98"/>
  <c r="Q5" i="98"/>
  <c r="Q9" i="98"/>
  <c r="O9" i="98"/>
  <c r="O11" i="98"/>
  <c r="Q11" i="98"/>
  <c r="Q17" i="98"/>
  <c r="R17" i="98"/>
  <c r="O17" i="98"/>
  <c r="Q38" i="98"/>
  <c r="O38" i="98"/>
  <c r="AL49" i="77"/>
  <c r="AO49" i="77" s="1"/>
  <c r="AR49" i="77" s="1"/>
  <c r="AF23" i="77"/>
  <c r="AL30" i="77"/>
  <c r="AF37" i="77"/>
  <c r="AR37" i="77"/>
  <c r="AL13" i="77"/>
  <c r="AL37" i="77"/>
  <c r="AP47" i="77"/>
  <c r="AQ49" i="77"/>
  <c r="AQ47" i="77"/>
  <c r="AT49" i="77"/>
  <c r="AL46" i="77"/>
  <c r="AO46" i="77" s="1"/>
  <c r="AT46" i="77" s="1"/>
  <c r="AF10" i="77"/>
  <c r="AR15" i="77"/>
  <c r="AS15" i="77"/>
  <c r="AL44" i="77"/>
  <c r="AL23" i="77"/>
  <c r="AR10" i="77"/>
  <c r="AL15" i="77"/>
  <c r="AL10" i="77"/>
  <c r="AS9" i="77"/>
  <c r="AS21" i="77"/>
  <c r="AR21" i="77"/>
  <c r="AF21" i="77"/>
  <c r="AR43" i="77"/>
  <c r="AL43" i="77"/>
  <c r="AS43" i="77"/>
  <c r="AS44" i="77"/>
  <c r="AR44" i="77"/>
  <c r="AR40" i="77"/>
  <c r="AS40" i="77"/>
  <c r="AR38" i="77"/>
  <c r="AS38" i="77"/>
  <c r="AS18" i="77"/>
  <c r="AR18" i="77"/>
  <c r="AR8" i="77"/>
  <c r="AF8" i="77"/>
  <c r="AL40" i="77"/>
  <c r="AF33" i="77"/>
  <c r="AR33" i="77"/>
  <c r="AL33" i="77"/>
  <c r="AS33" i="77"/>
  <c r="L7" i="103"/>
  <c r="L8" i="103" s="1"/>
  <c r="K8" i="103"/>
  <c r="AE55" i="77"/>
  <c r="AL45" i="77"/>
  <c r="AO45" i="77" s="1"/>
  <c r="AF45" i="77"/>
  <c r="AS26" i="77"/>
  <c r="AR26" i="77"/>
  <c r="AF26" i="77"/>
  <c r="AL26" i="77"/>
  <c r="AS5" i="77"/>
  <c r="AR5" i="77"/>
  <c r="AF5" i="77"/>
  <c r="AP46" i="77"/>
  <c r="AS46" i="77"/>
  <c r="AR46" i="77"/>
  <c r="AQ46" i="77"/>
  <c r="AL28" i="77"/>
  <c r="AS28" i="77"/>
  <c r="AR28" i="77"/>
  <c r="AL31" i="77"/>
  <c r="AS31" i="77"/>
  <c r="AR31" i="77"/>
  <c r="AF31" i="77"/>
  <c r="AL24" i="77"/>
  <c r="AR24" i="77"/>
  <c r="AF24" i="77"/>
  <c r="AS24" i="77"/>
  <c r="AF46" i="77"/>
  <c r="AS42" i="77"/>
  <c r="AR42" i="77"/>
  <c r="AL42" i="77"/>
  <c r="AP45" i="77"/>
  <c r="AS45" i="77"/>
  <c r="AT45" i="77"/>
  <c r="AO44" i="77"/>
  <c r="AS11" i="77"/>
  <c r="AR11" i="77"/>
  <c r="AL11" i="77"/>
  <c r="AF11" i="77"/>
  <c r="AT52" i="77"/>
  <c r="AQ52" i="77"/>
  <c r="AP52" i="77"/>
  <c r="AS52" i="77"/>
  <c r="AR52" i="77"/>
  <c r="H45" i="77"/>
  <c r="M45" i="77"/>
  <c r="AS6" i="77"/>
  <c r="AR6" i="77"/>
  <c r="AF6" i="77"/>
  <c r="AF50" i="77"/>
  <c r="AL35" i="77"/>
  <c r="AS35" i="77"/>
  <c r="AR35" i="77"/>
  <c r="AL25" i="77"/>
  <c r="AF25" i="77"/>
  <c r="AR25" i="77"/>
  <c r="AS25" i="77"/>
  <c r="AL51" i="77"/>
  <c r="AO51" i="77" s="1"/>
  <c r="AT50" i="77"/>
  <c r="AS50" i="77"/>
  <c r="AR50" i="77"/>
  <c r="AP50" i="77"/>
  <c r="AQ50" i="77"/>
  <c r="AT48" i="77"/>
  <c r="AP48" i="77"/>
  <c r="AQ48" i="77"/>
  <c r="AS48" i="77"/>
  <c r="AR48" i="77"/>
  <c r="L48" i="74"/>
  <c r="F20" i="98" s="1"/>
  <c r="P20" i="98" s="1"/>
  <c r="L47" i="74"/>
  <c r="F29" i="98" s="1"/>
  <c r="P29" i="98" s="1"/>
  <c r="L46" i="74"/>
  <c r="F22" i="98" s="1"/>
  <c r="P22" i="98" s="1"/>
  <c r="L45" i="74"/>
  <c r="F14" i="98" s="1"/>
  <c r="P14" i="98" s="1"/>
  <c r="L44" i="74"/>
  <c r="F30" i="98" s="1"/>
  <c r="P30" i="98" s="1"/>
  <c r="L43" i="74"/>
  <c r="F25" i="98" s="1"/>
  <c r="P25" i="98" s="1"/>
  <c r="L42" i="74"/>
  <c r="F17" i="98" s="1"/>
  <c r="P17" i="98" s="1"/>
  <c r="L41" i="74"/>
  <c r="F23" i="98" s="1"/>
  <c r="P23" i="98" s="1"/>
  <c r="L40" i="74"/>
  <c r="F6" i="98" s="1"/>
  <c r="P6" i="98" s="1"/>
  <c r="L39" i="74"/>
  <c r="F24" i="98" s="1"/>
  <c r="P24" i="98" s="1"/>
  <c r="L38" i="74"/>
  <c r="F44" i="98" s="1"/>
  <c r="P44" i="98" s="1"/>
  <c r="L37" i="74"/>
  <c r="L36" i="74"/>
  <c r="F33" i="98" s="1"/>
  <c r="P33" i="98" s="1"/>
  <c r="L33" i="74"/>
  <c r="L32" i="74"/>
  <c r="L31" i="74"/>
  <c r="F13" i="98" s="1"/>
  <c r="P13" i="98" s="1"/>
  <c r="L30" i="74"/>
  <c r="F10" i="98" s="1"/>
  <c r="P10" i="98" s="1"/>
  <c r="L29" i="74"/>
  <c r="L28" i="74"/>
  <c r="L27" i="74"/>
  <c r="F38" i="98" s="1"/>
  <c r="P38" i="98" s="1"/>
  <c r="L26" i="74"/>
  <c r="L25" i="74"/>
  <c r="F5" i="98" s="1"/>
  <c r="P5" i="98" s="1"/>
  <c r="L24" i="74"/>
  <c r="F34" i="98" s="1"/>
  <c r="P34" i="98" s="1"/>
  <c r="L23" i="74"/>
  <c r="F26" i="98" s="1"/>
  <c r="P26" i="98" s="1"/>
  <c r="L22" i="74"/>
  <c r="F43" i="98" s="1"/>
  <c r="P43" i="98" s="1"/>
  <c r="L21" i="74"/>
  <c r="L20" i="74"/>
  <c r="F11" i="98" s="1"/>
  <c r="P11" i="98" s="1"/>
  <c r="L19" i="74"/>
  <c r="F9" i="98" s="1"/>
  <c r="P9" i="98" s="1"/>
  <c r="L18" i="74"/>
  <c r="F8" i="98" s="1"/>
  <c r="P8" i="98" s="1"/>
  <c r="L17" i="74"/>
  <c r="F21" i="98" s="1"/>
  <c r="P21" i="98" s="1"/>
  <c r="L16" i="74"/>
  <c r="F3" i="98" s="1"/>
  <c r="P3" i="98" s="1"/>
  <c r="L15" i="74"/>
  <c r="F7" i="98" s="1"/>
  <c r="P7" i="98" s="1"/>
  <c r="L14" i="74"/>
  <c r="F19" i="98" s="1"/>
  <c r="P19" i="98" s="1"/>
  <c r="L13" i="74"/>
  <c r="F4" i="98" s="1"/>
  <c r="P4" i="98" s="1"/>
  <c r="L12" i="74"/>
  <c r="F35" i="98" s="1"/>
  <c r="P35" i="98" s="1"/>
  <c r="L11" i="74"/>
  <c r="L10" i="74"/>
  <c r="F12" i="98" s="1"/>
  <c r="P12" i="98" s="1"/>
  <c r="L34" i="74"/>
  <c r="L9" i="74"/>
  <c r="L8" i="74"/>
  <c r="F40" i="98" s="1"/>
  <c r="P40" i="98" s="1"/>
  <c r="L7" i="74"/>
  <c r="F18" i="98" s="1"/>
  <c r="P18" i="98" s="1"/>
  <c r="L6" i="74"/>
  <c r="F15" i="98" s="1"/>
  <c r="P15" i="98" s="1"/>
  <c r="L5" i="74"/>
  <c r="F27" i="98" s="1"/>
  <c r="P27" i="98" s="1"/>
  <c r="L34" i="63"/>
  <c r="L33" i="63"/>
  <c r="L32" i="63"/>
  <c r="L31" i="63"/>
  <c r="L30" i="63"/>
  <c r="L29" i="63"/>
  <c r="L28" i="63"/>
  <c r="L27" i="63"/>
  <c r="L26" i="63"/>
  <c r="L25" i="63"/>
  <c r="L24" i="63"/>
  <c r="L23" i="63"/>
  <c r="L22" i="63"/>
  <c r="L21" i="63"/>
  <c r="L20" i="63"/>
  <c r="L19" i="63"/>
  <c r="L18" i="63"/>
  <c r="L17" i="63"/>
  <c r="L16" i="63"/>
  <c r="L15" i="63"/>
  <c r="L14" i="63"/>
  <c r="L13" i="63"/>
  <c r="L12" i="63"/>
  <c r="L11" i="63"/>
  <c r="L35" i="63"/>
  <c r="L10" i="63"/>
  <c r="L9" i="63"/>
  <c r="L8" i="63"/>
  <c r="L7" i="63"/>
  <c r="L59" i="63"/>
  <c r="L63" i="63"/>
  <c r="L62" i="63"/>
  <c r="L61" i="63"/>
  <c r="L60" i="63"/>
  <c r="L58" i="63"/>
  <c r="L57" i="63"/>
  <c r="L56" i="63"/>
  <c r="L55" i="63"/>
  <c r="L54" i="63"/>
  <c r="L53" i="63"/>
  <c r="L49" i="63"/>
  <c r="L48" i="63"/>
  <c r="L47" i="63"/>
  <c r="L46" i="63"/>
  <c r="L45" i="63"/>
  <c r="L44" i="63"/>
  <c r="L43" i="63"/>
  <c r="L42" i="63"/>
  <c r="L41" i="63"/>
  <c r="L40" i="63"/>
  <c r="L39" i="63"/>
  <c r="L38" i="63"/>
  <c r="L37" i="63"/>
  <c r="R9" i="98" l="1"/>
  <c r="R33" i="98"/>
  <c r="R3" i="98"/>
  <c r="O52" i="98" s="1"/>
  <c r="O53" i="98" s="1"/>
  <c r="O54" i="98" s="1"/>
  <c r="R10" i="98"/>
  <c r="R24" i="98"/>
  <c r="R23" i="98"/>
  <c r="R34" i="98"/>
  <c r="O51" i="98"/>
  <c r="R8" i="98"/>
  <c r="R7" i="98"/>
  <c r="R11" i="98"/>
  <c r="O49" i="98"/>
  <c r="R44" i="98"/>
  <c r="R21" i="98"/>
  <c r="R12" i="98"/>
  <c r="R26" i="98"/>
  <c r="R30" i="98"/>
  <c r="R43" i="98"/>
  <c r="R20" i="98"/>
  <c r="R40" i="98"/>
  <c r="R35" i="98"/>
  <c r="R27" i="98"/>
  <c r="O50" i="98"/>
  <c r="AS49" i="77"/>
  <c r="AP49" i="77"/>
  <c r="R38" i="98"/>
  <c r="R19" i="98"/>
  <c r="R25" i="98"/>
  <c r="R18" i="98"/>
  <c r="R13" i="98"/>
  <c r="W9" i="77"/>
  <c r="V9" i="77" s="1"/>
  <c r="AL9" i="77" s="1"/>
  <c r="Z8" i="77"/>
  <c r="R6" i="98"/>
  <c r="AH53" i="77"/>
  <c r="AE53" i="77" s="1"/>
  <c r="B53" i="106" s="1"/>
  <c r="AR45" i="77"/>
  <c r="AQ45" i="77"/>
  <c r="H44" i="77"/>
  <c r="O45" i="77"/>
  <c r="AC45" i="77"/>
  <c r="AR51" i="77"/>
  <c r="AQ51" i="77"/>
  <c r="AP51" i="77"/>
  <c r="AT51" i="77"/>
  <c r="AS51" i="77"/>
  <c r="AO43" i="77"/>
  <c r="K68" i="63"/>
  <c r="L6" i="63"/>
  <c r="K64" i="63"/>
  <c r="L64" i="63" s="1"/>
  <c r="K9" i="95"/>
  <c r="K10" i="95"/>
  <c r="K8" i="96"/>
  <c r="O59" i="98" l="1"/>
  <c r="O58" i="98"/>
  <c r="W8" i="77"/>
  <c r="V8" i="77" s="1"/>
  <c r="AL8" i="77" s="1"/>
  <c r="Z7" i="77"/>
  <c r="AF53" i="77"/>
  <c r="K18" i="95"/>
  <c r="K16" i="95" s="1"/>
  <c r="K17" i="95" s="1"/>
  <c r="AL53" i="77"/>
  <c r="AO53" i="77" s="1"/>
  <c r="K22" i="95"/>
  <c r="K21" i="95"/>
  <c r="K15" i="95"/>
  <c r="O44" i="77"/>
  <c r="H43" i="77"/>
  <c r="AC44" i="77"/>
  <c r="L44" i="77" s="1"/>
  <c r="AO42" i="77"/>
  <c r="K11" i="95"/>
  <c r="K9" i="96"/>
  <c r="K10" i="96"/>
  <c r="K11" i="96"/>
  <c r="K12" i="96" s="1"/>
  <c r="K13" i="96"/>
  <c r="K17" i="96"/>
  <c r="C18" i="72"/>
  <c r="C17" i="72"/>
  <c r="Z6" i="77" l="1"/>
  <c r="W7" i="77"/>
  <c r="V7" i="77" s="1"/>
  <c r="AL7" i="77" s="1"/>
  <c r="AR53" i="77"/>
  <c r="AQ53" i="77"/>
  <c r="AT53" i="77"/>
  <c r="AP53" i="77"/>
  <c r="AS53" i="77"/>
  <c r="K23" i="95"/>
  <c r="H42" i="77"/>
  <c r="O43" i="77"/>
  <c r="AC43" i="77"/>
  <c r="L43" i="77" s="1"/>
  <c r="AO41" i="77"/>
  <c r="N44" i="77"/>
  <c r="AB44" i="77"/>
  <c r="AT44" i="77"/>
  <c r="T44" i="77"/>
  <c r="M44" i="77" s="1"/>
  <c r="K69" i="63"/>
  <c r="K70" i="63"/>
  <c r="K18" i="96"/>
  <c r="AW206" i="90"/>
  <c r="Z5" i="77" l="1"/>
  <c r="W5" i="77" s="1"/>
  <c r="V5" i="77" s="1"/>
  <c r="W6" i="77"/>
  <c r="V6" i="77" s="1"/>
  <c r="AL6" i="77" s="1"/>
  <c r="H41" i="77"/>
  <c r="O42" i="77"/>
  <c r="AC42" i="77"/>
  <c r="L42" i="77" s="1"/>
  <c r="N43" i="77"/>
  <c r="AB43" i="77"/>
  <c r="AT43" i="77"/>
  <c r="T43" i="77"/>
  <c r="M43" i="77" s="1"/>
  <c r="AZ44" i="77"/>
  <c r="BE44" i="77" s="1"/>
  <c r="AY44" i="77"/>
  <c r="BD44" i="77" s="1"/>
  <c r="AX44" i="77"/>
  <c r="BC44" i="77" s="1"/>
  <c r="AV44" i="77"/>
  <c r="BA44" i="77" s="1"/>
  <c r="AW44" i="77"/>
  <c r="BB44" i="77" s="1"/>
  <c r="AO40" i="77"/>
  <c r="AL5" i="77"/>
  <c r="F11" i="70"/>
  <c r="F12" i="70"/>
  <c r="F13" i="70"/>
  <c r="F18" i="70"/>
  <c r="F20" i="70"/>
  <c r="F5" i="70"/>
  <c r="F6" i="70"/>
  <c r="F7" i="70"/>
  <c r="F8" i="70"/>
  <c r="F9" i="70"/>
  <c r="F10" i="70"/>
  <c r="F14" i="70"/>
  <c r="F15" i="70"/>
  <c r="F16" i="70"/>
  <c r="F17" i="70"/>
  <c r="F19" i="70"/>
  <c r="F4" i="70"/>
  <c r="C17" i="96" a="1"/>
  <c r="J17" i="96" s="1"/>
  <c r="AO39" i="77" l="1"/>
  <c r="AZ43" i="77"/>
  <c r="BE43" i="77" s="1"/>
  <c r="AX43" i="77"/>
  <c r="BC43" i="77" s="1"/>
  <c r="AY43" i="77"/>
  <c r="BD43" i="77" s="1"/>
  <c r="AV43" i="77"/>
  <c r="BA43" i="77" s="1"/>
  <c r="AW43" i="77"/>
  <c r="BB43" i="77" s="1"/>
  <c r="N42" i="77"/>
  <c r="AB42" i="77"/>
  <c r="AT42" i="77"/>
  <c r="T42" i="77"/>
  <c r="M42" i="77" s="1"/>
  <c r="AC41" i="77"/>
  <c r="L41" i="77" s="1"/>
  <c r="O41" i="77"/>
  <c r="H40" i="77"/>
  <c r="T41" i="77"/>
  <c r="M41" i="77" s="1"/>
  <c r="F17" i="96"/>
  <c r="D17" i="96"/>
  <c r="C15" i="81"/>
  <c r="C17" i="96"/>
  <c r="L17" i="96" s="1"/>
  <c r="I17" i="96"/>
  <c r="G17" i="96"/>
  <c r="E17" i="96"/>
  <c r="H17" i="96"/>
  <c r="C9" i="96" a="1"/>
  <c r="D9" i="96" s="1"/>
  <c r="C10" i="96" a="1"/>
  <c r="C8" i="96" a="1"/>
  <c r="C13" i="96" a="1"/>
  <c r="E14" i="81"/>
  <c r="C11" i="96" a="1"/>
  <c r="E15" i="81"/>
  <c r="AZ42" i="77" l="1"/>
  <c r="BE42" i="77" s="1"/>
  <c r="AX42" i="77"/>
  <c r="BC42" i="77" s="1"/>
  <c r="AW42" i="77"/>
  <c r="BB42" i="77" s="1"/>
  <c r="AV42" i="77"/>
  <c r="BA42" i="77" s="1"/>
  <c r="AY42" i="77"/>
  <c r="BD42" i="77" s="1"/>
  <c r="O40" i="77"/>
  <c r="H39" i="77"/>
  <c r="AC40" i="77"/>
  <c r="L40" i="77" s="1"/>
  <c r="N41" i="77"/>
  <c r="AB41" i="77"/>
  <c r="AT41" i="77"/>
  <c r="AO38" i="77"/>
  <c r="I9" i="96"/>
  <c r="H9" i="96"/>
  <c r="E9" i="96"/>
  <c r="F9" i="96"/>
  <c r="J9" i="96"/>
  <c r="G9" i="96"/>
  <c r="C9" i="96"/>
  <c r="L9" i="96" s="1"/>
  <c r="J13" i="96"/>
  <c r="J18" i="96" s="1"/>
  <c r="I13" i="96"/>
  <c r="I18" i="96" s="1"/>
  <c r="C13" i="96"/>
  <c r="D13" i="96"/>
  <c r="D18" i="96" s="1"/>
  <c r="E13" i="96"/>
  <c r="E18" i="96" s="1"/>
  <c r="F13" i="96"/>
  <c r="F18" i="96" s="1"/>
  <c r="G13" i="96"/>
  <c r="G18" i="96" s="1"/>
  <c r="H13" i="96"/>
  <c r="H18" i="96" s="1"/>
  <c r="C8" i="96"/>
  <c r="L8" i="96" s="1"/>
  <c r="F8" i="96"/>
  <c r="H8" i="96"/>
  <c r="I8" i="96"/>
  <c r="E8" i="96"/>
  <c r="G8" i="96"/>
  <c r="J8" i="96"/>
  <c r="D8" i="96"/>
  <c r="J11" i="96"/>
  <c r="J70" i="63" s="1"/>
  <c r="D11" i="96"/>
  <c r="D70" i="63" s="1"/>
  <c r="H11" i="96"/>
  <c r="H70" i="63" s="1"/>
  <c r="I11" i="96"/>
  <c r="I70" i="63" s="1"/>
  <c r="C11" i="96"/>
  <c r="E11" i="96"/>
  <c r="E70" i="63" s="1"/>
  <c r="F11" i="96"/>
  <c r="F70" i="63" s="1"/>
  <c r="G11" i="96"/>
  <c r="G70" i="63" s="1"/>
  <c r="C10" i="96"/>
  <c r="L10" i="96" s="1"/>
  <c r="J10" i="96"/>
  <c r="I10" i="96"/>
  <c r="H10" i="96"/>
  <c r="F10" i="96"/>
  <c r="D10" i="96"/>
  <c r="G10" i="96"/>
  <c r="E10" i="96"/>
  <c r="N40" i="77" l="1"/>
  <c r="AB40" i="77"/>
  <c r="AT40" i="77"/>
  <c r="AY41" i="77"/>
  <c r="BD41" i="77" s="1"/>
  <c r="AX41" i="77"/>
  <c r="BC41" i="77" s="1"/>
  <c r="AZ41" i="77"/>
  <c r="BE41" i="77" s="1"/>
  <c r="AV41" i="77"/>
  <c r="BA41" i="77" s="1"/>
  <c r="AW41" i="77"/>
  <c r="BB41" i="77" s="1"/>
  <c r="O39" i="77"/>
  <c r="H38" i="77"/>
  <c r="AC39" i="77"/>
  <c r="L39" i="77" s="1"/>
  <c r="T40" i="77"/>
  <c r="M40" i="77" s="1"/>
  <c r="AO37" i="77"/>
  <c r="C70" i="63"/>
  <c r="L11" i="96"/>
  <c r="C18" i="96"/>
  <c r="G4" i="70" s="1"/>
  <c r="L13" i="96"/>
  <c r="I50" i="63"/>
  <c r="I12" i="96"/>
  <c r="H50" i="63"/>
  <c r="H12" i="96"/>
  <c r="D50" i="63"/>
  <c r="D12" i="96"/>
  <c r="J12" i="96"/>
  <c r="J50" i="63"/>
  <c r="G50" i="63"/>
  <c r="G12" i="96"/>
  <c r="F50" i="63"/>
  <c r="F12" i="96"/>
  <c r="E12" i="96"/>
  <c r="E50" i="63"/>
  <c r="C50" i="63"/>
  <c r="C12" i="96"/>
  <c r="L12" i="96" s="1"/>
  <c r="O38" i="77" l="1"/>
  <c r="H37" i="77"/>
  <c r="AC38" i="77"/>
  <c r="L38" i="77" s="1"/>
  <c r="T38" i="77" s="1"/>
  <c r="M38" i="77" s="1"/>
  <c r="AO36" i="77"/>
  <c r="N39" i="77"/>
  <c r="AB39" i="77"/>
  <c r="AT39" i="77"/>
  <c r="T39" i="77"/>
  <c r="M39" i="77" s="1"/>
  <c r="AW40" i="77"/>
  <c r="BB40" i="77" s="1"/>
  <c r="AV40" i="77"/>
  <c r="BA40" i="77" s="1"/>
  <c r="AX40" i="77"/>
  <c r="BC40" i="77" s="1"/>
  <c r="AY40" i="77"/>
  <c r="BD40" i="77" s="1"/>
  <c r="AZ40" i="77"/>
  <c r="BE40" i="77" s="1"/>
  <c r="G5" i="70"/>
  <c r="G6" i="70"/>
  <c r="G7" i="70"/>
  <c r="G8" i="70"/>
  <c r="G9" i="70"/>
  <c r="G10" i="70"/>
  <c r="G11" i="70"/>
  <c r="G12" i="70"/>
  <c r="G13" i="70"/>
  <c r="G14" i="70"/>
  <c r="G15" i="70"/>
  <c r="G16" i="70"/>
  <c r="G17" i="70"/>
  <c r="G18" i="70"/>
  <c r="G19" i="70"/>
  <c r="G20" i="70"/>
  <c r="L18" i="96"/>
  <c r="C69" i="63"/>
  <c r="N50" i="63"/>
  <c r="E69" i="63"/>
  <c r="F69" i="63"/>
  <c r="G69" i="63"/>
  <c r="J69" i="63"/>
  <c r="D69" i="63"/>
  <c r="H69" i="63"/>
  <c r="I69" i="63"/>
  <c r="L50" i="63"/>
  <c r="E51" i="63"/>
  <c r="E68" i="63" s="1"/>
  <c r="F51" i="63"/>
  <c r="F68" i="63" s="1"/>
  <c r="G51" i="63"/>
  <c r="G68" i="63" s="1"/>
  <c r="J51" i="63"/>
  <c r="J68" i="63" s="1"/>
  <c r="D51" i="63"/>
  <c r="D68" i="63" s="1"/>
  <c r="H51" i="63"/>
  <c r="H68" i="63" s="1"/>
  <c r="C51" i="63"/>
  <c r="L51" i="63" s="1"/>
  <c r="I51" i="63"/>
  <c r="I68" i="63" s="1"/>
  <c r="H36" i="77" l="1"/>
  <c r="O37" i="77"/>
  <c r="AC37" i="77"/>
  <c r="L37" i="77" s="1"/>
  <c r="AZ39" i="77"/>
  <c r="BE39" i="77" s="1"/>
  <c r="AW39" i="77"/>
  <c r="BB39" i="77" s="1"/>
  <c r="AV39" i="77"/>
  <c r="BA39" i="77" s="1"/>
  <c r="AY39" i="77"/>
  <c r="BD39" i="77" s="1"/>
  <c r="AX39" i="77"/>
  <c r="BC39" i="77" s="1"/>
  <c r="AO35" i="77"/>
  <c r="N38" i="77"/>
  <c r="AB38" i="77"/>
  <c r="AT38" i="77"/>
  <c r="C68" i="63"/>
  <c r="AZ38" i="77" l="1"/>
  <c r="BE38" i="77" s="1"/>
  <c r="AY38" i="77"/>
  <c r="BD38" i="77" s="1"/>
  <c r="AW38" i="77"/>
  <c r="BB38" i="77" s="1"/>
  <c r="AV38" i="77"/>
  <c r="BA38" i="77" s="1"/>
  <c r="AX38" i="77"/>
  <c r="BC38" i="77" s="1"/>
  <c r="AO34" i="77"/>
  <c r="N37" i="77"/>
  <c r="AB37" i="77"/>
  <c r="AT37" i="77"/>
  <c r="T37" i="77"/>
  <c r="M37" i="77" s="1"/>
  <c r="O36" i="77"/>
  <c r="H35" i="77"/>
  <c r="AC36" i="77"/>
  <c r="L36" i="77" s="1"/>
  <c r="N36" i="77" l="1"/>
  <c r="AB36" i="77"/>
  <c r="AT36" i="77"/>
  <c r="T36" i="77"/>
  <c r="M36" i="77" s="1"/>
  <c r="O35" i="77"/>
  <c r="H34" i="77"/>
  <c r="AC35" i="77"/>
  <c r="L35" i="77" s="1"/>
  <c r="AY37" i="77"/>
  <c r="BD37" i="77" s="1"/>
  <c r="AV37" i="77"/>
  <c r="BA37" i="77" s="1"/>
  <c r="AX37" i="77"/>
  <c r="BC37" i="77" s="1"/>
  <c r="AW37" i="77"/>
  <c r="BB37" i="77" s="1"/>
  <c r="AZ37" i="77"/>
  <c r="BE37" i="77" s="1"/>
  <c r="AO33" i="77"/>
  <c r="AO32" i="77" l="1"/>
  <c r="N35" i="77"/>
  <c r="AB35" i="77"/>
  <c r="AT35" i="77"/>
  <c r="O34" i="77"/>
  <c r="H33" i="77"/>
  <c r="AC34" i="77"/>
  <c r="L34" i="77" s="1"/>
  <c r="T34" i="77" s="1"/>
  <c r="M34" i="77" s="1"/>
  <c r="T35" i="77"/>
  <c r="M35" i="77" s="1"/>
  <c r="AV36" i="77"/>
  <c r="BA36" i="77" s="1"/>
  <c r="AZ36" i="77"/>
  <c r="BE36" i="77" s="1"/>
  <c r="AY36" i="77"/>
  <c r="BD36" i="77" s="1"/>
  <c r="AW36" i="77"/>
  <c r="BB36" i="77" s="1"/>
  <c r="AX36" i="77"/>
  <c r="BC36" i="77" s="1"/>
  <c r="C6" i="72"/>
  <c r="N34" i="77" l="1"/>
  <c r="AB34" i="77"/>
  <c r="AT34" i="77"/>
  <c r="AW35" i="77"/>
  <c r="BB35" i="77" s="1"/>
  <c r="AV35" i="77"/>
  <c r="BA35" i="77" s="1"/>
  <c r="AY35" i="77"/>
  <c r="BD35" i="77" s="1"/>
  <c r="AX35" i="77"/>
  <c r="BC35" i="77" s="1"/>
  <c r="AZ35" i="77"/>
  <c r="BE35" i="77" s="1"/>
  <c r="H32" i="77"/>
  <c r="O33" i="77"/>
  <c r="AC33" i="77"/>
  <c r="L33" i="77" s="1"/>
  <c r="AO31" i="77"/>
  <c r="AO30" i="77" l="1"/>
  <c r="N33" i="77"/>
  <c r="AB33" i="77"/>
  <c r="AT33" i="77"/>
  <c r="T33" i="77"/>
  <c r="M33" i="77" s="1"/>
  <c r="H31" i="77"/>
  <c r="O32" i="77"/>
  <c r="AC32" i="77"/>
  <c r="L32" i="77" s="1"/>
  <c r="AX34" i="77"/>
  <c r="BC34" i="77" s="1"/>
  <c r="AW34" i="77"/>
  <c r="BB34" i="77" s="1"/>
  <c r="AY34" i="77"/>
  <c r="BD34" i="77" s="1"/>
  <c r="AV34" i="77"/>
  <c r="BA34" i="77" s="1"/>
  <c r="AZ34" i="77"/>
  <c r="BE34" i="77" s="1"/>
  <c r="N32" i="77" l="1"/>
  <c r="AB32" i="77"/>
  <c r="AT32" i="77"/>
  <c r="AC31" i="77"/>
  <c r="L31" i="77" s="1"/>
  <c r="T31" i="77" s="1"/>
  <c r="M31" i="77" s="1"/>
  <c r="H30" i="77"/>
  <c r="O31" i="77"/>
  <c r="T32" i="77"/>
  <c r="M32" i="77" s="1"/>
  <c r="AY33" i="77"/>
  <c r="BD33" i="77" s="1"/>
  <c r="AV33" i="77"/>
  <c r="BA33" i="77" s="1"/>
  <c r="AX33" i="77"/>
  <c r="BC33" i="77" s="1"/>
  <c r="AW33" i="77"/>
  <c r="BB33" i="77" s="1"/>
  <c r="AZ33" i="77"/>
  <c r="BE33" i="77" s="1"/>
  <c r="AO29" i="77"/>
  <c r="N18" i="95"/>
  <c r="H29" i="77" l="1"/>
  <c r="O30" i="77"/>
  <c r="AC30" i="77"/>
  <c r="L30" i="77" s="1"/>
  <c r="N31" i="77"/>
  <c r="AB31" i="77"/>
  <c r="AT31" i="77"/>
  <c r="AX32" i="77"/>
  <c r="BC32" i="77" s="1"/>
  <c r="AV32" i="77"/>
  <c r="BA32" i="77" s="1"/>
  <c r="AW32" i="77"/>
  <c r="BB32" i="77" s="1"/>
  <c r="AZ32" i="77"/>
  <c r="BE32" i="77" s="1"/>
  <c r="AY32" i="77"/>
  <c r="BD32" i="77" s="1"/>
  <c r="AO28" i="77"/>
  <c r="AO27" i="77" l="1"/>
  <c r="AX31" i="77"/>
  <c r="BC31" i="77" s="1"/>
  <c r="AW31" i="77"/>
  <c r="BB31" i="77" s="1"/>
  <c r="AV31" i="77"/>
  <c r="BA31" i="77" s="1"/>
  <c r="AY31" i="77"/>
  <c r="BD31" i="77" s="1"/>
  <c r="AZ31" i="77"/>
  <c r="BE31" i="77" s="1"/>
  <c r="N30" i="77"/>
  <c r="AB30" i="77"/>
  <c r="AT30" i="77"/>
  <c r="H28" i="77"/>
  <c r="O29" i="77"/>
  <c r="AC29" i="77"/>
  <c r="L29" i="77" s="1"/>
  <c r="T30" i="77"/>
  <c r="M30" i="77" s="1"/>
  <c r="N29" i="77" l="1"/>
  <c r="AB29" i="77"/>
  <c r="AT29" i="77"/>
  <c r="O28" i="77"/>
  <c r="H27" i="77"/>
  <c r="AC28" i="77"/>
  <c r="L28" i="77" s="1"/>
  <c r="T29" i="77"/>
  <c r="M29" i="77" s="1"/>
  <c r="AY30" i="77"/>
  <c r="BD30" i="77" s="1"/>
  <c r="AZ30" i="77"/>
  <c r="BE30" i="77" s="1"/>
  <c r="AX30" i="77"/>
  <c r="BC30" i="77" s="1"/>
  <c r="AW30" i="77"/>
  <c r="BB30" i="77" s="1"/>
  <c r="AV30" i="77"/>
  <c r="BA30" i="77" s="1"/>
  <c r="AO26" i="77"/>
  <c r="AO25" i="77" l="1"/>
  <c r="H26" i="77"/>
  <c r="AC27" i="77"/>
  <c r="L27" i="77" s="1"/>
  <c r="T27" i="77" s="1"/>
  <c r="M27" i="77" s="1"/>
  <c r="O27" i="77"/>
  <c r="N28" i="77"/>
  <c r="AB28" i="77"/>
  <c r="AT28" i="77"/>
  <c r="T28" i="77"/>
  <c r="M28" i="77" s="1"/>
  <c r="AZ29" i="77"/>
  <c r="BE29" i="77" s="1"/>
  <c r="AV29" i="77"/>
  <c r="BA29" i="77" s="1"/>
  <c r="AY29" i="77"/>
  <c r="BD29" i="77" s="1"/>
  <c r="AX29" i="77"/>
  <c r="BC29" i="77" s="1"/>
  <c r="AW29" i="77"/>
  <c r="BB29" i="77" s="1"/>
  <c r="AW28" i="77" l="1"/>
  <c r="BB28" i="77" s="1"/>
  <c r="AX28" i="77"/>
  <c r="BC28" i="77" s="1"/>
  <c r="AY28" i="77"/>
  <c r="BD28" i="77" s="1"/>
  <c r="AZ28" i="77"/>
  <c r="BE28" i="77" s="1"/>
  <c r="AV28" i="77"/>
  <c r="BA28" i="77" s="1"/>
  <c r="N27" i="77"/>
  <c r="AB27" i="77"/>
  <c r="AT27" i="77"/>
  <c r="O26" i="77"/>
  <c r="H25" i="77"/>
  <c r="AC26" i="77"/>
  <c r="L26" i="77" s="1"/>
  <c r="AO24" i="77"/>
  <c r="E3" i="74"/>
  <c r="F3" i="74" s="1"/>
  <c r="G3" i="74" s="1"/>
  <c r="H3" i="74" s="1"/>
  <c r="I3" i="74" s="1"/>
  <c r="J3" i="74" s="1"/>
  <c r="K3" i="74" s="1"/>
  <c r="E4" i="63"/>
  <c r="F4" i="63"/>
  <c r="G4" i="63" s="1"/>
  <c r="H4" i="63" s="1"/>
  <c r="I4" i="63" s="1"/>
  <c r="J4" i="63" s="1"/>
  <c r="K4" i="63" s="1"/>
  <c r="AO23" i="77" l="1"/>
  <c r="N26" i="77"/>
  <c r="AB26" i="77"/>
  <c r="AT26" i="77"/>
  <c r="T26" i="77"/>
  <c r="M26" i="77" s="1"/>
  <c r="O25" i="77"/>
  <c r="H24" i="77"/>
  <c r="AC25" i="77"/>
  <c r="L25" i="77" s="1"/>
  <c r="AW27" i="77"/>
  <c r="BB27" i="77" s="1"/>
  <c r="AV27" i="77"/>
  <c r="BA27" i="77" s="1"/>
  <c r="AZ27" i="77"/>
  <c r="BE27" i="77" s="1"/>
  <c r="AY27" i="77"/>
  <c r="BD27" i="77" s="1"/>
  <c r="AX27" i="77"/>
  <c r="BC27" i="77" s="1"/>
  <c r="A3" i="66"/>
  <c r="A4" i="66"/>
  <c r="A5" i="66"/>
  <c r="A6" i="66"/>
  <c r="A7" i="66"/>
  <c r="A8" i="66"/>
  <c r="A9" i="66"/>
  <c r="A10" i="66"/>
  <c r="A12" i="66"/>
  <c r="A14" i="66"/>
  <c r="A15" i="66"/>
  <c r="A16" i="66"/>
  <c r="A17" i="66"/>
  <c r="A18" i="66"/>
  <c r="N25" i="77" l="1"/>
  <c r="AB25" i="77"/>
  <c r="AT25" i="77"/>
  <c r="T25" i="77"/>
  <c r="M25" i="77" s="1"/>
  <c r="O24" i="77"/>
  <c r="H23" i="77"/>
  <c r="AC24" i="77"/>
  <c r="L24" i="77" s="1"/>
  <c r="AZ26" i="77"/>
  <c r="BE26" i="77" s="1"/>
  <c r="AW26" i="77"/>
  <c r="BB26" i="77" s="1"/>
  <c r="AX26" i="77"/>
  <c r="BC26" i="77" s="1"/>
  <c r="AV26" i="77"/>
  <c r="BA26" i="77" s="1"/>
  <c r="AY26" i="77"/>
  <c r="BD26" i="77" s="1"/>
  <c r="AO22" i="77"/>
  <c r="J15" i="96"/>
  <c r="L15" i="96" s="1"/>
  <c r="H22" i="77" l="1"/>
  <c r="AC23" i="77"/>
  <c r="L23" i="77" s="1"/>
  <c r="O23" i="77"/>
  <c r="AO21" i="77"/>
  <c r="N24" i="77"/>
  <c r="AB24" i="77"/>
  <c r="AT24" i="77"/>
  <c r="T24" i="77"/>
  <c r="M24" i="77" s="1"/>
  <c r="AY25" i="77"/>
  <c r="BD25" i="77" s="1"/>
  <c r="AW25" i="77"/>
  <c r="BB25" i="77" s="1"/>
  <c r="AV25" i="77"/>
  <c r="BA25" i="77" s="1"/>
  <c r="AX25" i="77"/>
  <c r="BC25" i="77" s="1"/>
  <c r="AZ25" i="77"/>
  <c r="BE25" i="77" s="1"/>
  <c r="F15" i="96"/>
  <c r="E15" i="96"/>
  <c r="D15" i="96"/>
  <c r="I15" i="96"/>
  <c r="H15" i="96"/>
  <c r="G15" i="96"/>
  <c r="L14" i="96"/>
  <c r="AX24" i="77" l="1"/>
  <c r="BC24" i="77" s="1"/>
  <c r="AY24" i="77"/>
  <c r="BD24" i="77" s="1"/>
  <c r="AW24" i="77"/>
  <c r="BB24" i="77" s="1"/>
  <c r="AV24" i="77"/>
  <c r="BA24" i="77" s="1"/>
  <c r="AZ24" i="77"/>
  <c r="BE24" i="77" s="1"/>
  <c r="AO20" i="77"/>
  <c r="N23" i="77"/>
  <c r="AB23" i="77"/>
  <c r="AT23" i="77"/>
  <c r="T23" i="77"/>
  <c r="M23" i="77" s="1"/>
  <c r="H21" i="77"/>
  <c r="O22" i="77"/>
  <c r="AC22" i="77"/>
  <c r="L22" i="77" s="1"/>
  <c r="T22" i="77" s="1"/>
  <c r="M22" i="77" s="1"/>
  <c r="U84" i="79"/>
  <c r="S84" i="79" s="1"/>
  <c r="U83" i="79"/>
  <c r="S83" i="79" s="1"/>
  <c r="AC21" i="77" l="1"/>
  <c r="L21" i="77" s="1"/>
  <c r="O21" i="77"/>
  <c r="H20" i="77"/>
  <c r="T21" i="77"/>
  <c r="M21" i="77" s="1"/>
  <c r="N22" i="77"/>
  <c r="AB22" i="77"/>
  <c r="AT22" i="77"/>
  <c r="AY23" i="77"/>
  <c r="BD23" i="77" s="1"/>
  <c r="AV23" i="77"/>
  <c r="BA23" i="77" s="1"/>
  <c r="AW23" i="77"/>
  <c r="BB23" i="77" s="1"/>
  <c r="AZ23" i="77"/>
  <c r="BE23" i="77" s="1"/>
  <c r="AX23" i="77"/>
  <c r="BC23" i="77" s="1"/>
  <c r="AO19" i="77"/>
  <c r="AW227" i="90"/>
  <c r="B227" i="90"/>
  <c r="C227" i="90"/>
  <c r="D227" i="90"/>
  <c r="E227" i="90"/>
  <c r="F227" i="90"/>
  <c r="G227" i="90"/>
  <c r="H227" i="90"/>
  <c r="I227" i="90"/>
  <c r="J227" i="90"/>
  <c r="K227" i="90"/>
  <c r="L227" i="90"/>
  <c r="M227" i="90"/>
  <c r="N227" i="90"/>
  <c r="O227" i="90"/>
  <c r="P227" i="90"/>
  <c r="Q227" i="90"/>
  <c r="R227" i="90"/>
  <c r="S227" i="90"/>
  <c r="T227" i="90"/>
  <c r="U227" i="90"/>
  <c r="V227" i="90"/>
  <c r="W227" i="90"/>
  <c r="X227" i="90"/>
  <c r="Y227" i="90"/>
  <c r="Z227" i="90"/>
  <c r="AA227" i="90"/>
  <c r="AB227" i="90"/>
  <c r="AC227" i="90"/>
  <c r="AD227" i="90"/>
  <c r="AE227" i="90"/>
  <c r="AF227" i="90"/>
  <c r="AG227" i="90"/>
  <c r="AH227" i="90"/>
  <c r="AI227" i="90"/>
  <c r="AJ227" i="90"/>
  <c r="AK227" i="90"/>
  <c r="AL227" i="90"/>
  <c r="AM227" i="90"/>
  <c r="AN227" i="90"/>
  <c r="AO227" i="90"/>
  <c r="AP227" i="90"/>
  <c r="AQ227" i="90"/>
  <c r="AR227" i="90"/>
  <c r="AS227" i="90"/>
  <c r="AT227" i="90"/>
  <c r="AU227" i="90"/>
  <c r="AV227" i="90"/>
  <c r="AW162" i="90"/>
  <c r="AW159" i="90"/>
  <c r="AW226" i="90"/>
  <c r="AW229" i="90" s="1"/>
  <c r="G7" i="95"/>
  <c r="F7" i="95"/>
  <c r="E7" i="95"/>
  <c r="D7" i="95"/>
  <c r="C7" i="95"/>
  <c r="G6" i="95"/>
  <c r="F6" i="95"/>
  <c r="E6" i="95"/>
  <c r="D6" i="95"/>
  <c r="C6" i="95"/>
  <c r="AO18" i="77" l="1"/>
  <c r="AZ22" i="77"/>
  <c r="BE22" i="77" s="1"/>
  <c r="AV22" i="77"/>
  <c r="BA22" i="77" s="1"/>
  <c r="AY22" i="77"/>
  <c r="BD22" i="77" s="1"/>
  <c r="AX22" i="77"/>
  <c r="BC22" i="77" s="1"/>
  <c r="AW22" i="77"/>
  <c r="BB22" i="77" s="1"/>
  <c r="H19" i="77"/>
  <c r="O20" i="77"/>
  <c r="AC20" i="77"/>
  <c r="L20" i="77" s="1"/>
  <c r="N21" i="77"/>
  <c r="AB21" i="77"/>
  <c r="AT21" i="77"/>
  <c r="AW230" i="90"/>
  <c r="AW232" i="90"/>
  <c r="AW231" i="90"/>
  <c r="AW228" i="90"/>
  <c r="AX21" i="77" l="1"/>
  <c r="BC21" i="77" s="1"/>
  <c r="AZ21" i="77"/>
  <c r="BE21" i="77" s="1"/>
  <c r="AW21" i="77"/>
  <c r="BB21" i="77" s="1"/>
  <c r="AV21" i="77"/>
  <c r="BA21" i="77" s="1"/>
  <c r="AY21" i="77"/>
  <c r="BD21" i="77" s="1"/>
  <c r="N20" i="77"/>
  <c r="AB20" i="77"/>
  <c r="AT20" i="77"/>
  <c r="H18" i="77"/>
  <c r="O19" i="77"/>
  <c r="AC19" i="77"/>
  <c r="L19" i="77" s="1"/>
  <c r="T20" i="77"/>
  <c r="M20" i="77" s="1"/>
  <c r="AO17" i="77"/>
  <c r="AB226" i="90"/>
  <c r="AC226" i="90"/>
  <c r="AC229" i="90" s="1"/>
  <c r="M226" i="90"/>
  <c r="M229" i="90" s="1"/>
  <c r="N226" i="90"/>
  <c r="N228" i="90" s="1"/>
  <c r="O226" i="90"/>
  <c r="P226" i="90"/>
  <c r="Q226" i="90"/>
  <c r="R226" i="90"/>
  <c r="R228" i="90" s="1"/>
  <c r="S226" i="90"/>
  <c r="S228" i="90" s="1"/>
  <c r="T226" i="90"/>
  <c r="T228" i="90" s="1"/>
  <c r="U226" i="90"/>
  <c r="U229" i="90" s="1"/>
  <c r="V226" i="90"/>
  <c r="V228" i="90" s="1"/>
  <c r="W226" i="90"/>
  <c r="X226" i="90"/>
  <c r="Y226" i="90"/>
  <c r="Z226" i="90"/>
  <c r="AA226" i="90"/>
  <c r="AA228" i="90" s="1"/>
  <c r="AD226" i="90"/>
  <c r="AD228" i="90" s="1"/>
  <c r="AE226" i="90"/>
  <c r="AE229" i="90" s="1"/>
  <c r="P228" i="90"/>
  <c r="AO16" i="77" l="1"/>
  <c r="O18" i="77"/>
  <c r="H17" i="77"/>
  <c r="AC18" i="77"/>
  <c r="L18" i="77" s="1"/>
  <c r="N19" i="77"/>
  <c r="AB19" i="77"/>
  <c r="AT19" i="77"/>
  <c r="T19" i="77"/>
  <c r="M19" i="77" s="1"/>
  <c r="AZ20" i="77"/>
  <c r="BE20" i="77" s="1"/>
  <c r="AY20" i="77"/>
  <c r="BD20" i="77" s="1"/>
  <c r="AW20" i="77"/>
  <c r="BB20" i="77" s="1"/>
  <c r="AV20" i="77"/>
  <c r="BA20" i="77" s="1"/>
  <c r="AX20" i="77"/>
  <c r="BC20" i="77" s="1"/>
  <c r="AE230" i="90"/>
  <c r="AE232" i="90"/>
  <c r="AE231" i="90"/>
  <c r="U230" i="90"/>
  <c r="U232" i="90"/>
  <c r="U231" i="90"/>
  <c r="M230" i="90"/>
  <c r="M232" i="90"/>
  <c r="M231" i="90"/>
  <c r="AC230" i="90"/>
  <c r="AC232" i="90"/>
  <c r="AC231" i="90"/>
  <c r="Q229" i="90"/>
  <c r="P229" i="90"/>
  <c r="W229" i="90"/>
  <c r="O229" i="90"/>
  <c r="X228" i="90"/>
  <c r="X229" i="90"/>
  <c r="T229" i="90"/>
  <c r="S229" i="90"/>
  <c r="M228" i="90"/>
  <c r="V229" i="90"/>
  <c r="O228" i="90"/>
  <c r="N229" i="90"/>
  <c r="W228" i="90"/>
  <c r="U228" i="90"/>
  <c r="AA229" i="90"/>
  <c r="Y229" i="90"/>
  <c r="AB228" i="90"/>
  <c r="AB229" i="90"/>
  <c r="Z229" i="90"/>
  <c r="AE228" i="90"/>
  <c r="AD229" i="90"/>
  <c r="AC228" i="90"/>
  <c r="Z228" i="90"/>
  <c r="Q228" i="90"/>
  <c r="Y228" i="90"/>
  <c r="R229" i="90"/>
  <c r="AX19" i="77" l="1"/>
  <c r="BC19" i="77" s="1"/>
  <c r="AW19" i="77"/>
  <c r="BB19" i="77" s="1"/>
  <c r="AZ19" i="77"/>
  <c r="BE19" i="77" s="1"/>
  <c r="AV19" i="77"/>
  <c r="BA19" i="77" s="1"/>
  <c r="AY19" i="77"/>
  <c r="BD19" i="77" s="1"/>
  <c r="N18" i="77"/>
  <c r="AB18" i="77"/>
  <c r="AT18" i="77"/>
  <c r="H16" i="77"/>
  <c r="O17" i="77"/>
  <c r="AC17" i="77"/>
  <c r="L17" i="77" s="1"/>
  <c r="T18" i="77"/>
  <c r="M18" i="77" s="1"/>
  <c r="AO15" i="77"/>
  <c r="R230" i="90"/>
  <c r="R232" i="90"/>
  <c r="R231" i="90"/>
  <c r="AD230" i="90"/>
  <c r="AD232" i="90"/>
  <c r="AD231" i="90"/>
  <c r="Z230" i="90"/>
  <c r="Z232" i="90"/>
  <c r="Z231" i="90"/>
  <c r="AB230" i="90"/>
  <c r="AB232" i="90"/>
  <c r="AB231" i="90"/>
  <c r="Y230" i="90"/>
  <c r="Y232" i="90"/>
  <c r="Y231" i="90"/>
  <c r="AA230" i="90"/>
  <c r="AA232" i="90"/>
  <c r="AA231" i="90"/>
  <c r="N230" i="90"/>
  <c r="N232" i="90"/>
  <c r="N231" i="90"/>
  <c r="V230" i="90"/>
  <c r="V232" i="90"/>
  <c r="V231" i="90"/>
  <c r="S230" i="90"/>
  <c r="S232" i="90"/>
  <c r="S231" i="90"/>
  <c r="T230" i="90"/>
  <c r="T232" i="90"/>
  <c r="T231" i="90"/>
  <c r="X230" i="90"/>
  <c r="X232" i="90"/>
  <c r="X231" i="90"/>
  <c r="O230" i="90"/>
  <c r="O232" i="90"/>
  <c r="O231" i="90"/>
  <c r="W230" i="90"/>
  <c r="W232" i="90"/>
  <c r="W231" i="90"/>
  <c r="P230" i="90"/>
  <c r="P232" i="90"/>
  <c r="P231" i="90"/>
  <c r="Q230" i="90"/>
  <c r="Q232" i="90"/>
  <c r="Q231" i="90"/>
  <c r="N17" i="77" l="1"/>
  <c r="AB17" i="77"/>
  <c r="AT17" i="77"/>
  <c r="H15" i="77"/>
  <c r="O16" i="77"/>
  <c r="AC16" i="77"/>
  <c r="L16" i="77" s="1"/>
  <c r="AO14" i="77"/>
  <c r="T17" i="77"/>
  <c r="M17" i="77" s="1"/>
  <c r="AZ18" i="77"/>
  <c r="BE18" i="77" s="1"/>
  <c r="AV18" i="77"/>
  <c r="BA18" i="77" s="1"/>
  <c r="AY18" i="77"/>
  <c r="BD18" i="77" s="1"/>
  <c r="AW18" i="77"/>
  <c r="BB18" i="77" s="1"/>
  <c r="AX18" i="77"/>
  <c r="BC18" i="77" s="1"/>
  <c r="Y78" i="79"/>
  <c r="Z78" i="79" s="1"/>
  <c r="Y82" i="79"/>
  <c r="Z82" i="79" s="1"/>
  <c r="Z80" i="79"/>
  <c r="Z79" i="79"/>
  <c r="Z81" i="79"/>
  <c r="V77" i="79"/>
  <c r="V82" i="79"/>
  <c r="U82" i="79"/>
  <c r="S82" i="79" s="1"/>
  <c r="U81" i="79"/>
  <c r="U80" i="79"/>
  <c r="U79" i="79"/>
  <c r="U78" i="79"/>
  <c r="U77" i="79"/>
  <c r="S77" i="79" s="1"/>
  <c r="AO13" i="77" l="1"/>
  <c r="AV17" i="77"/>
  <c r="BA17" i="77" s="1"/>
  <c r="AY17" i="77"/>
  <c r="BD17" i="77" s="1"/>
  <c r="AW17" i="77"/>
  <c r="BB17" i="77" s="1"/>
  <c r="AZ17" i="77"/>
  <c r="BE17" i="77" s="1"/>
  <c r="AX17" i="77"/>
  <c r="BC17" i="77" s="1"/>
  <c r="N16" i="77"/>
  <c r="AB16" i="77"/>
  <c r="AT16" i="77"/>
  <c r="T16" i="77"/>
  <c r="M16" i="77" s="1"/>
  <c r="H14" i="77"/>
  <c r="O15" i="77"/>
  <c r="AC15" i="77"/>
  <c r="L15" i="77" s="1"/>
  <c r="W78" i="79"/>
  <c r="X78" i="79" s="1"/>
  <c r="S78" i="79"/>
  <c r="W79" i="79"/>
  <c r="X79" i="79" s="1"/>
  <c r="S79" i="79"/>
  <c r="W80" i="79"/>
  <c r="X80" i="79" s="1"/>
  <c r="S80" i="79"/>
  <c r="W82" i="79"/>
  <c r="W81" i="79"/>
  <c r="X81" i="79" s="1"/>
  <c r="S81" i="79"/>
  <c r="W77" i="79"/>
  <c r="X77" i="79" s="1"/>
  <c r="O14" i="77" l="1"/>
  <c r="H13" i="77"/>
  <c r="AC14" i="77"/>
  <c r="L14" i="77" s="1"/>
  <c r="T14" i="77" s="1"/>
  <c r="M14" i="77" s="1"/>
  <c r="N15" i="77"/>
  <c r="AB15" i="77"/>
  <c r="AT15" i="77"/>
  <c r="T15" i="77"/>
  <c r="M15" i="77" s="1"/>
  <c r="AW16" i="77"/>
  <c r="BB16" i="77" s="1"/>
  <c r="AX16" i="77"/>
  <c r="BC16" i="77" s="1"/>
  <c r="AY16" i="77"/>
  <c r="BD16" i="77" s="1"/>
  <c r="AV16" i="77"/>
  <c r="BA16" i="77" s="1"/>
  <c r="AZ16" i="77"/>
  <c r="BE16" i="77" s="1"/>
  <c r="AO12" i="77"/>
  <c r="X82" i="79"/>
  <c r="AO11" i="77" l="1"/>
  <c r="AO55" i="77"/>
  <c r="AZ15" i="77"/>
  <c r="BE15" i="77" s="1"/>
  <c r="AV15" i="77"/>
  <c r="BA15" i="77" s="1"/>
  <c r="AY15" i="77"/>
  <c r="BD15" i="77" s="1"/>
  <c r="AX15" i="77"/>
  <c r="BC15" i="77" s="1"/>
  <c r="AW15" i="77"/>
  <c r="BB15" i="77" s="1"/>
  <c r="N14" i="77"/>
  <c r="AB14" i="77"/>
  <c r="AT14" i="77"/>
  <c r="O13" i="77"/>
  <c r="H12" i="77"/>
  <c r="AC13" i="77"/>
  <c r="L13" i="77" s="1"/>
  <c r="T13" i="77" s="1"/>
  <c r="M13" i="77" s="1"/>
  <c r="M6" i="93"/>
  <c r="AZ14" i="77" l="1"/>
  <c r="BE14" i="77" s="1"/>
  <c r="AX14" i="77"/>
  <c r="BC14" i="77" s="1"/>
  <c r="AW14" i="77"/>
  <c r="BB14" i="77" s="1"/>
  <c r="AY14" i="77"/>
  <c r="BD14" i="77" s="1"/>
  <c r="AV14" i="77"/>
  <c r="BA14" i="77" s="1"/>
  <c r="H11" i="77"/>
  <c r="O12" i="77"/>
  <c r="AC12" i="77"/>
  <c r="L12" i="77" s="1"/>
  <c r="N13" i="77"/>
  <c r="AB13" i="77"/>
  <c r="AT13" i="77"/>
  <c r="AO10" i="77"/>
  <c r="AV206" i="90"/>
  <c r="AU206" i="90"/>
  <c r="AT206" i="90"/>
  <c r="AX13" i="77" l="1"/>
  <c r="BC13" i="77" s="1"/>
  <c r="AZ13" i="77"/>
  <c r="BE13" i="77" s="1"/>
  <c r="AW13" i="77"/>
  <c r="BB13" i="77" s="1"/>
  <c r="AY13" i="77"/>
  <c r="BD13" i="77" s="1"/>
  <c r="AV13" i="77"/>
  <c r="BA13" i="77" s="1"/>
  <c r="N12" i="77"/>
  <c r="AB12" i="77"/>
  <c r="AT12" i="77"/>
  <c r="H10" i="77"/>
  <c r="O11" i="77"/>
  <c r="AC11" i="77"/>
  <c r="L11" i="77" s="1"/>
  <c r="AO9" i="77"/>
  <c r="T12" i="77"/>
  <c r="M12" i="77" s="1"/>
  <c r="C163" i="93"/>
  <c r="D163" i="93"/>
  <c r="E163" i="93"/>
  <c r="F163" i="93"/>
  <c r="G163" i="93"/>
  <c r="I163" i="93" s="1"/>
  <c r="H163" i="93"/>
  <c r="J163" i="93" s="1"/>
  <c r="C164" i="93"/>
  <c r="D164" i="93"/>
  <c r="E164" i="93"/>
  <c r="F164" i="93"/>
  <c r="G164" i="93"/>
  <c r="H164" i="93"/>
  <c r="C165" i="93"/>
  <c r="D165" i="93"/>
  <c r="E165" i="93"/>
  <c r="F165" i="93"/>
  <c r="G165" i="93"/>
  <c r="H165" i="93"/>
  <c r="C166" i="93"/>
  <c r="D166" i="93"/>
  <c r="E166" i="93"/>
  <c r="F166" i="93"/>
  <c r="K166" i="93" s="1"/>
  <c r="G166" i="93"/>
  <c r="H166" i="93"/>
  <c r="I166" i="93"/>
  <c r="J166" i="93"/>
  <c r="I164" i="93" l="1"/>
  <c r="J164" i="93"/>
  <c r="C167" i="93"/>
  <c r="C168" i="93" s="1"/>
  <c r="D167" i="93"/>
  <c r="AO8" i="77"/>
  <c r="N11" i="77"/>
  <c r="AB11" i="77"/>
  <c r="AT11" i="77"/>
  <c r="O10" i="77"/>
  <c r="H9" i="77"/>
  <c r="AC10" i="77"/>
  <c r="L10" i="77" s="1"/>
  <c r="T11" i="77"/>
  <c r="M11" i="77" s="1"/>
  <c r="AY12" i="77"/>
  <c r="BD12" i="77" s="1"/>
  <c r="AZ12" i="77"/>
  <c r="BE12" i="77" s="1"/>
  <c r="AX12" i="77"/>
  <c r="BC12" i="77" s="1"/>
  <c r="AW12" i="77"/>
  <c r="BB12" i="77" s="1"/>
  <c r="AV12" i="77"/>
  <c r="K164" i="93"/>
  <c r="K163" i="93"/>
  <c r="H167" i="93"/>
  <c r="G167" i="93"/>
  <c r="E167" i="93"/>
  <c r="F167" i="93"/>
  <c r="K167" i="93" s="1"/>
  <c r="C170" i="93"/>
  <c r="D170" i="93"/>
  <c r="D168" i="93"/>
  <c r="F168" i="93" l="1"/>
  <c r="K168" i="93" s="1"/>
  <c r="J167" i="93"/>
  <c r="H168" i="93"/>
  <c r="J168" i="93" s="1"/>
  <c r="G168" i="93"/>
  <c r="I167" i="93"/>
  <c r="E170" i="93"/>
  <c r="E168" i="93"/>
  <c r="BA12" i="77"/>
  <c r="AV55" i="77"/>
  <c r="N10" i="77"/>
  <c r="AB10" i="77"/>
  <c r="AT10" i="77"/>
  <c r="T10" i="77"/>
  <c r="M10" i="77" s="1"/>
  <c r="O9" i="77"/>
  <c r="H8" i="77"/>
  <c r="AC9" i="77"/>
  <c r="L9" i="77" s="1"/>
  <c r="AW11" i="77"/>
  <c r="BB11" i="77" s="1"/>
  <c r="AZ11" i="77"/>
  <c r="BE11" i="77" s="1"/>
  <c r="AY11" i="77"/>
  <c r="BD11" i="77" s="1"/>
  <c r="AV11" i="77"/>
  <c r="BA11" i="77" s="1"/>
  <c r="AX11" i="77"/>
  <c r="BC11" i="77" s="1"/>
  <c r="AO7" i="77"/>
  <c r="I168" i="93"/>
  <c r="Q28" i="79"/>
  <c r="Q29" i="79"/>
  <c r="Q30" i="79"/>
  <c r="Q31" i="79"/>
  <c r="Q32" i="79"/>
  <c r="Q33" i="79"/>
  <c r="Q34" i="79"/>
  <c r="Q35" i="79"/>
  <c r="Q36" i="79"/>
  <c r="Q37" i="79"/>
  <c r="Q38" i="79"/>
  <c r="Q39" i="79"/>
  <c r="Q40" i="79"/>
  <c r="Q41" i="79"/>
  <c r="Q42" i="79"/>
  <c r="Q43" i="79"/>
  <c r="N9" i="77" l="1"/>
  <c r="AB9" i="77"/>
  <c r="AT9" i="77"/>
  <c r="T9" i="77"/>
  <c r="M9" i="77" s="1"/>
  <c r="AO6" i="77"/>
  <c r="H7" i="77"/>
  <c r="O8" i="77"/>
  <c r="AC8" i="77"/>
  <c r="L8" i="77" s="1"/>
  <c r="T8" i="77" s="1"/>
  <c r="M8" i="77" s="1"/>
  <c r="AV10" i="77"/>
  <c r="BA10" i="77" s="1"/>
  <c r="AX10" i="77"/>
  <c r="BC10" i="77" s="1"/>
  <c r="AY10" i="77"/>
  <c r="BD10" i="77" s="1"/>
  <c r="AW10" i="77"/>
  <c r="BB10" i="77" s="1"/>
  <c r="AZ10" i="77"/>
  <c r="BE10" i="77" s="1"/>
  <c r="AF226" i="90"/>
  <c r="AG226" i="90"/>
  <c r="AH226" i="90"/>
  <c r="AI226" i="90"/>
  <c r="AJ226" i="90"/>
  <c r="AK226" i="90"/>
  <c r="AL226" i="90"/>
  <c r="AM226" i="90"/>
  <c r="AN226" i="90"/>
  <c r="AO226" i="90"/>
  <c r="AP226" i="90"/>
  <c r="AQ226" i="90"/>
  <c r="AR226" i="90"/>
  <c r="AS226" i="90"/>
  <c r="AT226" i="90"/>
  <c r="AU226" i="90"/>
  <c r="AV226" i="90"/>
  <c r="O7" i="77" l="1"/>
  <c r="H6" i="77"/>
  <c r="AC7" i="77"/>
  <c r="L7" i="77" s="1"/>
  <c r="AO5" i="77"/>
  <c r="N8" i="77"/>
  <c r="AB8" i="77"/>
  <c r="AT8" i="77"/>
  <c r="AV9" i="77"/>
  <c r="BA9" i="77" s="1"/>
  <c r="AX9" i="77"/>
  <c r="BC9" i="77" s="1"/>
  <c r="AZ9" i="77"/>
  <c r="BE9" i="77" s="1"/>
  <c r="AY9" i="77"/>
  <c r="BD9" i="77" s="1"/>
  <c r="AW9" i="77"/>
  <c r="BB9" i="77" s="1"/>
  <c r="C18" i="95" a="1"/>
  <c r="AN229" i="90"/>
  <c r="AN228" i="90"/>
  <c r="AF229" i="90"/>
  <c r="AF228" i="90"/>
  <c r="AU228" i="90"/>
  <c r="AU229" i="90"/>
  <c r="AL228" i="90"/>
  <c r="AL229" i="90"/>
  <c r="AR229" i="90"/>
  <c r="AR228" i="90"/>
  <c r="AQ229" i="90"/>
  <c r="AQ228" i="90"/>
  <c r="AI229" i="90"/>
  <c r="AI228" i="90"/>
  <c r="AV229" i="90"/>
  <c r="AV228" i="90"/>
  <c r="AT228" i="90"/>
  <c r="AT229" i="90"/>
  <c r="AK229" i="90"/>
  <c r="AK228" i="90"/>
  <c r="AP229" i="90"/>
  <c r="AP228" i="90"/>
  <c r="AH229" i="90"/>
  <c r="AH228" i="90"/>
  <c r="AM229" i="90"/>
  <c r="AM228" i="90"/>
  <c r="AS229" i="90"/>
  <c r="AS228" i="90"/>
  <c r="AJ229" i="90"/>
  <c r="AJ228" i="90"/>
  <c r="AO229" i="90"/>
  <c r="AO228" i="90"/>
  <c r="AG229" i="90"/>
  <c r="AG228" i="90"/>
  <c r="AW8" i="77" l="1"/>
  <c r="BB8" i="77" s="1"/>
  <c r="AZ8" i="77"/>
  <c r="BE8" i="77" s="1"/>
  <c r="AX8" i="77"/>
  <c r="BC8" i="77" s="1"/>
  <c r="AV8" i="77"/>
  <c r="BA8" i="77" s="1"/>
  <c r="AY8" i="77"/>
  <c r="BD8" i="77" s="1"/>
  <c r="N7" i="77"/>
  <c r="AB7" i="77"/>
  <c r="AT7" i="77"/>
  <c r="H5" i="77"/>
  <c r="O6" i="77"/>
  <c r="AC6" i="77"/>
  <c r="L6" i="77" s="1"/>
  <c r="T7" i="77"/>
  <c r="M7" i="77" s="1"/>
  <c r="AI230" i="90"/>
  <c r="AI231" i="90"/>
  <c r="AI232" i="90"/>
  <c r="AO230" i="90"/>
  <c r="AO232" i="90"/>
  <c r="AO231" i="90"/>
  <c r="AT230" i="90"/>
  <c r="AT232" i="90"/>
  <c r="AT231" i="90"/>
  <c r="AV230" i="90"/>
  <c r="AV231" i="90"/>
  <c r="AV232" i="90"/>
  <c r="AQ230" i="90"/>
  <c r="AQ232" i="90"/>
  <c r="AQ231" i="90"/>
  <c r="AK230" i="90"/>
  <c r="AK231" i="90"/>
  <c r="AK232" i="90"/>
  <c r="AG230" i="90"/>
  <c r="AG232" i="90"/>
  <c r="AG231" i="90"/>
  <c r="AR230" i="90"/>
  <c r="AR232" i="90"/>
  <c r="AR231" i="90"/>
  <c r="AS230" i="90"/>
  <c r="AS232" i="90"/>
  <c r="AS231" i="90"/>
  <c r="AU230" i="90"/>
  <c r="AU232" i="90"/>
  <c r="AU231" i="90"/>
  <c r="AL230" i="90"/>
  <c r="AL231" i="90"/>
  <c r="AL232" i="90"/>
  <c r="AH230" i="90"/>
  <c r="AH232" i="90"/>
  <c r="AH231" i="90"/>
  <c r="AF230" i="90"/>
  <c r="AF231" i="90"/>
  <c r="AF232" i="90"/>
  <c r="AJ230" i="90"/>
  <c r="AJ231" i="90"/>
  <c r="AJ232" i="90"/>
  <c r="AM230" i="90"/>
  <c r="AM232" i="90"/>
  <c r="AM231" i="90"/>
  <c r="AP230" i="90"/>
  <c r="AP232" i="90"/>
  <c r="AP231" i="90"/>
  <c r="AN230" i="90"/>
  <c r="AN232" i="90"/>
  <c r="AN231" i="90"/>
  <c r="C18" i="95"/>
  <c r="L18" i="95" s="1"/>
  <c r="G18" i="95"/>
  <c r="I18" i="95"/>
  <c r="J18" i="95"/>
  <c r="H18" i="95"/>
  <c r="E18" i="95"/>
  <c r="F18" i="95"/>
  <c r="M18" i="95" s="1"/>
  <c r="D18" i="95"/>
  <c r="N6" i="77" l="1"/>
  <c r="AB6" i="77"/>
  <c r="AT6" i="77"/>
  <c r="O5" i="77"/>
  <c r="AC5" i="77"/>
  <c r="L5" i="77" s="1"/>
  <c r="T6" i="77"/>
  <c r="M6" i="77" s="1"/>
  <c r="AV7" i="77"/>
  <c r="BA7" i="77" s="1"/>
  <c r="AZ7" i="77"/>
  <c r="BE7" i="77" s="1"/>
  <c r="AY7" i="77"/>
  <c r="BD7" i="77" s="1"/>
  <c r="AX7" i="77"/>
  <c r="BC7" i="77" s="1"/>
  <c r="AW7" i="77"/>
  <c r="BB7" i="77" s="1"/>
  <c r="B206" i="90" a="1"/>
  <c r="B206" i="90" s="1"/>
  <c r="B226" i="90" s="1"/>
  <c r="N5" i="77" l="1"/>
  <c r="AB5" i="77"/>
  <c r="AT5" i="77"/>
  <c r="T5" i="77"/>
  <c r="M5" i="77" s="1"/>
  <c r="AX6" i="77"/>
  <c r="BC6" i="77" s="1"/>
  <c r="AV6" i="77"/>
  <c r="BA6" i="77" s="1"/>
  <c r="AZ6" i="77"/>
  <c r="BE6" i="77" s="1"/>
  <c r="AY6" i="77"/>
  <c r="BD6" i="77" s="1"/>
  <c r="AW6" i="77"/>
  <c r="BB6" i="77" s="1"/>
  <c r="K206" i="90"/>
  <c r="K226" i="90" s="1"/>
  <c r="L206" i="90"/>
  <c r="L226" i="90" s="1"/>
  <c r="D206" i="90"/>
  <c r="D226" i="90" s="1"/>
  <c r="D228" i="90" s="1"/>
  <c r="H206" i="90"/>
  <c r="H226" i="90" s="1"/>
  <c r="H228" i="90" s="1"/>
  <c r="I206" i="90"/>
  <c r="I226" i="90" s="1"/>
  <c r="I228" i="90" s="1"/>
  <c r="J206" i="90"/>
  <c r="J226" i="90" s="1"/>
  <c r="J229" i="90" s="1"/>
  <c r="F206" i="90"/>
  <c r="F226" i="90" s="1"/>
  <c r="E206" i="90"/>
  <c r="E226" i="90" s="1"/>
  <c r="G206" i="90"/>
  <c r="G226" i="90" s="1"/>
  <c r="G228" i="90" s="1"/>
  <c r="C206" i="90"/>
  <c r="C226" i="90" s="1"/>
  <c r="B229" i="90"/>
  <c r="B228" i="90"/>
  <c r="AZ5" i="77" l="1"/>
  <c r="BE5" i="77" s="1"/>
  <c r="AX5" i="77"/>
  <c r="BC5" i="77" s="1"/>
  <c r="AW5" i="77"/>
  <c r="AY5" i="77"/>
  <c r="BD5" i="77" s="1"/>
  <c r="AV5" i="77"/>
  <c r="J230" i="90"/>
  <c r="J232" i="90"/>
  <c r="J231" i="90"/>
  <c r="B231" i="90"/>
  <c r="B232" i="90"/>
  <c r="D229" i="90"/>
  <c r="B230" i="90"/>
  <c r="J228" i="90"/>
  <c r="H229" i="90"/>
  <c r="G229" i="90"/>
  <c r="I229" i="90"/>
  <c r="C229" i="90"/>
  <c r="C228" i="90"/>
  <c r="E229" i="90"/>
  <c r="E228" i="90"/>
  <c r="K229" i="90"/>
  <c r="K228" i="90"/>
  <c r="F228" i="90"/>
  <c r="F229" i="90"/>
  <c r="L228" i="90"/>
  <c r="L229" i="90"/>
  <c r="BB5" i="77" l="1"/>
  <c r="AV58" i="77"/>
  <c r="BA5" i="77"/>
  <c r="AU59" i="77"/>
  <c r="AU58" i="77"/>
  <c r="D230" i="90"/>
  <c r="D232" i="90"/>
  <c r="D231" i="90"/>
  <c r="K230" i="90"/>
  <c r="K232" i="90"/>
  <c r="K231" i="90"/>
  <c r="E230" i="90"/>
  <c r="E231" i="90"/>
  <c r="E232" i="90"/>
  <c r="C230" i="90"/>
  <c r="C232" i="90"/>
  <c r="C231" i="90"/>
  <c r="F230" i="90"/>
  <c r="F232" i="90"/>
  <c r="F231" i="90"/>
  <c r="I230" i="90"/>
  <c r="I231" i="90"/>
  <c r="I232" i="90"/>
  <c r="H230" i="90"/>
  <c r="H232" i="90"/>
  <c r="H231" i="90"/>
  <c r="G230" i="90"/>
  <c r="G232" i="90"/>
  <c r="G231" i="90"/>
  <c r="L230" i="90"/>
  <c r="L232" i="90"/>
  <c r="L231" i="90"/>
  <c r="C14" i="95" a="1"/>
  <c r="AU60" i="77" l="1"/>
  <c r="AU61" i="77" s="1"/>
  <c r="C14" i="95"/>
  <c r="C16" i="95" s="1"/>
  <c r="I14" i="95"/>
  <c r="H14" i="95"/>
  <c r="H16" i="95" s="1"/>
  <c r="J14" i="95"/>
  <c r="E14" i="95"/>
  <c r="E16" i="95" s="1"/>
  <c r="D14" i="95"/>
  <c r="D16" i="95" s="1"/>
  <c r="G14" i="95"/>
  <c r="G16" i="95" s="1"/>
  <c r="F14" i="95"/>
  <c r="F16" i="95" s="1"/>
  <c r="J16" i="95" l="1"/>
  <c r="I16" i="95"/>
  <c r="E13" i="81" l="1"/>
  <c r="E12" i="81"/>
  <c r="E11" i="81"/>
  <c r="E10" i="81"/>
  <c r="Q81" i="79"/>
  <c r="Q80" i="79"/>
  <c r="Q79" i="79"/>
  <c r="Q78" i="79"/>
  <c r="Q77" i="79"/>
  <c r="Q76" i="79"/>
  <c r="Q75" i="79"/>
  <c r="Q74" i="79"/>
  <c r="Q73" i="79"/>
  <c r="Q72" i="79"/>
  <c r="Q71" i="79"/>
  <c r="Q70" i="79"/>
  <c r="Q69" i="79"/>
  <c r="Q68" i="79"/>
  <c r="Q67" i="79"/>
  <c r="Q66" i="79"/>
  <c r="Q65" i="79"/>
  <c r="Q64" i="79"/>
  <c r="Q63" i="79"/>
  <c r="Q62" i="79"/>
  <c r="Q61" i="79"/>
  <c r="Q60" i="79"/>
  <c r="Q59" i="79"/>
  <c r="Q58" i="79"/>
  <c r="Q57" i="79"/>
  <c r="Q56" i="79"/>
  <c r="Q55" i="79"/>
  <c r="Q54" i="79"/>
  <c r="Q53" i="79"/>
  <c r="Q52" i="79"/>
  <c r="Q51" i="79"/>
  <c r="Q50" i="79"/>
  <c r="Q49" i="79"/>
  <c r="Q48" i="79"/>
  <c r="Q47" i="79"/>
  <c r="Q46" i="79"/>
  <c r="Q45" i="79"/>
  <c r="Q44" i="79"/>
  <c r="Q25" i="79"/>
  <c r="N25" i="79"/>
  <c r="M25" i="79"/>
  <c r="L25" i="79"/>
  <c r="K25" i="79"/>
  <c r="J25" i="79"/>
  <c r="I25" i="79"/>
  <c r="Q24" i="79"/>
  <c r="N24" i="79"/>
  <c r="M24" i="79"/>
  <c r="L24" i="79"/>
  <c r="K24" i="79"/>
  <c r="J24" i="79"/>
  <c r="I24" i="79"/>
  <c r="Q23" i="79"/>
  <c r="N23" i="79"/>
  <c r="M23" i="79"/>
  <c r="L23" i="79"/>
  <c r="K23" i="79"/>
  <c r="J23" i="79"/>
  <c r="I23" i="79"/>
  <c r="Q22" i="79"/>
  <c r="N22" i="79"/>
  <c r="M22" i="79"/>
  <c r="L22" i="79"/>
  <c r="K22" i="79"/>
  <c r="J22" i="79"/>
  <c r="I22" i="79"/>
  <c r="Q21" i="79"/>
  <c r="N21" i="79"/>
  <c r="M21" i="79"/>
  <c r="L21" i="79"/>
  <c r="K21" i="79"/>
  <c r="J21" i="79"/>
  <c r="I21" i="79"/>
  <c r="Q20" i="79"/>
  <c r="N20" i="79"/>
  <c r="M20" i="79"/>
  <c r="L20" i="79"/>
  <c r="K20" i="79"/>
  <c r="J20" i="79"/>
  <c r="I20" i="79"/>
  <c r="Q19" i="79"/>
  <c r="N19" i="79"/>
  <c r="M19" i="79"/>
  <c r="L19" i="79"/>
  <c r="K19" i="79"/>
  <c r="J19" i="79"/>
  <c r="I19" i="79"/>
  <c r="Q18" i="79"/>
  <c r="N18" i="79"/>
  <c r="M18" i="79"/>
  <c r="L18" i="79"/>
  <c r="K18" i="79"/>
  <c r="J18" i="79"/>
  <c r="I18" i="79"/>
  <c r="Q17" i="79"/>
  <c r="N17" i="79"/>
  <c r="M17" i="79"/>
  <c r="L17" i="79"/>
  <c r="K17" i="79"/>
  <c r="J17" i="79"/>
  <c r="I17" i="79"/>
  <c r="Q16" i="79"/>
  <c r="N16" i="79"/>
  <c r="M16" i="79"/>
  <c r="L16" i="79"/>
  <c r="K16" i="79"/>
  <c r="J16" i="79"/>
  <c r="I16" i="79"/>
  <c r="Q15" i="79"/>
  <c r="N15" i="79"/>
  <c r="M15" i="79"/>
  <c r="L15" i="79"/>
  <c r="K15" i="79"/>
  <c r="J15" i="79"/>
  <c r="I15" i="79"/>
  <c r="Q14" i="79"/>
  <c r="N14" i="79"/>
  <c r="M14" i="79"/>
  <c r="L14" i="79"/>
  <c r="K14" i="79"/>
  <c r="J14" i="79"/>
  <c r="I14" i="79"/>
  <c r="Q13" i="79"/>
  <c r="N13" i="79"/>
  <c r="M13" i="79"/>
  <c r="L13" i="79"/>
  <c r="K13" i="79"/>
  <c r="J13" i="79"/>
  <c r="I13" i="79"/>
  <c r="Q12" i="79"/>
  <c r="N12" i="79"/>
  <c r="M12" i="79"/>
  <c r="L12" i="79"/>
  <c r="K12" i="79"/>
  <c r="J12" i="79"/>
  <c r="I12" i="79"/>
  <c r="Q11" i="79"/>
  <c r="N11" i="79"/>
  <c r="M11" i="79"/>
  <c r="L11" i="79"/>
  <c r="K11" i="79"/>
  <c r="J11" i="79"/>
  <c r="I11" i="79"/>
  <c r="Q10" i="79"/>
  <c r="N10" i="79"/>
  <c r="M10" i="79"/>
  <c r="L10" i="79"/>
  <c r="K10" i="79"/>
  <c r="J10" i="79"/>
  <c r="I10" i="79"/>
  <c r="E12" i="70" l="1"/>
  <c r="E11" i="70"/>
  <c r="E14" i="70"/>
  <c r="E13" i="70"/>
  <c r="E17" i="70"/>
  <c r="E15" i="70"/>
  <c r="E19" i="70"/>
  <c r="E20" i="70"/>
  <c r="E9" i="70"/>
  <c r="E10" i="70"/>
  <c r="E16" i="70"/>
  <c r="E18" i="70"/>
  <c r="E4" i="70"/>
  <c r="E5" i="70"/>
  <c r="E8" i="70"/>
  <c r="E7" i="70"/>
  <c r="E6" i="70"/>
  <c r="E9" i="81"/>
  <c r="E7" i="81"/>
  <c r="E6" i="81"/>
  <c r="E8" i="81"/>
  <c r="H12" i="79"/>
  <c r="H20" i="79"/>
  <c r="H14" i="79"/>
  <c r="H22" i="79"/>
  <c r="H13" i="79"/>
  <c r="H21" i="79"/>
  <c r="H11" i="79"/>
  <c r="H19" i="79"/>
  <c r="H10" i="79"/>
  <c r="H18" i="79"/>
  <c r="H17" i="79"/>
  <c r="H25" i="79"/>
  <c r="H16" i="79"/>
  <c r="H24" i="79"/>
  <c r="H15" i="79"/>
  <c r="H23" i="79"/>
  <c r="D9" i="56" l="1"/>
  <c r="E89" i="56"/>
  <c r="F89" i="56"/>
  <c r="G89" i="56"/>
  <c r="H89" i="56"/>
  <c r="I89" i="56"/>
  <c r="J89" i="56"/>
  <c r="D45" i="56"/>
  <c r="D46" i="56"/>
  <c r="D47" i="56"/>
  <c r="D48" i="56"/>
  <c r="D49" i="56"/>
  <c r="D50" i="56"/>
  <c r="D51" i="56"/>
  <c r="D10" i="56"/>
  <c r="D11" i="56"/>
  <c r="D12" i="56"/>
  <c r="D13" i="56"/>
  <c r="D14" i="56"/>
  <c r="D15" i="56"/>
  <c r="D16" i="56"/>
  <c r="D17" i="56"/>
  <c r="D18" i="56"/>
  <c r="D19" i="56"/>
  <c r="D20" i="56"/>
  <c r="D21" i="56"/>
  <c r="D22" i="56"/>
  <c r="D23" i="56"/>
  <c r="D24" i="56"/>
  <c r="D25" i="56"/>
  <c r="D26" i="56"/>
  <c r="D27" i="56"/>
  <c r="D28" i="56"/>
  <c r="D29" i="56"/>
  <c r="D30" i="56"/>
  <c r="D31" i="56"/>
  <c r="D32" i="56"/>
  <c r="D33" i="56"/>
  <c r="D34" i="56"/>
  <c r="D35" i="56"/>
  <c r="D36" i="56"/>
  <c r="D37" i="56"/>
  <c r="D38" i="56"/>
  <c r="D39" i="56"/>
  <c r="D40" i="56"/>
  <c r="D41" i="56"/>
  <c r="D42" i="56"/>
  <c r="D43" i="56"/>
  <c r="K90" i="56"/>
  <c r="K53" i="56"/>
  <c r="K54" i="56"/>
  <c r="K55" i="56"/>
  <c r="K56" i="56"/>
  <c r="K57" i="56"/>
  <c r="K58" i="56"/>
  <c r="K59" i="56"/>
  <c r="K60" i="56"/>
  <c r="K61" i="56"/>
  <c r="K62" i="56"/>
  <c r="K63" i="56"/>
  <c r="K64" i="56"/>
  <c r="K65" i="56"/>
  <c r="K66" i="56"/>
  <c r="K67" i="56"/>
  <c r="K68" i="56"/>
  <c r="K69" i="56"/>
  <c r="K70" i="56"/>
  <c r="K71" i="56"/>
  <c r="K72" i="56"/>
  <c r="K73" i="56"/>
  <c r="C73" i="56" s="1"/>
  <c r="K74" i="56"/>
  <c r="K75" i="56"/>
  <c r="K76" i="56"/>
  <c r="K77" i="56"/>
  <c r="K78" i="56"/>
  <c r="K79" i="56"/>
  <c r="K80" i="56"/>
  <c r="K81" i="56"/>
  <c r="K82" i="56"/>
  <c r="K83" i="56"/>
  <c r="K84" i="56"/>
  <c r="K85" i="56"/>
  <c r="K86" i="56"/>
  <c r="K87" i="56"/>
  <c r="K88" i="56"/>
  <c r="K45" i="56"/>
  <c r="K46" i="56"/>
  <c r="K47" i="56"/>
  <c r="K48" i="56"/>
  <c r="K49" i="56"/>
  <c r="K50" i="56"/>
  <c r="K51" i="56"/>
  <c r="K9" i="56"/>
  <c r="K10" i="56"/>
  <c r="K11" i="56"/>
  <c r="K12" i="56"/>
  <c r="K13" i="56"/>
  <c r="K14" i="56"/>
  <c r="K15" i="56"/>
  <c r="K16" i="56"/>
  <c r="K17" i="56"/>
  <c r="K18" i="56"/>
  <c r="K19" i="56"/>
  <c r="K20" i="56"/>
  <c r="K21" i="56"/>
  <c r="K22" i="56"/>
  <c r="K23" i="56"/>
  <c r="K24" i="56"/>
  <c r="K25" i="56"/>
  <c r="K26" i="56"/>
  <c r="K27" i="56"/>
  <c r="K28" i="56"/>
  <c r="K29" i="56"/>
  <c r="K30" i="56"/>
  <c r="K31" i="56"/>
  <c r="K32" i="56"/>
  <c r="K33" i="56"/>
  <c r="K34" i="56"/>
  <c r="K35" i="56"/>
  <c r="K36" i="56"/>
  <c r="K37" i="56"/>
  <c r="K38" i="56"/>
  <c r="K39" i="56"/>
  <c r="K40" i="56"/>
  <c r="K41" i="56"/>
  <c r="K42" i="56"/>
  <c r="K43" i="56"/>
  <c r="D53" i="56"/>
  <c r="D54" i="56"/>
  <c r="D55" i="56"/>
  <c r="D56" i="56"/>
  <c r="D57" i="56"/>
  <c r="D58" i="56"/>
  <c r="D59" i="56"/>
  <c r="D60" i="56"/>
  <c r="D61" i="56"/>
  <c r="D62" i="56"/>
  <c r="D63" i="56"/>
  <c r="D64" i="56"/>
  <c r="D65" i="56"/>
  <c r="D66" i="56"/>
  <c r="D67" i="56"/>
  <c r="C67" i="56" s="1"/>
  <c r="D68" i="56"/>
  <c r="C68" i="56" s="1"/>
  <c r="D69" i="56"/>
  <c r="D70" i="56"/>
  <c r="D71" i="56"/>
  <c r="D72" i="56"/>
  <c r="D73" i="56"/>
  <c r="D74" i="56"/>
  <c r="D75" i="56"/>
  <c r="C75" i="56" s="1"/>
  <c r="D76" i="56"/>
  <c r="C76" i="56" s="1"/>
  <c r="D77" i="56"/>
  <c r="D78" i="56"/>
  <c r="D79" i="56"/>
  <c r="D80" i="56"/>
  <c r="D81" i="56"/>
  <c r="D82" i="56"/>
  <c r="D83" i="56"/>
  <c r="C83" i="56" s="1"/>
  <c r="D84" i="56"/>
  <c r="C84" i="56" s="1"/>
  <c r="D85" i="56"/>
  <c r="D86" i="56"/>
  <c r="D87" i="56"/>
  <c r="D88" i="56"/>
  <c r="D90" i="56"/>
  <c r="E44" i="56"/>
  <c r="F44" i="56"/>
  <c r="G44" i="56"/>
  <c r="H44" i="56"/>
  <c r="I44" i="56"/>
  <c r="J44" i="56"/>
  <c r="L44" i="56"/>
  <c r="M44" i="56"/>
  <c r="E52" i="56"/>
  <c r="F52" i="56"/>
  <c r="G52" i="56"/>
  <c r="H52" i="56"/>
  <c r="I52" i="56"/>
  <c r="J52" i="56"/>
  <c r="L52" i="56"/>
  <c r="M52" i="56"/>
  <c r="L89" i="56"/>
  <c r="M89" i="56"/>
  <c r="E8" i="56"/>
  <c r="F8" i="56"/>
  <c r="G8" i="56"/>
  <c r="H8" i="56"/>
  <c r="I8" i="56"/>
  <c r="J8" i="56"/>
  <c r="L8" i="56"/>
  <c r="M8" i="56"/>
  <c r="C57" i="56" l="1"/>
  <c r="C72" i="56"/>
  <c r="C87" i="56"/>
  <c r="C79" i="56"/>
  <c r="C71" i="56"/>
  <c r="C86" i="56"/>
  <c r="C60" i="56"/>
  <c r="C55" i="56"/>
  <c r="C59" i="56"/>
  <c r="C63" i="56"/>
  <c r="C28" i="56"/>
  <c r="C26" i="56"/>
  <c r="C20" i="56"/>
  <c r="C10" i="56"/>
  <c r="C39" i="56"/>
  <c r="C16" i="56"/>
  <c r="C50" i="56"/>
  <c r="H91" i="56"/>
  <c r="C43" i="56"/>
  <c r="C82" i="56"/>
  <c r="C81" i="56"/>
  <c r="C65" i="56"/>
  <c r="D44" i="56"/>
  <c r="C88" i="56"/>
  <c r="C80" i="56"/>
  <c r="C64" i="56"/>
  <c r="C56" i="56"/>
  <c r="C19" i="56"/>
  <c r="C85" i="56"/>
  <c r="C77" i="56"/>
  <c r="C69" i="56"/>
  <c r="C61" i="56"/>
  <c r="C53" i="56"/>
  <c r="M91" i="56"/>
  <c r="C31" i="56"/>
  <c r="C38" i="56"/>
  <c r="F91" i="56"/>
  <c r="C47" i="56"/>
  <c r="D89" i="56"/>
  <c r="J91" i="56"/>
  <c r="C42" i="56"/>
  <c r="C34" i="56"/>
  <c r="C51" i="56"/>
  <c r="K89" i="56"/>
  <c r="I91" i="56"/>
  <c r="C15" i="56"/>
  <c r="C35" i="56"/>
  <c r="C27" i="56"/>
  <c r="C23" i="56"/>
  <c r="K44" i="56"/>
  <c r="C78" i="56"/>
  <c r="C74" i="56"/>
  <c r="C70" i="56"/>
  <c r="C66" i="56"/>
  <c r="C62" i="56"/>
  <c r="C58" i="56"/>
  <c r="C54" i="56"/>
  <c r="C30" i="56"/>
  <c r="C49" i="56"/>
  <c r="C45" i="56"/>
  <c r="C90" i="56"/>
  <c r="C32" i="56"/>
  <c r="E91" i="56"/>
  <c r="L91" i="56"/>
  <c r="C37" i="56"/>
  <c r="D8" i="56"/>
  <c r="C25" i="56"/>
  <c r="C21" i="56"/>
  <c r="C13" i="56"/>
  <c r="C48" i="56"/>
  <c r="G91" i="56"/>
  <c r="D52" i="56"/>
  <c r="C41" i="56"/>
  <c r="C36" i="56"/>
  <c r="C24" i="56"/>
  <c r="C17" i="56"/>
  <c r="C12" i="56"/>
  <c r="C46" i="56"/>
  <c r="C22" i="56"/>
  <c r="C18" i="56"/>
  <c r="C14" i="56"/>
  <c r="C9" i="56"/>
  <c r="C33" i="56"/>
  <c r="C29" i="56"/>
  <c r="K8" i="56"/>
  <c r="K91" i="56" s="1"/>
  <c r="C11" i="56"/>
  <c r="K52" i="56"/>
  <c r="C40" i="56"/>
  <c r="D91" i="56" l="1"/>
  <c r="C91" i="56" s="1"/>
  <c r="C8" i="56"/>
  <c r="C44" i="56"/>
  <c r="C52" i="56"/>
  <c r="C89" i="56" l="1"/>
  <c r="C9" i="95" l="1" a="1"/>
  <c r="C10" i="95" a="1"/>
  <c r="I10" i="95" s="1"/>
  <c r="J10" i="95" l="1"/>
  <c r="J17" i="95" s="1"/>
  <c r="F9" i="95"/>
  <c r="G9" i="95"/>
  <c r="D9" i="95"/>
  <c r="I9" i="95"/>
  <c r="I11" i="95" s="1"/>
  <c r="C9" i="95"/>
  <c r="E9" i="95"/>
  <c r="H9" i="95"/>
  <c r="J9" i="95"/>
  <c r="E10" i="95"/>
  <c r="H10" i="95"/>
  <c r="G10" i="95"/>
  <c r="D10" i="95"/>
  <c r="C10" i="95"/>
  <c r="F10" i="95"/>
  <c r="I22" i="95"/>
  <c r="I17" i="95"/>
  <c r="J22" i="95" l="1"/>
  <c r="J15" i="95"/>
  <c r="J21" i="95"/>
  <c r="H15" i="95"/>
  <c r="H21" i="95"/>
  <c r="C21" i="95"/>
  <c r="C15" i="95"/>
  <c r="I15" i="95"/>
  <c r="I21" i="95"/>
  <c r="I23" i="95" s="1"/>
  <c r="G21" i="95"/>
  <c r="G15" i="95"/>
  <c r="F15" i="95"/>
  <c r="F21" i="95"/>
  <c r="J11" i="95"/>
  <c r="E15" i="95"/>
  <c r="E21" i="95"/>
  <c r="D21" i="95"/>
  <c r="D15" i="95"/>
  <c r="F11" i="95"/>
  <c r="M11" i="95" s="1"/>
  <c r="F17" i="95"/>
  <c r="F22" i="95"/>
  <c r="G17" i="95"/>
  <c r="G22" i="95"/>
  <c r="G11" i="95"/>
  <c r="H11" i="95"/>
  <c r="H22" i="95"/>
  <c r="H17" i="95"/>
  <c r="E11" i="95"/>
  <c r="E17" i="95"/>
  <c r="E22" i="95"/>
  <c r="C17" i="95"/>
  <c r="C11" i="95"/>
  <c r="L11" i="95" s="1"/>
  <c r="C22" i="95"/>
  <c r="D17" i="95"/>
  <c r="D11" i="95"/>
  <c r="D22" i="95"/>
  <c r="J23" i="95" l="1"/>
  <c r="H23" i="95"/>
  <c r="C23" i="95"/>
  <c r="L23" i="95" s="1"/>
  <c r="G23" i="95"/>
  <c r="F23" i="95"/>
  <c r="M23" i="95" s="1"/>
  <c r="E23" i="95"/>
  <c r="D23" i="95"/>
  <c r="C14" i="81" l="1"/>
  <c r="D13" i="81" l="1"/>
  <c r="C13" i="81" l="1"/>
  <c r="D12" i="81" l="1"/>
  <c r="C12" i="81" l="1"/>
  <c r="D11" i="81" l="1"/>
  <c r="N23" i="95"/>
  <c r="N11" i="95" l="1"/>
  <c r="C11" i="81"/>
  <c r="D15" i="81" l="1"/>
  <c r="D10" i="81"/>
  <c r="D14" i="81" l="1"/>
  <c r="C10" i="8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tc={E359A151-CACA-E245-A8AA-E9ED6E39F7F9}</author>
    <author>tc={AB2007F2-A2EC-6C4D-B685-D7301BD6D181}</author>
  </authors>
  <commentList>
    <comment ref="AO205" authorId="0" shapeId="0" xr:uid="{E359A151-CACA-E245-A8AA-E9ED6E39F7F9}">
      <text>
        <t>[Threaded comment]
Your version of Excel allows you to read this threaded comment; however, any edits to it will get removed if the file is opened in a newer version of Excel. Learn more: https://go.microsoft.com/fwlink/?linkid=870924
Comment:
    Retrieved from ONS</t>
      </text>
    </comment>
    <comment ref="AT206" authorId="1" shapeId="0" xr:uid="{AB2007F2-A2EC-6C4D-B685-D7301BD6D181}">
      <text>
        <t>[Threaded comment]
Your version of Excel allows you to read this threaded comment; however, any edits to it will get removed if the file is opened in a newer version of Excel. Learn more: https://go.microsoft.com/fwlink/?linkid=870924
Comment:
    Replace by more up to date US numbers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tc={6C6359BA-02A8-1241-AFAF-6F517F2E7AB4}</author>
    <author>tc={BF77F5A8-B0D5-7647-AF9E-305C93CEE323}</author>
  </authors>
  <commentList>
    <comment ref="T8" authorId="0" shapeId="0" xr:uid="{6C6359BA-02A8-1241-AFAF-6F517F2E7AB4}">
      <text>
        <t>[Threaded comment]
Your version of Excel allows you to read this threaded comment; however, any edits to it will get removed if the file is opened in a newer version of Excel. Learn more: https://go.microsoft.com/fwlink/?linkid=870924
Comment:
    Total non-farm employment, BLS, retrieved from Fred: https://fred.stlouisfed.org/series/SMS72000000000000001#0</t>
      </text>
    </comment>
    <comment ref="U8" authorId="1" shapeId="0" xr:uid="{BF77F5A8-B0D5-7647-AF9E-305C93CEE323}">
      <text>
        <t>[Threaded comment]
Your version of Excel allows you to read this threaded comment; however, any edits to it will get removed if the file is opened in a newer version of Excel. Learn more: https://go.microsoft.com/fwlink/?linkid=870924
Comment:
    Average hourly earnings of all employees x 2080 hours/year, BLS, retrieved from Fred: https://fred.stlouisfed.org/series/SMU72000000500000003#0</t>
      </text>
    </comment>
  </commentList>
</comments>
</file>

<file path=xl/sharedStrings.xml><?xml version="1.0" encoding="utf-8"?>
<sst xmlns="http://schemas.openxmlformats.org/spreadsheetml/2006/main" count="7305" uniqueCount="1171">
  <si>
    <t>Main tables</t>
  </si>
  <si>
    <t>Table 1</t>
  </si>
  <si>
    <t>Main figures</t>
  </si>
  <si>
    <t>Figure 1A</t>
  </si>
  <si>
    <t>Profitability in Foreign vs. Local Firms in 2015</t>
  </si>
  <si>
    <t>Figure 1B</t>
  </si>
  <si>
    <t>Figure 2</t>
  </si>
  <si>
    <t>Figure 3</t>
  </si>
  <si>
    <t>Figure 4</t>
  </si>
  <si>
    <t>Appendix tables</t>
  </si>
  <si>
    <t>Appendix Table A1</t>
  </si>
  <si>
    <t>Appendix Table A2</t>
  </si>
  <si>
    <t>Appendix Table A3</t>
  </si>
  <si>
    <t>Appendix figures</t>
  </si>
  <si>
    <t>Appendix Figure A1a</t>
  </si>
  <si>
    <t>Shifted profits: bounds</t>
  </si>
  <si>
    <t>Appendix Figure A1b</t>
  </si>
  <si>
    <t>Corporate revenue loss: bounds</t>
  </si>
  <si>
    <t>Appendix Figure A2</t>
  </si>
  <si>
    <t>Selected updated tables from Tørsløv, Wier, Zucman, "Missing Profits of Nations" (Restud 2023)</t>
  </si>
  <si>
    <t>Table U1</t>
  </si>
  <si>
    <t>TWZ updated figures: Shifted profits (2022)</t>
  </si>
  <si>
    <t>Table B10</t>
  </si>
  <si>
    <t>Table B.10 (Updated to 2022): Corrections for direct investment income</t>
  </si>
  <si>
    <t>Table B11</t>
  </si>
  <si>
    <t>Table B.11 Updated to 2022: Bilateral DI income discrepancies (both investor &amp; host bilateral report exists)</t>
  </si>
  <si>
    <t>Table C1</t>
  </si>
  <si>
    <t>High-risk payments to tax havens</t>
  </si>
  <si>
    <t>Table C2</t>
  </si>
  <si>
    <t>Excessive high risk payments to tax havens</t>
  </si>
  <si>
    <t>Table C3</t>
  </si>
  <si>
    <t>Who are the ultimate owners of the FDI stocks in tax havens?</t>
  </si>
  <si>
    <t>Table C4</t>
  </si>
  <si>
    <t>Allocating the profits shifted to tax havens</t>
  </si>
  <si>
    <t>Table C4b</t>
  </si>
  <si>
    <t>Table C4c</t>
  </si>
  <si>
    <t>Profits shifted to tax havens – share of tax base</t>
  </si>
  <si>
    <t>Table C4d</t>
  </si>
  <si>
    <t>Lost tax revenue due to profit shifting</t>
  </si>
  <si>
    <t>Global profits: comparing 2015 and 2023 estimates</t>
  </si>
  <si>
    <t>Billions of current US$</t>
  </si>
  <si>
    <t>2023 - 2015 change</t>
  </si>
  <si>
    <t>Global income</t>
  </si>
  <si>
    <t>Corporate profits</t>
  </si>
  <si>
    <t>Foreign profits</t>
  </si>
  <si>
    <t>Profits shifted</t>
  </si>
  <si>
    <t>Profits shifted (% of foreign profits)</t>
  </si>
  <si>
    <t>Corporate tax revenues collected</t>
  </si>
  <si>
    <t>Tax loss</t>
  </si>
  <si>
    <t>Tax loss (% of corporate tax collected)</t>
  </si>
  <si>
    <t>2015 data</t>
  </si>
  <si>
    <t>2023 Update</t>
  </si>
  <si>
    <t>Local firms (2015)</t>
  </si>
  <si>
    <t>Foreign firms (2015)</t>
  </si>
  <si>
    <t>Average among non-havens</t>
  </si>
  <si>
    <t>Local firms (2023)</t>
  </si>
  <si>
    <t>Foreign firms (2023)</t>
  </si>
  <si>
    <t>Shifted profits</t>
  </si>
  <si>
    <t>Puerto Rico</t>
  </si>
  <si>
    <t>Ireland</t>
  </si>
  <si>
    <t>Luxembourg</t>
  </si>
  <si>
    <t>Switzerland</t>
  </si>
  <si>
    <t>Singapore</t>
  </si>
  <si>
    <t>Hong Kong</t>
  </si>
  <si>
    <t>Netherlands</t>
  </si>
  <si>
    <t>Belgium</t>
  </si>
  <si>
    <t>US</t>
  </si>
  <si>
    <t>United States</t>
  </si>
  <si>
    <t>Australia</t>
  </si>
  <si>
    <t>UK</t>
  </si>
  <si>
    <t>United Kingdom</t>
  </si>
  <si>
    <t>France</t>
  </si>
  <si>
    <t>Spain</t>
  </si>
  <si>
    <t>Japan</t>
  </si>
  <si>
    <t>Italy</t>
  </si>
  <si>
    <t>Germany</t>
  </si>
  <si>
    <t>Corporate tax revenue loss (% of collected)</t>
  </si>
  <si>
    <t>Difference (2023-2015)</t>
  </si>
  <si>
    <t>Global average '23</t>
  </si>
  <si>
    <t>Global average '15</t>
  </si>
  <si>
    <t>USA</t>
  </si>
  <si>
    <t>Mexico</t>
  </si>
  <si>
    <t>Canada</t>
  </si>
  <si>
    <t>Brazil</t>
  </si>
  <si>
    <t>India</t>
  </si>
  <si>
    <t>Turkey</t>
  </si>
  <si>
    <t>South Africa</t>
  </si>
  <si>
    <t>Russia</t>
  </si>
  <si>
    <t>China</t>
  </si>
  <si>
    <t>Korea</t>
  </si>
  <si>
    <t>Global income and global profits</t>
  </si>
  <si>
    <t>Computation of global foreign profits</t>
  </si>
  <si>
    <t>Computation of US foreign profits</t>
  </si>
  <si>
    <t>Computation of shifted profits of US multinationals</t>
  </si>
  <si>
    <t>Share of foreign profits of non-US MNEs shifted to havens</t>
  </si>
  <si>
    <t>Fraction of global foreign profits shifted to havens, and global tax loss: bounds</t>
  </si>
  <si>
    <t>Share of DI income booked in the top 6 havens</t>
  </si>
  <si>
    <t>From TWZ Replication Guide Table C6 and updates</t>
  </si>
  <si>
    <t>Accounting for havens in TWZ but not in Wright-Zucman + removing share explained by wages</t>
  </si>
  <si>
    <t>Different scenarios before 2015</t>
  </si>
  <si>
    <t>Global pre-tax profits</t>
  </si>
  <si>
    <t>Corporate share of global income</t>
  </si>
  <si>
    <t>Global corporate tax payments</t>
  </si>
  <si>
    <t>Global net-of-tax profits</t>
  </si>
  <si>
    <t>Global shifted profits</t>
  </si>
  <si>
    <t>Global foreign net-of-tax profits</t>
  </si>
  <si>
    <t>Global corporate income tax rate (our series)</t>
  </si>
  <si>
    <t>Global corporate income tax rate BFJZ</t>
  </si>
  <si>
    <t>Global foreign pre-tax profits</t>
  </si>
  <si>
    <t>Global taxes on foreign profits</t>
  </si>
  <si>
    <t>Foreign share of global pre-tax corporate profits</t>
  </si>
  <si>
    <t>Foreign share of global net-of-tax corporate profits</t>
  </si>
  <si>
    <t>ETR of US MOFA</t>
  </si>
  <si>
    <t>ETR of US MOFA, adjusted for capital gains</t>
  </si>
  <si>
    <t>ETR of US MOFA, adjusted for capital gains and  Puerto Rico</t>
  </si>
  <si>
    <t>Assumed ETR on non-US MNE's foreign profits</t>
  </si>
  <si>
    <t>Implied ETR on global foreign profits</t>
  </si>
  <si>
    <t>US foreign pre-tax profits</t>
  </si>
  <si>
    <t>Excluding Puerto Rico</t>
  </si>
  <si>
    <t>US DI equity income (without CCAdj)</t>
  </si>
  <si>
    <t>Memo: current-cost adjustment</t>
  </si>
  <si>
    <t>Global DI (after tax) equity income, excluding NL, HK, SG, Lux</t>
  </si>
  <si>
    <t>Share US in global pre-tax foreign profits</t>
  </si>
  <si>
    <t>Share US in global foreign net-of-tax profits</t>
  </si>
  <si>
    <t>Share of US foreign profits shifted to havens</t>
  </si>
  <si>
    <t>Share of profits in havens not shifted</t>
  </si>
  <si>
    <t>Share of foreign profits in havens, corrected to match TWZ list of havens</t>
  </si>
  <si>
    <t>Fraction of haven profits/wage which is above-normal</t>
  </si>
  <si>
    <t>Profits/wage ratio in havens</t>
  </si>
  <si>
    <t>Corrected for Puerto Rico</t>
  </si>
  <si>
    <t>Profit/wage in Non-havens, non-oil</t>
  </si>
  <si>
    <t>Dollar amount of profits shifted by US MNEs</t>
  </si>
  <si>
    <t>Share of non-US foreign profits shifted to havens (main)</t>
  </si>
  <si>
    <t>Upper bound</t>
  </si>
  <si>
    <t>Lower bound</t>
  </si>
  <si>
    <t>High end</t>
  </si>
  <si>
    <t>Low end</t>
  </si>
  <si>
    <t>Dollar amount of profits shifted by non-US MNEs (main)</t>
  </si>
  <si>
    <t>Share of global foreign profits shifted to havens (main)</t>
  </si>
  <si>
    <t>Tax loss (% of corp. tax revenue)</t>
  </si>
  <si>
    <t>Global tax loss ($B), Stata output</t>
  </si>
  <si>
    <t>Residual in reg</t>
  </si>
  <si>
    <t>USDIA income without CCAdj</t>
  </si>
  <si>
    <t>In top 6 havens</t>
  </si>
  <si>
    <t>Share top 6 havens</t>
  </si>
  <si>
    <t>Predict share of foreign profits booked byUS MNEs in havens</t>
  </si>
  <si>
    <t>2015 and before: TWZ table C6 col. 1. After: computed as global GDP minus 16% of depreciation</t>
  </si>
  <si>
    <t>See formula. Includes Puerto Rico</t>
  </si>
  <si>
    <t>2015: -Tørsløv et al. (Restud 2023, Table 1), updated.  1975-2014: foreign pre-tax profits of US multinationals + foreign pre-tax profits of non-US multinationals (estimating by grossing up their DI equity income by an assumed ETR, average of the ETR of US multinationals on their foreign profits and of the global average corporate ETR)</t>
  </si>
  <si>
    <t>This is foreign income taxes paid divided by profit-type return, for majority-owned affiliates of US multinatationals. Taken from Wright-Zucman Table A1 col. 11</t>
  </si>
  <si>
    <t>Add positive realized capital gains (which are not in profit-type return) at denominator (since taxes are typically paid on those)</t>
  </si>
  <si>
    <t xml:space="preserve">Add PR profits. Negligible taxes paid in PR according to CBCR data, assume 0. </t>
  </si>
  <si>
    <t>average of the ETR of US multinationals on their foreign profits and of the global average corporate ETR</t>
  </si>
  <si>
    <t>DI based (not MOFA): Computed as DI equity income / (1 - ETR) + current cost adjustment</t>
  </si>
  <si>
    <t>DI equity income / (1 - ETR) + current cost adjustment [ = GJZ2022, data, col. AI.]</t>
  </si>
  <si>
    <t>ITA Table 4.2 line 12 minus 16 since 1982, Wright-Zucman Table A1 col. 1 before  [NB: Wright-Zucman Table A1 col. 1 is less up to date than ITA Table 4.2]</t>
  </si>
  <si>
    <t>ITA Table 4.2 line 16</t>
  </si>
  <si>
    <t>Increased haven share to reflect havens not included in Wright-Zucman list of havens but included in TWZ, the most important ones being: Cyprus, Hong Kong, Macao, Mauritius, Malta, Jersey, Guernsey, Isle of Man. Correction factor of 1.1 is computed in 2020 CBCR as ratio of TWZ havens' revenue by Wright-Zucman's havens' revenue. Assume constant correction over time, and assume same profit/wage ratio in these missing havens as in the Wright-Zucman havens.</t>
  </si>
  <si>
    <t>Wright-Zucman</t>
  </si>
  <si>
    <t>Wage bill in PR is negligible according to CBCR: assume 0</t>
  </si>
  <si>
    <t>Wright-Zucman. Excluding oil sector to make havens more comparable to non-havens. Makes no difference in recent years, but increases fraction shifted to havens in 1970s / early 1980s</t>
  </si>
  <si>
    <t>Assumes share of foreign profits of non-US MNEs shifted to havens follows share of foreign profits of US MNEs shifted to havens pre-2015</t>
  </si>
  <si>
    <t>Assumes  share of foreign profits of non-US MNEs shifted to havens is equal to global 2015 share of foreign profits shifted (36%) back to 1975</t>
  </si>
  <si>
    <t>Assumes no shifting by non-US multinationals before 2015</t>
  </si>
  <si>
    <t>Assumes  share of foreign profits of non-US MNEs shifted to havens is equal to US share before 2015</t>
  </si>
  <si>
    <t>Assumes  share of foreign profits of non-US MNEs shifted to havens is equal to half US share before 2015</t>
  </si>
  <si>
    <t>Notes: TWZ in 2015 divided global tax loss by non-haven global corp tax revenue (vs. Global corp tax revenue here) hence the slightly lower percentage here for 2015</t>
  </si>
  <si>
    <t>Equity + net intereest. Wright Zucman until 2018, straight from BEA data downloaded Sept 2023 after</t>
  </si>
  <si>
    <t>In red: from Stata outputs (from part1-profit-shifting-year and part2-reallocating-profits-year)</t>
  </si>
  <si>
    <t>82-2015</t>
  </si>
  <si>
    <r>
      <t xml:space="preserve">Change post BEPS </t>
    </r>
    <r>
      <rPr>
        <sz val="20"/>
        <color theme="1"/>
        <rFont val="Garamond"/>
        <family val="1"/>
      </rPr>
      <t>(pp per year)</t>
    </r>
  </si>
  <si>
    <r>
      <t xml:space="preserve">Change post TCJA </t>
    </r>
    <r>
      <rPr>
        <sz val="20"/>
        <color theme="1"/>
        <rFont val="Garamond"/>
        <family val="1"/>
      </rPr>
      <t>(pp per year)</t>
    </r>
  </si>
  <si>
    <r>
      <t>Increase 1982-2015</t>
    </r>
    <r>
      <rPr>
        <sz val="20"/>
        <color theme="1"/>
        <rFont val="Garamond"/>
        <family val="1"/>
      </rPr>
      <t xml:space="preserve">    (pp per year)</t>
    </r>
  </si>
  <si>
    <t>Depreciation</t>
  </si>
  <si>
    <t>Profit share of income</t>
  </si>
  <si>
    <t>Multinational profits share</t>
  </si>
  <si>
    <t>All multinationals</t>
  </si>
  <si>
    <t>Profits shifted to tax havens</t>
  </si>
  <si>
    <t xml:space="preserve">     as a % of foreign profits</t>
  </si>
  <si>
    <t>US multinationals</t>
  </si>
  <si>
    <t xml:space="preserve">     as a % of foreign profits of all multinationals</t>
  </si>
  <si>
    <t xml:space="preserve">     as a % of profits shifted by all multinationals</t>
  </si>
  <si>
    <t xml:space="preserve">     as a % of foreign profits of US multinationals</t>
  </si>
  <si>
    <t>Non-US multinationals</t>
  </si>
  <si>
    <t xml:space="preserve">     as a % of foreign profits of non-US multinationals</t>
  </si>
  <si>
    <t>Shifted profits (billions of current US$)</t>
  </si>
  <si>
    <t>OECD countries</t>
  </si>
  <si>
    <t>Austria</t>
  </si>
  <si>
    <t>Chile</t>
  </si>
  <si>
    <t>Czech Rep.</t>
  </si>
  <si>
    <t>Denmark</t>
  </si>
  <si>
    <t>Estonia, Rep. of</t>
  </si>
  <si>
    <t>Finland</t>
  </si>
  <si>
    <t>Greece</t>
  </si>
  <si>
    <t>Hungary</t>
  </si>
  <si>
    <t>Iceland</t>
  </si>
  <si>
    <t>Israel</t>
  </si>
  <si>
    <t>Korea, Rep. of</t>
  </si>
  <si>
    <t>Latvia</t>
  </si>
  <si>
    <t>New Zealand</t>
  </si>
  <si>
    <t>Norway</t>
  </si>
  <si>
    <t>Poland, Rep. of</t>
  </si>
  <si>
    <t>Portugal</t>
  </si>
  <si>
    <t>Slovak Rep.</t>
  </si>
  <si>
    <t>Slovenia, Rep. of</t>
  </si>
  <si>
    <t>Sweden</t>
  </si>
  <si>
    <t>Türkiye, Rep. of</t>
  </si>
  <si>
    <t>Non-OECD countries</t>
  </si>
  <si>
    <t>China, P.R.: Mainland</t>
  </si>
  <si>
    <t>Colombia</t>
  </si>
  <si>
    <t>Costa Rica</t>
  </si>
  <si>
    <t>Russian Federation</t>
  </si>
  <si>
    <t>Argentina</t>
  </si>
  <si>
    <t>Egypt</t>
  </si>
  <si>
    <t>Malaysia</t>
  </si>
  <si>
    <t>Nigeria</t>
  </si>
  <si>
    <t>Thailand</t>
  </si>
  <si>
    <t>Uruguay</t>
  </si>
  <si>
    <t>Non-haven total</t>
  </si>
  <si>
    <t>Rest of the world</t>
  </si>
  <si>
    <t>Tax havens</t>
  </si>
  <si>
    <t>Netherlands, The</t>
  </si>
  <si>
    <t>Malta</t>
  </si>
  <si>
    <t>Caribbean</t>
  </si>
  <si>
    <t>Bermuda</t>
  </si>
  <si>
    <t>Other</t>
  </si>
  <si>
    <t>Check</t>
  </si>
  <si>
    <t>Corporate tax revenue loss (% of corporate tax revenue collected)</t>
  </si>
  <si>
    <t>Source</t>
  </si>
  <si>
    <t>&gt;&gt;&gt; fix to move to pre-tax basis</t>
  </si>
  <si>
    <t>Table F3: Multinational profits as share of global profits (decennial averages)</t>
  </si>
  <si>
    <t>Pre-tax</t>
  </si>
  <si>
    <t>Post-tax</t>
  </si>
  <si>
    <t>Global pretax corp profits in national income</t>
  </si>
  <si>
    <t>US Corp profits in national income</t>
  </si>
  <si>
    <t>1930-39</t>
  </si>
  <si>
    <t>1940-49</t>
  </si>
  <si>
    <t>1950-59</t>
  </si>
  <si>
    <t>1960-69</t>
  </si>
  <si>
    <t>1970-79</t>
  </si>
  <si>
    <t>1980-89</t>
  </si>
  <si>
    <t>1990-99</t>
  </si>
  <si>
    <t>2000-09</t>
  </si>
  <si>
    <t>2010-19</t>
  </si>
  <si>
    <t>2020-22</t>
  </si>
  <si>
    <t>Balance of Payments Standard Presentation by Indicator: Current Account, Primary Income, Investment Income, Direct Investment, Income on Equity and Investment Fund Shares, Credit, US Dollars</t>
  </si>
  <si>
    <t>Millions of U.S. Dollars</t>
  </si>
  <si>
    <t>Click here for country specific metadata</t>
  </si>
  <si>
    <t>1975</t>
  </si>
  <si>
    <t>1976</t>
  </si>
  <si>
    <t>1977</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</si>
  <si>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</si>
  <si>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</si>
  <si>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</si>
  <si>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</si>
  <si>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</si>
  <si>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</si>
  <si>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</si>
  <si>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</si>
  <si>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</si>
  <si>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</si>
  <si>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</si>
  <si>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</si>
  <si>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</si>
  <si>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</si>
  <si>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</si>
  <si>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</si>
  <si>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</si>
  <si>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</si>
  <si>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</si>
  <si>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</si>
  <si>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</si>
  <si>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</si>
  <si>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</si>
  <si>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</si>
  <si>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</si>
  <si>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</si>
  <si>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</si>
  <si>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</si>
  <si>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</si>
  <si>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</si>
  <si>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</si>
  <si>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</si>
  <si>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</si>
  <si>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</si>
  <si>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</si>
  <si>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2013</t>
  </si>
  <si>
    <t>2014</t>
  </si>
  <si>
    <t>2015</t>
  </si>
  <si>
    <t>2016</t>
  </si>
  <si>
    <t>2017</t>
  </si>
  <si>
    <t>2018</t>
  </si>
  <si>
    <t>2019</t>
  </si>
  <si>
    <t>2020</t>
  </si>
  <si>
    <t>2021</t>
  </si>
  <si>
    <t>2022</t>
  </si>
  <si>
    <t>Afghanistan, Islamic Rep. of</t>
  </si>
  <si>
    <t>...</t>
  </si>
  <si>
    <t>Albania</t>
  </si>
  <si>
    <t>Algeria</t>
  </si>
  <si>
    <t>Andorra, Principality of</t>
  </si>
  <si>
    <t>Angola</t>
  </si>
  <si>
    <t>Anguilla</t>
  </si>
  <si>
    <t>Antigua and Barbuda</t>
  </si>
  <si>
    <t>Armenia, Rep. of</t>
  </si>
  <si>
    <t>Aruba, Kingdom of the Netherlands</t>
  </si>
  <si>
    <t>Azerbaijan, Rep. of</t>
  </si>
  <si>
    <t>Bahamas, The</t>
  </si>
  <si>
    <t>Bahrain, Kingdom of</t>
  </si>
  <si>
    <t>Bangladesh</t>
  </si>
  <si>
    <t>Barbados</t>
  </si>
  <si>
    <t>Belarus, Rep. of</t>
  </si>
  <si>
    <t>Belgium-Luxembourg</t>
  </si>
  <si>
    <t>Belize</t>
  </si>
  <si>
    <t>Benin</t>
  </si>
  <si>
    <t>Bhutan</t>
  </si>
  <si>
    <t>Bolivia</t>
  </si>
  <si>
    <t>Bosnia and Herzegovina</t>
  </si>
  <si>
    <t>Botswana</t>
  </si>
  <si>
    <t>Brunei Darussalam</t>
  </si>
  <si>
    <t>Bulgaria</t>
  </si>
  <si>
    <t>Burkina Faso</t>
  </si>
  <si>
    <t>Burundi</t>
  </si>
  <si>
    <t>Cabo Verde</t>
  </si>
  <si>
    <t>Cambodia</t>
  </si>
  <si>
    <t>Cameroon</t>
  </si>
  <si>
    <t>Cayman Islands</t>
  </si>
  <si>
    <t>Central African Rep.</t>
  </si>
  <si>
    <t>Chad</t>
  </si>
  <si>
    <t>China, P.R.: Hong Kong</t>
  </si>
  <si>
    <t>China, P.R.: Macao</t>
  </si>
  <si>
    <t>Comoros, Union of the</t>
  </si>
  <si>
    <t>Congo, Dem. Rep. of the</t>
  </si>
  <si>
    <t>Congo, Rep. of</t>
  </si>
  <si>
    <t>Côte d'Ivoire</t>
  </si>
  <si>
    <t>Croatia, Rep. of</t>
  </si>
  <si>
    <t>Curaçao and Sint Maarten</t>
  </si>
  <si>
    <t>Curaçao, Kingdom of the Netherlands</t>
  </si>
  <si>
    <t>Cyprus</t>
  </si>
  <si>
    <t>Czechoslovakia</t>
  </si>
  <si>
    <t>Djibouti</t>
  </si>
  <si>
    <t>Dominica</t>
  </si>
  <si>
    <t>Dominican Rep.</t>
  </si>
  <si>
    <t>Eastern Caribbean Currency Union</t>
  </si>
  <si>
    <t>Ecuador</t>
  </si>
  <si>
    <t>Egypt, Arab Rep. of</t>
  </si>
  <si>
    <t>El Salvador</t>
  </si>
  <si>
    <t>Equatorial Guinea, Rep. of</t>
  </si>
  <si>
    <t>Eritrea, The State of</t>
  </si>
  <si>
    <t>Eswatini, Kingdom of</t>
  </si>
  <si>
    <t>Ethiopia, The Federal Dem. Rep. of</t>
  </si>
  <si>
    <t>Euro Area</t>
  </si>
  <si>
    <t>Faroe Islands</t>
  </si>
  <si>
    <t>Fiji, Rep. of</t>
  </si>
  <si>
    <t>French Polynesia</t>
  </si>
  <si>
    <t>Gabon</t>
  </si>
  <si>
    <t>Gambia, The</t>
  </si>
  <si>
    <t>Georgia</t>
  </si>
  <si>
    <t>Ghana</t>
  </si>
  <si>
    <t>Grenada</t>
  </si>
  <si>
    <t>Guatemala</t>
  </si>
  <si>
    <t>Guinea</t>
  </si>
  <si>
    <t>Guinea-Bissau</t>
  </si>
  <si>
    <t>Guyana</t>
  </si>
  <si>
    <t>Haiti</t>
  </si>
  <si>
    <t>Honduras</t>
  </si>
  <si>
    <t>Indonesia</t>
  </si>
  <si>
    <t>Iran, Islamic Rep. of</t>
  </si>
  <si>
    <t>Iraq</t>
  </si>
  <si>
    <t>Jamaica</t>
  </si>
  <si>
    <t>Jordan</t>
  </si>
  <si>
    <t>Kazakhstan, Rep. of</t>
  </si>
  <si>
    <t>Kenya</t>
  </si>
  <si>
    <t>Kiribati</t>
  </si>
  <si>
    <t>Kosovo, Rep. of</t>
  </si>
  <si>
    <t>Kuwait</t>
  </si>
  <si>
    <t>Kyrgyz Rep.</t>
  </si>
  <si>
    <t>Lao People's Dem. Rep.</t>
  </si>
  <si>
    <t>Lebanon</t>
  </si>
  <si>
    <t>Lesotho, Kingdom of</t>
  </si>
  <si>
    <t>Liberia</t>
  </si>
  <si>
    <t>Libya</t>
  </si>
  <si>
    <t>Lithuania</t>
  </si>
  <si>
    <t>Madagascar, Rep. of</t>
  </si>
  <si>
    <t>Malawi</t>
  </si>
  <si>
    <t>Maldives</t>
  </si>
  <si>
    <t>Mali</t>
  </si>
  <si>
    <t>Marshall Islands, Rep. of the</t>
  </si>
  <si>
    <t>Mauritania, Islamic Rep. of</t>
  </si>
  <si>
    <t>Mauritius</t>
  </si>
  <si>
    <t>Micronesia, Federated States of</t>
  </si>
  <si>
    <t>Moldova, Rep. of</t>
  </si>
  <si>
    <t>Mongolia</t>
  </si>
  <si>
    <t>Montenegro</t>
  </si>
  <si>
    <t>Montserrat</t>
  </si>
  <si>
    <t>Morocco</t>
  </si>
  <si>
    <t>Mozambique, Rep. of</t>
  </si>
  <si>
    <t>Myanmar</t>
  </si>
  <si>
    <t>Namibia</t>
  </si>
  <si>
    <t>Nauru, Rep. of</t>
  </si>
  <si>
    <t>Nepal</t>
  </si>
  <si>
    <t>Netherlands Antilles</t>
  </si>
  <si>
    <t>New Caledonia</t>
  </si>
  <si>
    <t>Nicaragua</t>
  </si>
  <si>
    <t>Niger</t>
  </si>
  <si>
    <t>North Macedonia, Republic of</t>
  </si>
  <si>
    <t>Oman</t>
  </si>
  <si>
    <t>Pakistan</t>
  </si>
  <si>
    <t>Palau, Rep. of</t>
  </si>
  <si>
    <t>Panama</t>
  </si>
  <si>
    <t>Papua New Guinea</t>
  </si>
  <si>
    <t>Paraguay</t>
  </si>
  <si>
    <t>Peru</t>
  </si>
  <si>
    <t>Philippines</t>
  </si>
  <si>
    <t>Qatar</t>
  </si>
  <si>
    <t>Romania</t>
  </si>
  <si>
    <t>Rwanda</t>
  </si>
  <si>
    <t>Samoa</t>
  </si>
  <si>
    <t>San Marino, Rep. of</t>
  </si>
  <si>
    <t>São Tomé and Príncipe, Dem. Rep. of</t>
  </si>
  <si>
    <t>Saudi Arabia</t>
  </si>
  <si>
    <t>Senegal</t>
  </si>
  <si>
    <t>Serbia, Rep. of</t>
  </si>
  <si>
    <t>Seychelles</t>
  </si>
  <si>
    <t>Sierra Leone</t>
  </si>
  <si>
    <t>Sint Maarten, Kingdom of the Netherlands</t>
  </si>
  <si>
    <t>Solomon Islands</t>
  </si>
  <si>
    <t>Somalia</t>
  </si>
  <si>
    <t>South Sudan, Rep. of</t>
  </si>
  <si>
    <t>Sri Lanka</t>
  </si>
  <si>
    <t>St. Kitts and Nevis</t>
  </si>
  <si>
    <t>St. Lucia</t>
  </si>
  <si>
    <t>St. Vincent and the Grenadines</t>
  </si>
  <si>
    <t>Sudan</t>
  </si>
  <si>
    <t>Suriname</t>
  </si>
  <si>
    <t>Syrian Arab Rep.</t>
  </si>
  <si>
    <t>Taiwan Province of China</t>
  </si>
  <si>
    <t>Tajikistan, Rep. of</t>
  </si>
  <si>
    <t>Tanzania, United Rep. of</t>
  </si>
  <si>
    <t>Timor-Leste, Dem. Rep. of</t>
  </si>
  <si>
    <t>Togo</t>
  </si>
  <si>
    <t>Tonga</t>
  </si>
  <si>
    <t>Trinidad and Tobago</t>
  </si>
  <si>
    <t>Tunisia</t>
  </si>
  <si>
    <t>Turkmenistan</t>
  </si>
  <si>
    <t>Turks and Caicos Islands</t>
  </si>
  <si>
    <t>Tuvalu</t>
  </si>
  <si>
    <t>Uganda</t>
  </si>
  <si>
    <t>Ukraine</t>
  </si>
  <si>
    <t>Uzbekistan, Rep. of</t>
  </si>
  <si>
    <t>Vanuatu</t>
  </si>
  <si>
    <t>Venezuela, Rep. Bolivariana de</t>
  </si>
  <si>
    <t>Vietnam</t>
  </si>
  <si>
    <t>West Bank and Gaza</t>
  </si>
  <si>
    <t>Yemen Arab Rep.</t>
  </si>
  <si>
    <t>Yemen, People's Dem. Rep. of</t>
  </si>
  <si>
    <t>Yemen, Rep. of</t>
  </si>
  <si>
    <t>Yugoslavia</t>
  </si>
  <si>
    <t>Zambia</t>
  </si>
  <si>
    <t>Zimbabwe</t>
  </si>
  <si>
    <t>This data report uses the BOP Standard Presentation format as defined in the 6th Edition of the Balance of Payments Manual (BPM6).</t>
  </si>
  <si>
    <t>(-) Indicates that a figure is zero</t>
  </si>
  <si>
    <t>(...) Indicates a lack of statistical data that can be reported or calculated from underlying observations</t>
  </si>
  <si>
    <t>(K) indicates the splice point between official BPM6-basis estimates and IMF converted BPM5-basis estimates</t>
  </si>
  <si>
    <t>Data extracted from IMF Data Warehouse 7/9/2023 5:57:37 PM</t>
  </si>
  <si>
    <t>World (excl. SG)</t>
  </si>
  <si>
    <t>Main offshore holding centers (HK, NL, Lux)</t>
  </si>
  <si>
    <t>Share HK, NL, Lux)</t>
  </si>
  <si>
    <t>Excluding HK, NL, Lux</t>
  </si>
  <si>
    <t>Share US in global excl. HK, NL, Lux</t>
  </si>
  <si>
    <t>Share UK in global excl. HK, NL, Lux</t>
  </si>
  <si>
    <t>Share JP in global excl. HK, NL, Lux</t>
  </si>
  <si>
    <t>Profits of U.S. multinationals abroad: country breakdown (Wright-Zucman T.A3c, updated in August 2024)</t>
  </si>
  <si>
    <t>[1]</t>
  </si>
  <si>
    <t>[2]</t>
  </si>
  <si>
    <t>[3]</t>
  </si>
  <si>
    <t>[4]</t>
  </si>
  <si>
    <t>[5]</t>
  </si>
  <si>
    <t>[6]</t>
  </si>
  <si>
    <t>[7]</t>
  </si>
  <si>
    <t>[8]</t>
  </si>
  <si>
    <t>[9]</t>
  </si>
  <si>
    <t>[10]</t>
  </si>
  <si>
    <t>[11]</t>
  </si>
  <si>
    <t>[12]</t>
  </si>
  <si>
    <t>[13]</t>
  </si>
  <si>
    <t>[14]</t>
  </si>
  <si>
    <t>[15]</t>
  </si>
  <si>
    <t>Including Puerto Rico</t>
  </si>
  <si>
    <t>Memo: MOFA foreign pre-tax profits, excl. Puerto Rico ($bn)</t>
  </si>
  <si>
    <t>Memo: Puerto Rico profits ($bn)</t>
  </si>
  <si>
    <t>Supplementary Puerto Rico data from CBCR</t>
  </si>
  <si>
    <t>% of foreign pre-tax profits</t>
  </si>
  <si>
    <t>All corporations</t>
  </si>
  <si>
    <t>Affiliates of US multinationals</t>
  </si>
  <si>
    <t>Total havens (excl. Puerto Rico)</t>
  </si>
  <si>
    <t>Netherlands + Luxembourg</t>
  </si>
  <si>
    <t>Bermuda and Carribbean havens</t>
  </si>
  <si>
    <t>Total havens (incl. Puerto Rico)</t>
  </si>
  <si>
    <t>Employee compensation ($bn)</t>
  </si>
  <si>
    <t>Number of employees (thousands)</t>
  </si>
  <si>
    <t>Average wage ($)</t>
  </si>
  <si>
    <t>Number of employeess</t>
  </si>
  <si>
    <t>Profit / compensation ratio</t>
  </si>
  <si>
    <t>Cash tax paid  ($bn)</t>
  </si>
  <si>
    <t>Effective tax rate</t>
  </si>
  <si>
    <r>
      <rPr>
        <u/>
        <sz val="12"/>
        <color theme="1"/>
        <rFont val="Arial"/>
        <family val="2"/>
      </rPr>
      <t>Notes</t>
    </r>
    <r>
      <rPr>
        <sz val="12"/>
        <color theme="1"/>
        <rFont val="Arial"/>
        <family val="2"/>
      </rPr>
      <t>: Tax havens include Bermuda, Bermuda and Caribbean tax havens, Ireland, Luxembourg, Netherlands, Singapore, and Switzerland. All sectors are included.</t>
    </r>
  </si>
  <si>
    <t xml:space="preserve">Profit measure is profit-type return in the BEA survey since 1994; and net income plus foreign income taxes paid minus income from equity investment minus capital gains before. </t>
  </si>
  <si>
    <t xml:space="preserve">Puerto Rico profits are from SOI tabulations of form 8975 (CBCR) in 2016–2020; before that they are taken from Saez-Zucman 2019. </t>
  </si>
  <si>
    <t>Table 1A. Country-by-Country Report (Form 8975): Tax Jurisdiction Information (Schedule A: Part I) by Major Geographic Region and Selected Tax Jurisdiction, Tax Year 2020[1]</t>
  </si>
  <si>
    <t>[All figures are estimates based on a sample--money amounts are in thousands of dollars]</t>
  </si>
  <si>
    <t>Geographic region and selected tax jurisdiction</t>
  </si>
  <si>
    <t>Number of reporting multinational enterprise groups [2]</t>
  </si>
  <si>
    <t>Revenues</t>
  </si>
  <si>
    <t>Profit (loss) before income tax</t>
  </si>
  <si>
    <t>Income tax paid (on cash basis)</t>
  </si>
  <si>
    <t>Income tax accrued - current year</t>
  </si>
  <si>
    <t>Stated capital</t>
  </si>
  <si>
    <t>Accumulated earnings</t>
  </si>
  <si>
    <t>Number of employees</t>
  </si>
  <si>
    <t>Tangible assets other than cash and cash equivalents</t>
  </si>
  <si>
    <t>Unrelated party</t>
  </si>
  <si>
    <t>Related party</t>
  </si>
  <si>
    <t>Total</t>
  </si>
  <si>
    <t>(1)</t>
  </si>
  <si>
    <t>(2)</t>
  </si>
  <si>
    <t>(3)</t>
  </si>
  <si>
    <t>(4)</t>
  </si>
  <si>
    <t>(5)</t>
  </si>
  <si>
    <t>(6)</t>
  </si>
  <si>
    <t>(7)</t>
  </si>
  <si>
    <t>(8)</t>
  </si>
  <si>
    <t>(9)</t>
  </si>
  <si>
    <t>(10)</t>
  </si>
  <si>
    <t>(11)</t>
  </si>
  <si>
    <r>
      <t>All jurisdictions</t>
    </r>
    <r>
      <rPr>
        <b/>
        <vertAlign val="superscript"/>
        <sz val="8"/>
        <rFont val="Arial"/>
        <family val="2"/>
      </rPr>
      <t/>
    </r>
  </si>
  <si>
    <t>Stateless entities and other countries</t>
  </si>
  <si>
    <t>Africa, total</t>
  </si>
  <si>
    <t>Cote d’Ivoire (Ivory Coast)</t>
  </si>
  <si>
    <t>Ethiopia</t>
  </si>
  <si>
    <t>Mozambique</t>
  </si>
  <si>
    <t>Swaziland</t>
  </si>
  <si>
    <t>Tanzania</t>
  </si>
  <si>
    <t>Africa, other countries</t>
  </si>
  <si>
    <t>Americas, total</t>
  </si>
  <si>
    <t>Aruba</t>
  </si>
  <si>
    <t>Bahamas</t>
  </si>
  <si>
    <t>British Virgin Islands</t>
  </si>
  <si>
    <t>Curacao</t>
  </si>
  <si>
    <t>Dominican Republic</t>
  </si>
  <si>
    <t>St. Lucia Island</t>
  </si>
  <si>
    <t>Venezuela</t>
  </si>
  <si>
    <t>Virgin Islands</t>
  </si>
  <si>
    <t>Americas, other countries</t>
  </si>
  <si>
    <t>Asia &amp; Oceania, total</t>
  </si>
  <si>
    <t>Armenia</t>
  </si>
  <si>
    <t>Azerbaijan</t>
  </si>
  <si>
    <t>Bahrain</t>
  </si>
  <si>
    <t>Brunei</t>
  </si>
  <si>
    <t>Burma</t>
  </si>
  <si>
    <t>Fiji</t>
  </si>
  <si>
    <t>Guam</t>
  </si>
  <si>
    <t>Kazakhstan</t>
  </si>
  <si>
    <t>Korea, Republic of (South)</t>
  </si>
  <si>
    <t>Macau</t>
  </si>
  <si>
    <t>Taiwan</t>
  </si>
  <si>
    <t>United Arab Emirates</t>
  </si>
  <si>
    <t>Asia &amp; Oceania, other countries</t>
  </si>
  <si>
    <t>Europe, total</t>
  </si>
  <si>
    <t>Belarus</t>
  </si>
  <si>
    <t>Bosnia</t>
  </si>
  <si>
    <t>Croatia</t>
  </si>
  <si>
    <t>Czech Republic</t>
  </si>
  <si>
    <t>Estonia</t>
  </si>
  <si>
    <t>Gibraltar</t>
  </si>
  <si>
    <t>Guernsey</t>
  </si>
  <si>
    <t>Isle of Man</t>
  </si>
  <si>
    <t>Jersey</t>
  </si>
  <si>
    <t>Macedonia</t>
  </si>
  <si>
    <t>Monaco</t>
  </si>
  <si>
    <t>Poland</t>
  </si>
  <si>
    <t>Serbia</t>
  </si>
  <si>
    <t>Slovakia</t>
  </si>
  <si>
    <t>Slovenia</t>
  </si>
  <si>
    <t>United Kingdom (England, Northern Ireland, Scotland, and Wales)</t>
  </si>
  <si>
    <t>Europe, other countries</t>
  </si>
  <si>
    <t>Foreign controlled domestic corporations (not included above)</t>
  </si>
  <si>
    <t>* Data should be used with caution because of the small number of forms on which they are based.</t>
  </si>
  <si>
    <t>[1] Form(s) 8975 were required to be filed by certain U.S. persons that were ultimate parent entities of U.S. multinational enterprise groups with annual revenue of $850,000,000 or more.  The data in this table includes only Forms 8975 filed by U.S. corporations and partnerships; it excludes Forms 8975 filed by other entity types.  Additionally, this table is based on data from only one Form 8975 filed per parent entity; some parent entities may have filed more than one Form 8975.</t>
  </si>
  <si>
    <t>[2] Tax jurisdiction detail exceeds total because some multinational enterprise groups filed information for more than one tax jurisdiction.</t>
  </si>
  <si>
    <t>NOTE: Detail may not add to totals because of rounding.</t>
  </si>
  <si>
    <t>SOURCE: IRS, Statistics of Income Division, Country-by-Country Reports Study, April 2023.</t>
  </si>
  <si>
    <t>ETR cash</t>
  </si>
  <si>
    <t>ETR current</t>
  </si>
  <si>
    <t>Share foreign profits</t>
  </si>
  <si>
    <t>Havens in Wright-Zucman (= identified in BEA survey tabulations)</t>
  </si>
  <si>
    <t>Other TWZ havens (except Belgium)</t>
  </si>
  <si>
    <t>Total foreign (excl. Stateless)</t>
  </si>
  <si>
    <t>Total havens TWZ</t>
  </si>
  <si>
    <t>Total non-havens</t>
  </si>
  <si>
    <t>Computation of shifted profits 2022 (USD Billion)</t>
  </si>
  <si>
    <t>Country Name</t>
  </si>
  <si>
    <t>Isocode</t>
  </si>
  <si>
    <t>Country group</t>
  </si>
  <si>
    <t>Tax haven dummy</t>
  </si>
  <si>
    <t>Gross domestic product</t>
  </si>
  <si>
    <t>Total corporate wage</t>
  </si>
  <si>
    <t>Corporate wage domestic sector</t>
  </si>
  <si>
    <t>Corporate wage foreign sector</t>
  </si>
  <si>
    <t>Total corporate profits (pre-tax)</t>
  </si>
  <si>
    <t>Total corporate profits (OECD 14a)</t>
  </si>
  <si>
    <t>Correcting profits (offshore mutual funds)</t>
  </si>
  <si>
    <t>Corporate tax revenue</t>
  </si>
  <si>
    <t>Corporate effective tax rate</t>
  </si>
  <si>
    <t>Local corporate profits (pre-tax)</t>
  </si>
  <si>
    <t>Foreign corporate profits (pre-tax)</t>
  </si>
  <si>
    <t>FDI equity income of operating units</t>
  </si>
  <si>
    <t>Profits of special purpose entities</t>
  </si>
  <si>
    <t>Unrecorded profits imputed from FDI discrepancies (table B10)</t>
  </si>
  <si>
    <t>Corporate tax paid on foreign profits</t>
  </si>
  <si>
    <t>Profits of offshore mutual funds</t>
  </si>
  <si>
    <t>Profit-to-wage ratio (all sectors)</t>
  </si>
  <si>
    <t>Profit-to-wage ratio (local sector)</t>
  </si>
  <si>
    <t>Profit-to-wage ratio (foreign sector)</t>
  </si>
  <si>
    <t>Profit-to-wage ratio of US MNE foreign entities</t>
  </si>
  <si>
    <t>Total profits shifted by tax haven</t>
  </si>
  <si>
    <t>OECD Countries</t>
  </si>
  <si>
    <t>AUS</t>
  </si>
  <si>
    <t>OECD</t>
  </si>
  <si>
    <t>AUT</t>
  </si>
  <si>
    <t>CAN</t>
  </si>
  <si>
    <t>CHL</t>
  </si>
  <si>
    <t>CZE</t>
  </si>
  <si>
    <t>DEU</t>
  </si>
  <si>
    <t>DNK</t>
  </si>
  <si>
    <t>ESP</t>
  </si>
  <si>
    <t>EST</t>
  </si>
  <si>
    <t>FIN</t>
  </si>
  <si>
    <t>FRA</t>
  </si>
  <si>
    <t>GBR</t>
  </si>
  <si>
    <t>GRC</t>
  </si>
  <si>
    <t>HUN</t>
  </si>
  <si>
    <t>ISL</t>
  </si>
  <si>
    <t>ISR</t>
  </si>
  <si>
    <t>ITA</t>
  </si>
  <si>
    <t>JPN</t>
  </si>
  <si>
    <t>KOR</t>
  </si>
  <si>
    <t>LVA</t>
  </si>
  <si>
    <t>MEX</t>
  </si>
  <si>
    <t>NOR</t>
  </si>
  <si>
    <t>NZL</t>
  </si>
  <si>
    <t>POL</t>
  </si>
  <si>
    <t>PRT</t>
  </si>
  <si>
    <t>SVK</t>
  </si>
  <si>
    <t>SVN</t>
  </si>
  <si>
    <t>SWE</t>
  </si>
  <si>
    <t>TUR</t>
  </si>
  <si>
    <t>OECD Tax havens</t>
  </si>
  <si>
    <t>BEL</t>
  </si>
  <si>
    <t>OECD_TH</t>
  </si>
  <si>
    <t>CHE</t>
  </si>
  <si>
    <t>IRL</t>
  </si>
  <si>
    <t>LUX</t>
  </si>
  <si>
    <t>NLD</t>
  </si>
  <si>
    <t>Major developing countries</t>
  </si>
  <si>
    <t>BRA</t>
  </si>
  <si>
    <t>DEV</t>
  </si>
  <si>
    <t>CHN</t>
  </si>
  <si>
    <t>COL</t>
  </si>
  <si>
    <t>CRI</t>
  </si>
  <si>
    <t>IND</t>
  </si>
  <si>
    <t>RUS</t>
  </si>
  <si>
    <t>ZAF</t>
  </si>
  <si>
    <t>Non-OECD Tax havens</t>
  </si>
  <si>
    <t>ABW</t>
  </si>
  <si>
    <t>TH</t>
  </si>
  <si>
    <t>AIA</t>
  </si>
  <si>
    <t>AND</t>
  </si>
  <si>
    <t>ATG</t>
  </si>
  <si>
    <t>Bonaire</t>
  </si>
  <si>
    <t>BES</t>
  </si>
  <si>
    <t>BHR</t>
  </si>
  <si>
    <t>BHS</t>
  </si>
  <si>
    <t>BLZ</t>
  </si>
  <si>
    <t>BMU</t>
  </si>
  <si>
    <t>BRB</t>
  </si>
  <si>
    <t>CUW</t>
  </si>
  <si>
    <t>CYM</t>
  </si>
  <si>
    <t>CYP</t>
  </si>
  <si>
    <t>GGY</t>
  </si>
  <si>
    <t>GIB</t>
  </si>
  <si>
    <t>GRD</t>
  </si>
  <si>
    <t>HKG</t>
  </si>
  <si>
    <t>IMN</t>
  </si>
  <si>
    <t>JEY</t>
  </si>
  <si>
    <t>KNA</t>
  </si>
  <si>
    <t>LBN</t>
  </si>
  <si>
    <t>LCA</t>
  </si>
  <si>
    <t>Liechtenstein</t>
  </si>
  <si>
    <t>LIE</t>
  </si>
  <si>
    <t>MAC</t>
  </si>
  <si>
    <t>MCO</t>
  </si>
  <si>
    <t>MHL</t>
  </si>
  <si>
    <t>MLT</t>
  </si>
  <si>
    <t>MUS</t>
  </si>
  <si>
    <t>PAN</t>
  </si>
  <si>
    <t>PRI</t>
  </si>
  <si>
    <t>SGP</t>
  </si>
  <si>
    <t>SXM</t>
  </si>
  <si>
    <t>SYC</t>
  </si>
  <si>
    <t>TCA</t>
  </si>
  <si>
    <t>VCT</t>
  </si>
  <si>
    <t>VGB</t>
  </si>
  <si>
    <t>ROW</t>
  </si>
  <si>
    <t>other</t>
  </si>
  <si>
    <t>World</t>
  </si>
  <si>
    <t>WLD</t>
  </si>
  <si>
    <t>Table B.10 (Updated to 2022 values): Corrections for direct investment income (USD million)</t>
  </si>
  <si>
    <t>country</t>
  </si>
  <si>
    <t>ISO3</t>
  </si>
  <si>
    <t>group</t>
  </si>
  <si>
    <t>tax_haven</t>
  </si>
  <si>
    <t>Inward DI country OECD</t>
  </si>
  <si>
    <t>Inward DI country IMF</t>
  </si>
  <si>
    <t>Inward DI partners OECD</t>
  </si>
  <si>
    <t>Inward gap</t>
  </si>
  <si>
    <t>Missing income</t>
  </si>
  <si>
    <t>DI equity income surplus</t>
  </si>
  <si>
    <t>Outward DI country OECD</t>
  </si>
  <si>
    <t>Outward DI country IMF</t>
  </si>
  <si>
    <t>Outward DI partners OECD</t>
  </si>
  <si>
    <t>Outward gap</t>
  </si>
  <si>
    <t>correction</t>
  </si>
  <si>
    <t>reallocation</t>
  </si>
  <si>
    <t>AFG</t>
  </si>
  <si>
    <t>AGO</t>
  </si>
  <si>
    <t>ALB</t>
  </si>
  <si>
    <t>ANT</t>
  </si>
  <si>
    <t>ARG</t>
  </si>
  <si>
    <t>ARM</t>
  </si>
  <si>
    <t>ASM</t>
  </si>
  <si>
    <t>AZE</t>
  </si>
  <si>
    <t>BDI</t>
  </si>
  <si>
    <t>BEN</t>
  </si>
  <si>
    <t>BFA</t>
  </si>
  <si>
    <t>BGD</t>
  </si>
  <si>
    <t>BGR</t>
  </si>
  <si>
    <t>BIH</t>
  </si>
  <si>
    <t>BLR</t>
  </si>
  <si>
    <t>BOL</t>
  </si>
  <si>
    <t>BRN</t>
  </si>
  <si>
    <t>BTN</t>
  </si>
  <si>
    <t>BWA</t>
  </si>
  <si>
    <t>CAF</t>
  </si>
  <si>
    <t>CIV</t>
  </si>
  <si>
    <t>CMR</t>
  </si>
  <si>
    <t>COD</t>
  </si>
  <si>
    <t>COG</t>
  </si>
  <si>
    <t>COM</t>
  </si>
  <si>
    <t>CPV</t>
  </si>
  <si>
    <t>Cuba</t>
  </si>
  <si>
    <t>CUB</t>
  </si>
  <si>
    <t>DJI</t>
  </si>
  <si>
    <t>DMA</t>
  </si>
  <si>
    <t>DOM</t>
  </si>
  <si>
    <t>DZA</t>
  </si>
  <si>
    <t>ECU</t>
  </si>
  <si>
    <t>EGY</t>
  </si>
  <si>
    <t>ERI</t>
  </si>
  <si>
    <t>ETH</t>
  </si>
  <si>
    <t>FJI</t>
  </si>
  <si>
    <t>FRO</t>
  </si>
  <si>
    <t>FSM</t>
  </si>
  <si>
    <t>GAB</t>
  </si>
  <si>
    <t>GEO</t>
  </si>
  <si>
    <t>GHA</t>
  </si>
  <si>
    <t>GIN</t>
  </si>
  <si>
    <t>GMB</t>
  </si>
  <si>
    <t>GNB</t>
  </si>
  <si>
    <t>GNQ</t>
  </si>
  <si>
    <t>GTM</t>
  </si>
  <si>
    <t>GUM</t>
  </si>
  <si>
    <t>GUY</t>
  </si>
  <si>
    <t>HND</t>
  </si>
  <si>
    <t>HRV</t>
  </si>
  <si>
    <t>HTI</t>
  </si>
  <si>
    <t>IDN</t>
  </si>
  <si>
    <t>IRN</t>
  </si>
  <si>
    <t>IRQ</t>
  </si>
  <si>
    <t>JAM</t>
  </si>
  <si>
    <t>JOR</t>
  </si>
  <si>
    <t>KAZ</t>
  </si>
  <si>
    <t>KEN</t>
  </si>
  <si>
    <t>KGZ</t>
  </si>
  <si>
    <t>KHM</t>
  </si>
  <si>
    <t>KIR</t>
  </si>
  <si>
    <t>KWT</t>
  </si>
  <si>
    <t>LAO</t>
  </si>
  <si>
    <t>LBR</t>
  </si>
  <si>
    <t>LBY</t>
  </si>
  <si>
    <t>LKA</t>
  </si>
  <si>
    <t>LSO</t>
  </si>
  <si>
    <t>LTU</t>
  </si>
  <si>
    <t>MAR</t>
  </si>
  <si>
    <t>MDA</t>
  </si>
  <si>
    <t>MDG</t>
  </si>
  <si>
    <t>MDV</t>
  </si>
  <si>
    <t>MKD</t>
  </si>
  <si>
    <t>MLI</t>
  </si>
  <si>
    <t>MMR</t>
  </si>
  <si>
    <t>MNE</t>
  </si>
  <si>
    <t>MNG</t>
  </si>
  <si>
    <t>MOZ</t>
  </si>
  <si>
    <t>MRT</t>
  </si>
  <si>
    <t>MSR</t>
  </si>
  <si>
    <t>MWI</t>
  </si>
  <si>
    <t>MYS</t>
  </si>
  <si>
    <t>NAM</t>
  </si>
  <si>
    <t>NCL</t>
  </si>
  <si>
    <t>NER</t>
  </si>
  <si>
    <t>NGA</t>
  </si>
  <si>
    <t>NIC</t>
  </si>
  <si>
    <t>NPL</t>
  </si>
  <si>
    <t>NRU</t>
  </si>
  <si>
    <t>OMN</t>
  </si>
  <si>
    <t>PAK</t>
  </si>
  <si>
    <t>PER</t>
  </si>
  <si>
    <t>PHL</t>
  </si>
  <si>
    <t>PLW</t>
  </si>
  <si>
    <t>PNG</t>
  </si>
  <si>
    <t>PRY</t>
  </si>
  <si>
    <t>PSE</t>
  </si>
  <si>
    <t>PYF</t>
  </si>
  <si>
    <t>QAT</t>
  </si>
  <si>
    <t>ROU</t>
  </si>
  <si>
    <t>RWA</t>
  </si>
  <si>
    <t>SAU</t>
  </si>
  <si>
    <t>SDN</t>
  </si>
  <si>
    <t>SEN</t>
  </si>
  <si>
    <t>SLB</t>
  </si>
  <si>
    <t>SLE</t>
  </si>
  <si>
    <t>SLV</t>
  </si>
  <si>
    <t>San Marino</t>
  </si>
  <si>
    <t>SMR</t>
  </si>
  <si>
    <t>SRB</t>
  </si>
  <si>
    <t>SSD</t>
  </si>
  <si>
    <t>STP</t>
  </si>
  <si>
    <t>SUR</t>
  </si>
  <si>
    <t>SWZ</t>
  </si>
  <si>
    <t>SYR</t>
  </si>
  <si>
    <t>TCD</t>
  </si>
  <si>
    <t>TGO</t>
  </si>
  <si>
    <t>THA</t>
  </si>
  <si>
    <t>TJK</t>
  </si>
  <si>
    <t>TLS</t>
  </si>
  <si>
    <t>TON</t>
  </si>
  <si>
    <t>TTO</t>
  </si>
  <si>
    <t>TUN</t>
  </si>
  <si>
    <t>TWN</t>
  </si>
  <si>
    <t>TZA</t>
  </si>
  <si>
    <t>UGA</t>
  </si>
  <si>
    <t>UKR</t>
  </si>
  <si>
    <t>URY</t>
  </si>
  <si>
    <t>UZB</t>
  </si>
  <si>
    <t>VEN</t>
  </si>
  <si>
    <t>VNM</t>
  </si>
  <si>
    <t>VUT</t>
  </si>
  <si>
    <t>WSM</t>
  </si>
  <si>
    <t>XKO</t>
  </si>
  <si>
    <t>YEM</t>
  </si>
  <si>
    <t>ZMB</t>
  </si>
  <si>
    <t>ZWE</t>
  </si>
  <si>
    <t>Table B11 updated to 2022 values: Bilateral DI income discrepancies (USD million)</t>
  </si>
  <si>
    <t>(limited to disc. With Ireland, Luxembourg, Netherlands)</t>
  </si>
  <si>
    <t>Discrepancy Japan</t>
  </si>
  <si>
    <t>Discrepancy USA</t>
  </si>
  <si>
    <t>Discrepancy EU</t>
  </si>
  <si>
    <t>Discrepancy Japan (OECD data)</t>
  </si>
  <si>
    <t>Discrepancy USA (OECD data)</t>
  </si>
  <si>
    <t>min_USA</t>
  </si>
  <si>
    <t>min_JPN</t>
  </si>
  <si>
    <t>Table B.11 Updated to 2019 values: Bilateral DI income discrepancies (both investor &amp; host bilateral report exists)</t>
  </si>
  <si>
    <t>Outward DI by investor less Inward DI by host</t>
  </si>
  <si>
    <t>USD/EUR</t>
  </si>
  <si>
    <t>Host (line) /          Investor (col.)</t>
  </si>
  <si>
    <t>European Union (Non-SPEs)</t>
  </si>
  <si>
    <t xml:space="preserve">Total </t>
  </si>
  <si>
    <t>Notes: See TWZ2018 Appendix notes. Additional adjustments in this version: Inward discrepancies directly taken from stata output "totaldisc_DO_less_DI" (see Stata code)</t>
  </si>
  <si>
    <t>Table C.1: High-risk payments to tax havens, 2022 update (USD million)</t>
  </si>
  <si>
    <t>EU</t>
  </si>
  <si>
    <t>Belgium interest</t>
  </si>
  <si>
    <t>Cyprus interest</t>
  </si>
  <si>
    <t>Ireland interest</t>
  </si>
  <si>
    <t>Luxembourg interest</t>
  </si>
  <si>
    <t>Malta interest</t>
  </si>
  <si>
    <t>Netherlands interest</t>
  </si>
  <si>
    <t>Rest interest</t>
  </si>
  <si>
    <t>Switzerland interest</t>
  </si>
  <si>
    <t>EU havens interest</t>
  </si>
  <si>
    <t>Non EU havens interest</t>
  </si>
  <si>
    <t>All havens interest</t>
  </si>
  <si>
    <t>Belgium services</t>
  </si>
  <si>
    <t>Cyprus services</t>
  </si>
  <si>
    <t>Ireland services</t>
  </si>
  <si>
    <t>Luxembourg services</t>
  </si>
  <si>
    <t>Malta services</t>
  </si>
  <si>
    <t>Netherlands services</t>
  </si>
  <si>
    <t>Switzerland services</t>
  </si>
  <si>
    <t>Rest services</t>
  </si>
  <si>
    <t>EU havens services</t>
  </si>
  <si>
    <t>Non EU havens services</t>
  </si>
  <si>
    <t>All havens services</t>
  </si>
  <si>
    <t>OECD tax havens</t>
  </si>
  <si>
    <t>Developing countries</t>
  </si>
  <si>
    <t>NEW_DEV</t>
  </si>
  <si>
    <t>Table C.2: Excessive high-risk payments to tax havens, 2022 update (USD million)</t>
  </si>
  <si>
    <t>NHT</t>
  </si>
  <si>
    <t>Table C3: Who are the ultimate owners of the FDI stocks in tax havens? (2019 update)</t>
  </si>
  <si>
    <t xml:space="preserve"> FDI stocks in havens (million USD)</t>
  </si>
  <si>
    <t>All havens</t>
  </si>
  <si>
    <t>EU havens</t>
  </si>
  <si>
    <t>Non-EU tax havens</t>
  </si>
  <si>
    <t>Rest</t>
  </si>
  <si>
    <t>Korea, Republic of</t>
  </si>
  <si>
    <t>Slovak Republic</t>
  </si>
  <si>
    <t>Main developing countries</t>
  </si>
  <si>
    <t>Non-OECD tax havens</t>
  </si>
  <si>
    <t>Andorra</t>
  </si>
  <si>
    <t>Bonaire, Sint Eustatius and Saba</t>
  </si>
  <si>
    <t>Virgin Islands, British</t>
  </si>
  <si>
    <t>BVI</t>
  </si>
  <si>
    <t>Gribraltar</t>
  </si>
  <si>
    <t>Isle of man</t>
  </si>
  <si>
    <t>Marshall Islands, Republic of</t>
  </si>
  <si>
    <t>Marshall Islands</t>
  </si>
  <si>
    <t>Sint Maarten</t>
  </si>
  <si>
    <t>Turks and Caicos</t>
  </si>
  <si>
    <t>Rest of World</t>
  </si>
  <si>
    <t>World total</t>
  </si>
  <si>
    <t>Euro/USD</t>
  </si>
  <si>
    <t>Table C4: Allocating the profits shifted to tax havens, 2022 update (USD million)</t>
  </si>
  <si>
    <t>Non EU havens</t>
  </si>
  <si>
    <t>Table C4b: Allocating the profits shifted to tax havens</t>
  </si>
  <si>
    <t>Table C4c: Profits shifted to tax havens – share of tax base, 2022 update</t>
  </si>
  <si>
    <t>pre tax corp profits (USD Mln)</t>
  </si>
  <si>
    <t>Table C4d: Lost tax revenue due to profit shifting (2022 update)</t>
  </si>
  <si>
    <t>corptaxrev</t>
  </si>
  <si>
    <t>CIT rate</t>
  </si>
  <si>
    <t>revenue loss All havens</t>
  </si>
  <si>
    <t>loss as share  of CIT revenue All havens</t>
  </si>
  <si>
    <t>revenue loss Non EU havens</t>
  </si>
  <si>
    <t>loss as share  of CIT revenue Non EU havens</t>
  </si>
  <si>
    <t>revenue loss EU havens</t>
  </si>
  <si>
    <t>loss as share of CIT revenue EU havens</t>
  </si>
  <si>
    <t>Series Name</t>
  </si>
  <si>
    <t>Series Code</t>
  </si>
  <si>
    <t>Country Code</t>
  </si>
  <si>
    <t>1990 [YR1990]</t>
  </si>
  <si>
    <t>2000 [YR2000]</t>
  </si>
  <si>
    <t>2012 [YR2012]</t>
  </si>
  <si>
    <t>2013 [YR2013]</t>
  </si>
  <si>
    <t>2014 [YR2014]</t>
  </si>
  <si>
    <t>2015 [YR2015]</t>
  </si>
  <si>
    <t>2016 [YR2016]</t>
  </si>
  <si>
    <t>2017 [YR2017]</t>
  </si>
  <si>
    <t>2018 [YR2018]</t>
  </si>
  <si>
    <t>2019 [YR2019]</t>
  </si>
  <si>
    <t>2020 [YR2020]</t>
  </si>
  <si>
    <t>2021 [YR2021]</t>
  </si>
  <si>
    <t>Adjusted savings: consumption of fixed capital (% of GNI)</t>
  </si>
  <si>
    <t>NY.ADJ.DKAP.GN.ZS</t>
  </si>
  <si>
    <t>..</t>
  </si>
  <si>
    <t>Data from database: World Development Indicators</t>
  </si>
  <si>
    <t>Last Updated: 09/16/2022</t>
  </si>
  <si>
    <t>Code</t>
  </si>
  <si>
    <t>License Type</t>
  </si>
  <si>
    <t>Indicator Name</t>
  </si>
  <si>
    <t>Long definition</t>
  </si>
  <si>
    <t>Topic</t>
  </si>
  <si>
    <t>Periodicity</t>
  </si>
  <si>
    <t>Aggregation method</t>
  </si>
  <si>
    <t>License URL</t>
  </si>
  <si>
    <t>CC BY-4.0</t>
  </si>
  <si>
    <t>Consumption of fixed capital represents the replacement value of capital used up in the process of production.</t>
  </si>
  <si>
    <t>World Bank staff estimates using data from the United Nations Statistics Division's National Accounts Statistics.</t>
  </si>
  <si>
    <t>Economic Policy &amp; Debt: National accounts: Adjusted savings &amp; income</t>
  </si>
  <si>
    <t>Annual</t>
  </si>
  <si>
    <t>Weighted average</t>
  </si>
  <si>
    <t>https://datacatalog.worldbank.org/public-licenses#cc-by</t>
  </si>
  <si>
    <t>Afghanistan</t>
  </si>
  <si>
    <t>American Samoa</t>
  </si>
  <si>
    <t>Antarctica</t>
  </si>
  <si>
    <t>French Southern Territories</t>
  </si>
  <si>
    <t>Saint Barthelemy</t>
  </si>
  <si>
    <t>Bolivia (Plurinational State of)</t>
  </si>
  <si>
    <t>Bouvet Island</t>
  </si>
  <si>
    <t>Central African Republic</t>
  </si>
  <si>
    <t>Cocos (Keeling) Islands</t>
  </si>
  <si>
    <t>Cote d'Ivoire</t>
  </si>
  <si>
    <t>Democratic Republic of the Congo</t>
  </si>
  <si>
    <t>Congo</t>
  </si>
  <si>
    <t>Cook Islands</t>
  </si>
  <si>
    <t>Comoros</t>
  </si>
  <si>
    <t>Christmas Island</t>
  </si>
  <si>
    <t>Czechia</t>
  </si>
  <si>
    <t>Eritrea</t>
  </si>
  <si>
    <t>Western Sahara</t>
  </si>
  <si>
    <t>Falkland Islands (Malvinas)</t>
  </si>
  <si>
    <t>Micronesia (Federated States of)</t>
  </si>
  <si>
    <t>United Kingdom of Great Britain and Northern Ireland</t>
  </si>
  <si>
    <t>Guadeloupe</t>
  </si>
  <si>
    <t>Gambia</t>
  </si>
  <si>
    <t>Equatorial Guinea</t>
  </si>
  <si>
    <t>Greenland</t>
  </si>
  <si>
    <t>French Guiana</t>
  </si>
  <si>
    <t>China, Hong Kong Special Administrative Region</t>
  </si>
  <si>
    <t>Heard Island and McDonald Islands</t>
  </si>
  <si>
    <t>British Indian Ocean Territory</t>
  </si>
  <si>
    <t>Iran (Islamic Republic of)</t>
  </si>
  <si>
    <t>Kyrgyzstan</t>
  </si>
  <si>
    <t>Saint Kitts and Nevis</t>
  </si>
  <si>
    <t>Republic of Korea</t>
  </si>
  <si>
    <t>Lao People's Democratic Republic</t>
  </si>
  <si>
    <t>Saint Lucia</t>
  </si>
  <si>
    <t>Lesotho</t>
  </si>
  <si>
    <t>China, Macao Special Administrative Region</t>
  </si>
  <si>
    <t>Saint Martin (French Part)</t>
  </si>
  <si>
    <t>Republic of Moldova</t>
  </si>
  <si>
    <t>Madagascar</t>
  </si>
  <si>
    <t>The former Yugoslav Republic of Macedonia</t>
  </si>
  <si>
    <t>Northern Mariana Islands</t>
  </si>
  <si>
    <t>Mauritania</t>
  </si>
  <si>
    <t>Martinique</t>
  </si>
  <si>
    <t>Mayotte</t>
  </si>
  <si>
    <t>Norfolk Island</t>
  </si>
  <si>
    <t>Niue</t>
  </si>
  <si>
    <t>Nauru</t>
  </si>
  <si>
    <t>Pitcairn</t>
  </si>
  <si>
    <t>Palau</t>
  </si>
  <si>
    <t>Democratic People's Republic of Korea</t>
  </si>
  <si>
    <t>State of Palestine</t>
  </si>
  <si>
    <t>Reunion</t>
  </si>
  <si>
    <t>South Georgia and the South Sandwich Islands</t>
  </si>
  <si>
    <t>Saint Helena</t>
  </si>
  <si>
    <t>Svalbard and Jan Mayen Islands</t>
  </si>
  <si>
    <t>Saint Pierre and Miquelon</t>
  </si>
  <si>
    <t>South Sudan</t>
  </si>
  <si>
    <t>Sao Tome and Principe</t>
  </si>
  <si>
    <t>Sint Maarten (Dutch part)</t>
  </si>
  <si>
    <t>Syrian Arab Republic</t>
  </si>
  <si>
    <t>Tajikistan</t>
  </si>
  <si>
    <t>Tokelau</t>
  </si>
  <si>
    <t>Timor-Leste</t>
  </si>
  <si>
    <t>United Republic of Tanzania</t>
  </si>
  <si>
    <t>United States Minor Outlying Islands</t>
  </si>
  <si>
    <t>United States of America</t>
  </si>
  <si>
    <t>Uzbekistan</t>
  </si>
  <si>
    <t>Holy See</t>
  </si>
  <si>
    <t>Saint Vincent and the Grenadines</t>
  </si>
  <si>
    <t>Venezuela (Bolivarian Republic of)</t>
  </si>
  <si>
    <t>United States Virgin Islands</t>
  </si>
  <si>
    <t>Viet Nam</t>
  </si>
  <si>
    <t>Wallis and Futuna Islands</t>
  </si>
  <si>
    <t>Kosovo, Republic of</t>
  </si>
  <si>
    <t>Yemen</t>
  </si>
  <si>
    <t>NA</t>
  </si>
  <si>
    <t>STR loss</t>
  </si>
  <si>
    <t>STR_2015</t>
  </si>
  <si>
    <t>STR_2023</t>
  </si>
  <si>
    <t>ETR 2023 copied from 2022</t>
  </si>
  <si>
    <t>Profitability in Foreign vs. Local Firms in 2023</t>
  </si>
  <si>
    <t>Last update: June 2026</t>
  </si>
  <si>
    <t>Corporate tax revenue loss, 2023 vs. 2015</t>
  </si>
  <si>
    <t>Global corporate profits and foreign profits, 1975-2023</t>
  </si>
  <si>
    <t>Foreign profits shifted to tax havens and corporate tax revenue loss, 1975-2023</t>
  </si>
  <si>
    <t>Profit shifting by US multinational companies: 1975-2023</t>
  </si>
  <si>
    <t>This workbook contains the tables and figures from "Global Profit Shifting, 1975-2023", by Gidron, Wier, &amp; Zucman</t>
  </si>
  <si>
    <t>Statutory CIT rates source:</t>
  </si>
  <si>
    <t>Corporate Tax Rates Around the World, 1980-2023. Tax Foundation.</t>
  </si>
  <si>
    <t>Tax loss source:</t>
  </si>
  <si>
    <t>Table A3</t>
  </si>
  <si>
    <t>Countries not included in baseline methodology</t>
  </si>
  <si>
    <t>Country</t>
  </si>
  <si>
    <t>Computing AE53</t>
  </si>
  <si>
    <t>AG53</t>
  </si>
  <si>
    <t>AH53</t>
  </si>
  <si>
    <t>Wright-ZucmanH84</t>
  </si>
  <si>
    <t>MAX(1-AK52/AJ52,0)</t>
  </si>
  <si>
    <t>AJ53</t>
  </si>
  <si>
    <t>AK53</t>
  </si>
  <si>
    <t>profit to wage ratio in havens</t>
  </si>
  <si>
    <t>profit to wage ratio in non-havens</t>
  </si>
  <si>
    <t>U.S. MNE Activities: Preliminary 2023 Statistics, Majority-Owned Foreign Affiliates</t>
  </si>
  <si>
    <t>Table II.F 1. Value Added of Affiliates, Country by Component</t>
  </si>
  <si>
    <t>[Millions of dollars]</t>
  </si>
  <si>
    <t/>
  </si>
  <si>
    <t>Compensation of employees</t>
  </si>
  <si>
    <r>
      <t xml:space="preserve">Profit-type return </t>
    </r>
    <r>
      <rPr>
        <vertAlign val="superscript"/>
        <sz val="10"/>
        <rFont val="Arial Narrow"/>
        <family val="2"/>
      </rPr>
      <t>1</t>
    </r>
  </si>
  <si>
    <r>
      <t xml:space="preserve">Net interest paid </t>
    </r>
    <r>
      <rPr>
        <vertAlign val="superscript"/>
        <sz val="10"/>
        <rFont val="Arial Narrow"/>
        <family val="2"/>
      </rPr>
      <t>2</t>
    </r>
  </si>
  <si>
    <r>
      <t xml:space="preserve">Taxes on production and imports </t>
    </r>
    <r>
      <rPr>
        <vertAlign val="superscript"/>
        <sz val="10"/>
        <rFont val="Arial Narrow"/>
        <family val="2"/>
      </rPr>
      <t>3</t>
    </r>
  </si>
  <si>
    <r>
      <t xml:space="preserve">Capital consumption allowances </t>
    </r>
    <r>
      <rPr>
        <vertAlign val="superscript"/>
        <sz val="10"/>
        <rFont val="Arial Narrow"/>
        <family val="2"/>
      </rPr>
      <t>4</t>
    </r>
  </si>
  <si>
    <r>
      <rPr>
        <b/>
        <sz val="10"/>
        <rFont val="Arial Narrow"/>
        <family val="2"/>
      </rPr>
      <t>All countries</t>
    </r>
  </si>
  <si>
    <r>
      <rPr>
        <b/>
        <sz val="10"/>
        <rFont val="Arial Narrow"/>
        <family val="2"/>
      </rPr>
      <t>Canada</t>
    </r>
  </si>
  <si>
    <r>
      <rPr>
        <b/>
        <sz val="10"/>
        <rFont val="Arial Narrow"/>
        <family val="2"/>
      </rPr>
      <t>Europe</t>
    </r>
  </si>
  <si>
    <r>
      <rPr>
        <sz val="10"/>
        <rFont val="Arial Narrow"/>
        <family val="2"/>
      </rPr>
      <t>(D)</t>
    </r>
  </si>
  <si>
    <r>
      <rPr>
        <b/>
        <sz val="10"/>
        <rFont val="Arial Narrow"/>
        <family val="2"/>
      </rPr>
      <t>Latin America and Other Western Hemisphere</t>
    </r>
  </si>
  <si>
    <t>South America</t>
  </si>
  <si>
    <t>Central America</t>
  </si>
  <si>
    <t>Other Western Hemisphere</t>
  </si>
  <si>
    <t>United Kingdom Islands, Caribbean</t>
  </si>
  <si>
    <r>
      <rPr>
        <b/>
        <sz val="10"/>
        <rFont val="Arial Narrow"/>
        <family val="2"/>
      </rPr>
      <t>Africa</t>
    </r>
  </si>
  <si>
    <r>
      <rPr>
        <b/>
        <sz val="10"/>
        <rFont val="Arial Narrow"/>
        <family val="2"/>
      </rPr>
      <t>Middle East</t>
    </r>
  </si>
  <si>
    <r>
      <rPr>
        <b/>
        <sz val="10"/>
        <rFont val="Arial Narrow"/>
        <family val="2"/>
      </rPr>
      <t>Asia and Pacific</t>
    </r>
  </si>
  <si>
    <t>South Korea</t>
  </si>
  <si>
    <t>Addendum:</t>
  </si>
  <si>
    <t>European Union (27)</t>
  </si>
  <si>
    <t>Computations with links to the raw data can be found in file WrightZucman2018Appendix sheet T.A3c; last updated in June 2026 using the 2023 BEA survey.</t>
  </si>
  <si>
    <t>Proft-wage ratio havens</t>
  </si>
  <si>
    <t>Proft-wage ratio non-havens</t>
  </si>
  <si>
    <t>Profits</t>
  </si>
  <si>
    <t>Wage</t>
  </si>
  <si>
    <t>Ratio</t>
  </si>
  <si>
    <t>Profit-wage non-oil nonhaven</t>
  </si>
  <si>
    <t>Panel a: All multinationals</t>
  </si>
  <si>
    <t>Pre-2015</t>
  </si>
  <si>
    <t>Post-2015</t>
  </si>
  <si>
    <t>Coefficient</t>
  </si>
  <si>
    <t>(0.000425)</t>
  </si>
  <si>
    <t>(0.00187)</t>
  </si>
  <si>
    <t>0.005369***</t>
  </si>
  <si>
    <t>-0.010452***</t>
  </si>
  <si>
    <t>(0.001918)</t>
  </si>
  <si>
    <t>Panel b: US multinationals</t>
  </si>
  <si>
    <t>0.007334***</t>
  </si>
  <si>
    <t>-0.005083**</t>
  </si>
  <si>
    <t>(0.004902)</t>
  </si>
  <si>
    <t>(0.004929)</t>
  </si>
  <si>
    <t xml:space="preserve">-0.019732*** </t>
  </si>
  <si>
    <t>-0.012398**</t>
  </si>
  <si>
    <t>(Standard errors)</t>
  </si>
  <si>
    <t>N Observations</t>
  </si>
  <si>
    <t>R-squared</t>
  </si>
  <si>
    <t xml:space="preserve">US multinational profits </t>
  </si>
  <si>
    <t>Global multinational profits</t>
  </si>
  <si>
    <r>
      <rPr>
        <i/>
        <sz val="18"/>
        <color theme="1"/>
        <rFont val="Garamond"/>
        <family val="1"/>
      </rPr>
      <t>Dependent variable</t>
    </r>
    <r>
      <rPr>
        <sz val="18"/>
        <color theme="1"/>
        <rFont val="Garamond"/>
        <family val="1"/>
      </rPr>
      <t>: Growth of profits shifted as a share of total foreign profits</t>
    </r>
  </si>
  <si>
    <t>Difference            pre-post 2015</t>
  </si>
  <si>
    <t>iso</t>
  </si>
  <si>
    <t>Tax loss as share of CIT</t>
  </si>
  <si>
    <t>Offset of 2019-2023</t>
  </si>
  <si>
    <t>Rise 1975-2018</t>
  </si>
  <si>
    <t>Fall 2019-2023</t>
  </si>
  <si>
    <t>Offset</t>
  </si>
  <si>
    <t>In red: 2023 and assumptions</t>
  </si>
  <si>
    <t>Weighted regression line</t>
  </si>
  <si>
    <t>w</t>
  </si>
  <si>
    <t>w*x</t>
  </si>
  <si>
    <t>w*y</t>
  </si>
  <si>
    <t>w*(x^2)</t>
  </si>
  <si>
    <t>w*x*y</t>
  </si>
  <si>
    <t>WEIGHTED REGRESSION (weights = Shifted profits)</t>
  </si>
  <si>
    <t>Sum w</t>
  </si>
  <si>
    <t>Sum w*x</t>
  </si>
  <si>
    <t>Sum w*y</t>
  </si>
  <si>
    <t>Sum w*x^2</t>
  </si>
  <si>
    <t>Sum w*x*y</t>
  </si>
  <si>
    <t>Slope (weighted)</t>
  </si>
  <si>
    <t>Intercept (weighted)</t>
  </si>
  <si>
    <t>TRENDLINE POINTS</t>
  </si>
  <si>
    <t>X</t>
  </si>
  <si>
    <t>Y-hat</t>
  </si>
  <si>
    <t>Profit shifting: US vs. non-US multinationals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</si>
</sst>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0.00_);_(* \(#,##0.00\);_(* &quot;-&quot;??_);_(@_)"/>
    <numFmt numFmtId="164" formatCode="_ * #,##0.00_ ;_ * \-#,##0.00_ ;_ * &quot;-&quot;??_ ;_ @_ "/>
    <numFmt numFmtId="165" formatCode="#,##0.0"/>
    <numFmt numFmtId="166" formatCode="0.0"/>
    <numFmt numFmtId="167" formatCode="0.0%"/>
    <numFmt numFmtId="168" formatCode="#,##0,\ ;[Black]\-#,##0,"/>
    <numFmt numFmtId="169" formatCode="#,##0,\ ;[Black]\-#,##0,\ "/>
    <numFmt numFmtId="170" formatCode="#,##0\ ;[Black]\-#,##0,"/>
    <numFmt numFmtId="171" formatCode="&quot;*&quot;\ #,##0,\ ;[Black]\-#,##0,"/>
    <numFmt numFmtId="172" formatCode="&quot;*&quot;\ #,##0\ ;[Black]\-#,##0,"/>
    <numFmt numFmtId="173" formatCode="#,##0,\ ;[Black]&quot;*&quot;\ \-#,##0,\ "/>
    <numFmt numFmtId="174" formatCode="#.#\ \p\p"/>
    <numFmt numFmtId="175" formatCode="0.0000"/>
  </numFmts>
  <fonts count="100" x14ac:knownFonts="1">
    <font>
      <sz val="12"/>
      <color theme="1"/>
      <name val="Garamond"/>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1"/>
      <color theme="1"/>
      <name val="Calibri"/>
      <family val="2"/>
      <scheme val="minor"/>
    </font>
    <font>
      <sz val="12"/>
      <color theme="1"/>
      <name val="Calibri"/>
      <family val="2"/>
      <scheme val="minor"/>
    </font>
    <font>
      <sz val="12"/>
      <color theme="1"/>
      <name val="Calibri"/>
      <family val="2"/>
      <scheme val="minor"/>
    </font>
    <font>
      <sz val="11"/>
      <color theme="1"/>
      <name val="Calibri"/>
      <family val="2"/>
      <scheme val="minor"/>
    </font>
    <font>
      <sz val="11"/>
      <color theme="1"/>
      <name val="Calibri"/>
      <family val="2"/>
      <scheme val="minor"/>
    </font>
    <font>
      <sz val="10"/>
      <name val="Arial"/>
      <family val="2"/>
    </font>
    <font>
      <b/>
      <sz val="16"/>
      <name val="Arial"/>
      <family val="2"/>
    </font>
    <font>
      <sz val="12"/>
      <name val="Arial"/>
      <family val="2"/>
    </font>
    <font>
      <b/>
      <sz val="12"/>
      <name val="Arial"/>
      <family val="2"/>
    </font>
    <font>
      <sz val="12"/>
      <color theme="1"/>
      <name val="Garamond"/>
      <family val="2"/>
    </font>
    <font>
      <b/>
      <sz val="12"/>
      <color theme="1"/>
      <name val="Arial"/>
      <family val="2"/>
    </font>
    <font>
      <sz val="12"/>
      <color theme="1"/>
      <name val="Arial"/>
      <family val="2"/>
      <charset val="204"/>
    </font>
    <font>
      <sz val="8"/>
      <name val="Arial"/>
      <family val="2"/>
    </font>
    <font>
      <sz val="12"/>
      <color rgb="FFFF0000"/>
      <name val="Arial"/>
      <family val="2"/>
    </font>
    <font>
      <sz val="12"/>
      <color theme="1"/>
      <name val="Arial"/>
      <family val="2"/>
    </font>
    <font>
      <sz val="10"/>
      <color theme="1"/>
      <name val="Arial"/>
      <family val="2"/>
    </font>
    <font>
      <sz val="12"/>
      <color rgb="FF000000"/>
      <name val="Arial"/>
      <family val="2"/>
    </font>
    <font>
      <sz val="12"/>
      <color theme="1"/>
      <name val="Arial Narrow"/>
      <family val="2"/>
    </font>
    <font>
      <b/>
      <sz val="16"/>
      <color theme="1"/>
      <name val="Arial"/>
      <family val="2"/>
    </font>
    <font>
      <sz val="12"/>
      <color theme="1"/>
      <name val="Garamond"/>
      <family val="1"/>
    </font>
    <font>
      <sz val="11"/>
      <name val="Arial"/>
      <family val="2"/>
    </font>
    <font>
      <sz val="10"/>
      <name val="Arial"/>
      <family val="2"/>
    </font>
    <font>
      <u/>
      <sz val="11"/>
      <color theme="10"/>
      <name val="Calibri"/>
      <family val="2"/>
      <scheme val="minor"/>
    </font>
    <font>
      <sz val="11"/>
      <color indexed="8"/>
      <name val="Calibri"/>
      <family val="2"/>
      <scheme val="minor"/>
    </font>
    <font>
      <sz val="9"/>
      <name val="Times New Roman"/>
      <family val="1"/>
    </font>
    <font>
      <sz val="26"/>
      <color theme="1"/>
      <name val="Garamond"/>
      <family val="1"/>
    </font>
    <font>
      <b/>
      <sz val="26"/>
      <color theme="1"/>
      <name val="Garamond"/>
      <family val="1"/>
    </font>
    <font>
      <sz val="22"/>
      <color theme="1"/>
      <name val="Garamond"/>
      <family val="2"/>
    </font>
    <font>
      <b/>
      <sz val="22"/>
      <color theme="1"/>
      <name val="Garamond"/>
      <family val="1"/>
    </font>
    <font>
      <i/>
      <sz val="12"/>
      <color theme="1"/>
      <name val="Garamond"/>
      <family val="1"/>
    </font>
    <font>
      <sz val="20"/>
      <color theme="1"/>
      <name val="Garamond"/>
      <family val="1"/>
    </font>
    <font>
      <u/>
      <sz val="12"/>
      <color theme="1"/>
      <name val="Garamond"/>
      <family val="2"/>
    </font>
    <font>
      <u/>
      <sz val="12"/>
      <color theme="1"/>
      <name val="Garamond"/>
      <family val="1"/>
    </font>
    <font>
      <u/>
      <sz val="12"/>
      <color theme="10"/>
      <name val="Garamond"/>
      <family val="2"/>
    </font>
    <font>
      <sz val="24"/>
      <color theme="1"/>
      <name val="Garamond"/>
      <family val="1"/>
    </font>
    <font>
      <b/>
      <sz val="24"/>
      <color theme="1"/>
      <name val="Garamond"/>
      <family val="1"/>
    </font>
    <font>
      <sz val="22"/>
      <color theme="1"/>
      <name val="Garamond"/>
      <family val="1"/>
    </font>
    <font>
      <u/>
      <sz val="12"/>
      <color theme="1"/>
      <name val="Arial"/>
      <family val="2"/>
    </font>
    <font>
      <i/>
      <sz val="18"/>
      <color theme="1"/>
      <name val="Garamond"/>
      <family val="1"/>
    </font>
    <font>
      <b/>
      <sz val="8"/>
      <name val="Arial"/>
      <family val="2"/>
    </font>
    <font>
      <i/>
      <sz val="9"/>
      <name val="Arial"/>
      <family val="2"/>
    </font>
    <font>
      <b/>
      <i/>
      <sz val="10"/>
      <name val="Arial"/>
      <family val="2"/>
    </font>
    <font>
      <sz val="8"/>
      <color theme="1"/>
      <name val="Arial"/>
      <family val="2"/>
    </font>
    <font>
      <sz val="8"/>
      <color rgb="FFFF0000"/>
      <name val="Arial"/>
      <family val="2"/>
    </font>
    <font>
      <b/>
      <sz val="8"/>
      <color theme="1"/>
      <name val="Arial"/>
      <family val="2"/>
    </font>
    <font>
      <sz val="11"/>
      <name val="Calibri"/>
      <family val="2"/>
      <scheme val="minor"/>
    </font>
    <font>
      <sz val="6"/>
      <color theme="1"/>
      <name val="Arial"/>
      <family val="2"/>
    </font>
    <font>
      <sz val="6"/>
      <name val="Arial"/>
      <family val="2"/>
    </font>
    <font>
      <b/>
      <sz val="11"/>
      <name val="Calibri"/>
      <family val="2"/>
      <scheme val="minor"/>
    </font>
    <font>
      <b/>
      <vertAlign val="superscript"/>
      <sz val="8"/>
      <name val="Arial"/>
      <family val="2"/>
    </font>
    <font>
      <sz val="22"/>
      <color rgb="FFFF0000"/>
      <name val="Garamond"/>
      <family val="1"/>
    </font>
    <font>
      <sz val="22"/>
      <color rgb="FFFF0000"/>
      <name val="Garamond"/>
      <family val="2"/>
    </font>
    <font>
      <sz val="12"/>
      <name val="Garamond"/>
      <family val="1"/>
    </font>
    <font>
      <sz val="15"/>
      <name val="Garamond"/>
      <family val="1"/>
    </font>
    <font>
      <sz val="12"/>
      <name val="Garamond"/>
      <family val="2"/>
    </font>
    <font>
      <i/>
      <sz val="11"/>
      <name val="Calibri"/>
      <family val="2"/>
      <scheme val="minor"/>
    </font>
    <font>
      <sz val="8"/>
      <name val="Calibri"/>
      <family val="2"/>
      <scheme val="minor"/>
    </font>
    <font>
      <b/>
      <sz val="15"/>
      <name val="Garamond"/>
      <family val="1"/>
    </font>
    <font>
      <b/>
      <sz val="36"/>
      <color theme="1"/>
      <name val="Garamond"/>
      <family val="1"/>
    </font>
    <font>
      <b/>
      <sz val="16"/>
      <color theme="1"/>
      <name val="Garamond"/>
      <family val="1"/>
    </font>
    <font>
      <b/>
      <sz val="14"/>
      <color theme="1"/>
      <name val="Garamond"/>
      <family val="1"/>
    </font>
    <font>
      <b/>
      <sz val="22"/>
      <name val="Arial"/>
      <family val="2"/>
    </font>
    <font>
      <b/>
      <sz val="28"/>
      <color theme="1"/>
      <name val="Arial"/>
      <family val="2"/>
    </font>
    <font>
      <sz val="20"/>
      <color theme="1"/>
      <name val="Garamond"/>
      <family val="2"/>
    </font>
    <font>
      <b/>
      <sz val="22"/>
      <color theme="1"/>
      <name val="Arial"/>
      <family val="2"/>
    </font>
    <font>
      <b/>
      <sz val="26"/>
      <color theme="1"/>
      <name val="Arial"/>
      <family val="2"/>
    </font>
    <font>
      <i/>
      <sz val="26"/>
      <color theme="1"/>
      <name val="Garamond"/>
      <family val="1"/>
    </font>
    <font>
      <sz val="11"/>
      <color rgb="FFFF0000"/>
      <name val="Calibri"/>
      <family val="2"/>
      <scheme val="minor"/>
    </font>
    <font>
      <b/>
      <sz val="11"/>
      <color rgb="FFFF0000"/>
      <name val="Calibri"/>
      <family val="2"/>
      <scheme val="minor"/>
    </font>
    <font>
      <b/>
      <sz val="11"/>
      <color theme="1"/>
      <name val="Calibri"/>
      <family val="2"/>
      <scheme val="minor"/>
    </font>
    <font>
      <i/>
      <sz val="11"/>
      <color theme="1"/>
      <name val="Calibri"/>
      <family val="2"/>
      <scheme val="minor"/>
    </font>
    <font>
      <sz val="12"/>
      <color theme="1"/>
      <name val="Calibri"/>
      <family val="2"/>
    </font>
    <font>
      <b/>
      <sz val="11"/>
      <color theme="1"/>
      <name val="Calibri"/>
      <family val="2"/>
    </font>
    <font>
      <i/>
      <sz val="12"/>
      <color theme="1"/>
      <name val="Calibri"/>
      <family val="2"/>
    </font>
    <font>
      <sz val="8"/>
      <color theme="1"/>
      <name val="Calibri"/>
      <family val="2"/>
      <scheme val="minor"/>
    </font>
    <font>
      <b/>
      <sz val="8"/>
      <color theme="1"/>
      <name val="Calibri"/>
      <family val="2"/>
      <scheme val="minor"/>
    </font>
    <font>
      <sz val="8"/>
      <color theme="1"/>
      <name val="Calibri"/>
      <family val="2"/>
    </font>
    <font>
      <b/>
      <sz val="30"/>
      <color rgb="FF000000"/>
      <name val="Garamond"/>
      <family val="1"/>
    </font>
    <font>
      <sz val="14"/>
      <color theme="1"/>
      <name val="Garamond"/>
      <family val="2"/>
    </font>
    <font>
      <b/>
      <sz val="12"/>
      <color rgb="FFFF0000"/>
      <name val="Arial"/>
      <family val="2"/>
    </font>
    <font>
      <b/>
      <sz val="12"/>
      <color theme="1"/>
      <name val="Garamond"/>
      <family val="1"/>
    </font>
    <font>
      <u/>
      <sz val="10"/>
      <color indexed="12"/>
      <name val="Arial"/>
      <family val="2"/>
    </font>
    <font>
      <sz val="10"/>
      <name val="Arial Narrow"/>
      <family val="2"/>
    </font>
    <font>
      <b/>
      <sz val="10"/>
      <name val="Arial Narrow"/>
      <family val="2"/>
    </font>
    <font>
      <vertAlign val="superscript"/>
      <sz val="10"/>
      <name val="Arial Narrow"/>
      <family val="2"/>
    </font>
    <font>
      <sz val="12"/>
      <color rgb="FFFF0000"/>
      <name val="Calibri"/>
      <family val="2"/>
      <scheme val="minor"/>
    </font>
    <font>
      <b/>
      <sz val="18"/>
      <color theme="1"/>
      <name val="Garamond"/>
      <family val="1"/>
    </font>
    <font>
      <sz val="18"/>
      <color theme="1"/>
      <name val="Calibri"/>
      <family val="2"/>
      <scheme val="minor"/>
    </font>
    <font>
      <sz val="18"/>
      <color theme="1"/>
      <name val="Garamond"/>
      <family val="1"/>
    </font>
    <font>
      <sz val="18"/>
      <color theme="1"/>
      <name val="Garamond"/>
      <family val="2"/>
    </font>
    <font>
      <b/>
      <sz val="10"/>
      <name val="Garamond"/>
      <family val="1"/>
    </font>
  </fonts>
  <fills count="7">
    <fill>
      <patternFill patternType="none"/>
    </fill>
    <fill>
      <patternFill patternType="gray125"/>
    </fill>
    <fill>
      <patternFill patternType="solid">
        <fgColor rgb="FFEEEEEE"/>
      </patternFill>
    </fill>
    <fill>
      <patternFill patternType="solid">
        <fgColor theme="0"/>
        <bgColor indexed="64"/>
      </patternFill>
    </fill>
    <fill>
      <patternFill patternType="solid">
        <fgColor rgb="FFE6E9F5"/>
      </patternFill>
    </fill>
    <fill>
      <patternFill patternType="solid">
        <fgColor rgb="FFFFFF00"/>
        <bgColor indexed="64"/>
      </patternFill>
    </fill>
    <fill>
      <patternFill patternType="solid">
        <fgColor theme="4" tint="0.39997558519241921"/>
        <bgColor indexed="64"/>
      </patternFill>
    </fill>
  </fills>
  <borders count="82">
    <border>
      <left/>
      <right/>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medium">
        <color auto="1"/>
      </left>
      <right/>
      <top style="medium">
        <color auto="1"/>
      </top>
      <bottom style="thin">
        <color auto="1"/>
      </bottom>
      <diagonal/>
    </border>
    <border>
      <left/>
      <right/>
      <top style="medium">
        <color auto="1"/>
      </top>
      <bottom style="thin">
        <color auto="1"/>
      </bottom>
      <diagonal/>
    </border>
    <border>
      <left/>
      <right/>
      <top style="medium">
        <color auto="1"/>
      </top>
      <bottom/>
      <diagonal/>
    </border>
    <border>
      <left style="medium">
        <color auto="1"/>
      </left>
      <right/>
      <top/>
      <bottom/>
      <diagonal/>
    </border>
    <border>
      <left style="thin">
        <color auto="1"/>
      </left>
      <right/>
      <top/>
      <bottom/>
      <diagonal/>
    </border>
    <border>
      <left style="medium">
        <color auto="1"/>
      </left>
      <right style="thin">
        <color auto="1"/>
      </right>
      <top/>
      <bottom/>
      <diagonal/>
    </border>
    <border>
      <left style="thick">
        <color auto="1"/>
      </left>
      <right/>
      <top/>
      <bottom style="thick">
        <color auto="1"/>
      </bottom>
      <diagonal/>
    </border>
    <border>
      <left style="medium">
        <color auto="1"/>
      </left>
      <right/>
      <top/>
      <bottom style="thick">
        <color auto="1"/>
      </bottom>
      <diagonal/>
    </border>
    <border>
      <left/>
      <right/>
      <top/>
      <bottom style="thick">
        <color auto="1"/>
      </bottom>
      <diagonal/>
    </border>
    <border>
      <left style="thin">
        <color auto="1"/>
      </left>
      <right/>
      <top/>
      <bottom style="thick">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bottom/>
      <diagonal/>
    </border>
    <border>
      <left/>
      <right style="thick">
        <color auto="1"/>
      </right>
      <top/>
      <bottom style="thick">
        <color auto="1"/>
      </bottom>
      <diagonal/>
    </border>
    <border>
      <left/>
      <right style="medium">
        <color auto="1"/>
      </right>
      <top/>
      <bottom/>
      <diagonal/>
    </border>
    <border>
      <left style="medium">
        <color auto="1"/>
      </left>
      <right style="thin">
        <color auto="1"/>
      </right>
      <top/>
      <bottom style="thick">
        <color auto="1"/>
      </bottom>
      <diagonal/>
    </border>
    <border>
      <left style="medium">
        <color auto="1"/>
      </left>
      <right/>
      <top/>
      <bottom style="thin">
        <color indexed="64"/>
      </bottom>
      <diagonal/>
    </border>
    <border>
      <left/>
      <right/>
      <top/>
      <bottom style="thin">
        <color indexed="64"/>
      </bottom>
      <diagonal/>
    </border>
    <border>
      <left style="medium">
        <color indexed="64"/>
      </left>
      <right style="thin">
        <color indexed="64"/>
      </right>
      <top/>
      <bottom style="thin">
        <color indexed="64"/>
      </bottom>
      <diagonal/>
    </border>
    <border>
      <left style="thick">
        <color auto="1"/>
      </left>
      <right/>
      <top/>
      <bottom style="thin">
        <color indexed="64"/>
      </bottom>
      <diagonal/>
    </border>
    <border>
      <left/>
      <right style="thin">
        <color auto="1"/>
      </right>
      <top/>
      <bottom style="thin">
        <color indexed="64"/>
      </bottom>
      <diagonal/>
    </border>
    <border>
      <left style="thin">
        <color indexed="64"/>
      </left>
      <right/>
      <top/>
      <bottom style="thin">
        <color auto="1"/>
      </bottom>
      <diagonal/>
    </border>
    <border>
      <left style="thin">
        <color auto="1"/>
      </left>
      <right style="medium">
        <color indexed="64"/>
      </right>
      <top/>
      <bottom/>
      <diagonal/>
    </border>
    <border>
      <left/>
      <right style="thick">
        <color auto="1"/>
      </right>
      <top/>
      <bottom style="thin">
        <color auto="1"/>
      </bottom>
      <diagonal/>
    </border>
    <border>
      <left/>
      <right/>
      <top style="thin">
        <color rgb="FFFFFFFF"/>
      </top>
      <bottom style="thin">
        <color rgb="FFFFFFFF"/>
      </bottom>
      <diagonal/>
    </border>
    <border>
      <left/>
      <right/>
      <top/>
      <bottom style="double">
        <color indexed="64"/>
      </bottom>
      <diagonal/>
    </border>
    <border>
      <left/>
      <right/>
      <top style="double">
        <color indexed="64"/>
      </top>
      <bottom style="thin">
        <color indexed="64"/>
      </bottom>
      <diagonal/>
    </border>
    <border>
      <left/>
      <right style="thin">
        <color indexed="64"/>
      </right>
      <top/>
      <bottom style="double">
        <color indexed="64"/>
      </bottom>
      <diagonal/>
    </border>
    <border>
      <left style="thick">
        <color auto="1"/>
      </left>
      <right/>
      <top/>
      <bottom style="dashed">
        <color auto="1"/>
      </bottom>
      <diagonal/>
    </border>
    <border>
      <left style="medium">
        <color auto="1"/>
      </left>
      <right/>
      <top/>
      <bottom style="dashed">
        <color auto="1"/>
      </bottom>
      <diagonal/>
    </border>
    <border>
      <left/>
      <right/>
      <top/>
      <bottom style="dashed">
        <color auto="1"/>
      </bottom>
      <diagonal/>
    </border>
    <border>
      <left/>
      <right style="thick">
        <color auto="1"/>
      </right>
      <top/>
      <bottom style="dashed">
        <color auto="1"/>
      </bottom>
      <diagonal/>
    </border>
    <border>
      <left style="thick">
        <color auto="1"/>
      </left>
      <right/>
      <top style="dashed">
        <color auto="1"/>
      </top>
      <bottom/>
      <diagonal/>
    </border>
    <border>
      <left style="medium">
        <color auto="1"/>
      </left>
      <right/>
      <top style="dashed">
        <color auto="1"/>
      </top>
      <bottom/>
      <diagonal/>
    </border>
    <border>
      <left/>
      <right/>
      <top style="dashed">
        <color auto="1"/>
      </top>
      <bottom/>
      <diagonal/>
    </border>
    <border>
      <left/>
      <right style="thick">
        <color auto="1"/>
      </right>
      <top style="dashed">
        <color auto="1"/>
      </top>
      <bottom/>
      <diagonal/>
    </border>
    <border>
      <left style="medium">
        <color auto="1"/>
      </left>
      <right/>
      <top style="thin">
        <color auto="1"/>
      </top>
      <bottom/>
      <diagonal/>
    </border>
    <border>
      <left style="thin">
        <color indexed="64"/>
      </left>
      <right/>
      <top style="thin">
        <color auto="1"/>
      </top>
      <bottom/>
      <diagonal/>
    </border>
    <border>
      <left/>
      <right/>
      <top style="thin">
        <color auto="1"/>
      </top>
      <bottom/>
      <diagonal/>
    </border>
    <border>
      <left/>
      <right style="medium">
        <color auto="1"/>
      </right>
      <top style="thin">
        <color auto="1"/>
      </top>
      <bottom/>
      <diagonal/>
    </border>
    <border>
      <left style="thin">
        <color indexed="64"/>
      </left>
      <right style="medium">
        <color indexed="64"/>
      </right>
      <top style="thin">
        <color indexed="64"/>
      </top>
      <bottom/>
      <diagonal/>
    </border>
    <border>
      <left style="medium">
        <color indexed="64"/>
      </left>
      <right/>
      <top style="thin">
        <color auto="1"/>
      </top>
      <bottom style="medium">
        <color indexed="64"/>
      </bottom>
      <diagonal/>
    </border>
    <border>
      <left style="thin">
        <color indexed="64"/>
      </left>
      <right/>
      <top style="thin">
        <color indexed="64"/>
      </top>
      <bottom style="medium">
        <color auto="1"/>
      </bottom>
      <diagonal/>
    </border>
    <border>
      <left/>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style="thick">
        <color auto="1"/>
      </left>
      <right/>
      <top style="thin">
        <color auto="1"/>
      </top>
      <bottom/>
      <diagonal/>
    </border>
    <border>
      <left/>
      <right style="thick">
        <color auto="1"/>
      </right>
      <top style="thin">
        <color auto="1"/>
      </top>
      <bottom/>
      <diagonal/>
    </border>
    <border>
      <left/>
      <right style="thin">
        <color auto="1"/>
      </right>
      <top style="thin">
        <color auto="1"/>
      </top>
      <bottom/>
      <diagonal/>
    </border>
    <border>
      <left/>
      <right style="thin">
        <color rgb="FFBBBBBB"/>
      </right>
      <top style="thin">
        <color rgb="FFFFFFFF"/>
      </top>
      <bottom/>
      <diagonal/>
    </border>
    <border>
      <left/>
      <right style="thin">
        <color rgb="FFBBBBBB"/>
      </right>
      <top style="thin">
        <color rgb="FFFFFFFF"/>
      </top>
      <bottom style="thin">
        <color rgb="FFFFFFFF"/>
      </bottom>
      <diagonal/>
    </border>
    <border>
      <left/>
      <right style="thin">
        <color rgb="FFBBBBBB"/>
      </right>
      <top style="thin">
        <color rgb="FFBBBBBB"/>
      </top>
      <bottom style="thin">
        <color rgb="FFFFFFFF"/>
      </bottom>
      <diagonal/>
    </border>
    <border>
      <left style="thin">
        <color rgb="FFFFFFFF"/>
      </left>
      <right/>
      <top/>
      <bottom style="thin">
        <color rgb="FFBBBBBB"/>
      </bottom>
      <diagonal/>
    </border>
    <border>
      <left style="thin">
        <color rgb="FFFFFFFF"/>
      </left>
      <right style="thin">
        <color rgb="FFFFFFFF"/>
      </right>
      <top/>
      <bottom style="thin">
        <color rgb="FFBBBBBB"/>
      </bottom>
      <diagonal/>
    </border>
    <border>
      <left style="thin">
        <color rgb="FFBBBBBB"/>
      </left>
      <right style="thin">
        <color rgb="FFFFFFFF"/>
      </right>
      <top/>
      <bottom style="thin">
        <color rgb="FFBBBBBB"/>
      </bottom>
      <diagonal/>
    </border>
    <border>
      <left/>
      <right style="thin">
        <color rgb="FFBBBBBB"/>
      </right>
      <top/>
      <bottom style="thin">
        <color rgb="FFBBBBBB"/>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right style="medium">
        <color auto="1"/>
      </right>
      <top style="medium">
        <color auto="1"/>
      </top>
      <bottom style="thin">
        <color auto="1"/>
      </bottom>
      <diagonal/>
    </border>
    <border>
      <left/>
      <right/>
      <top style="thin">
        <color indexed="64"/>
      </top>
      <bottom style="double">
        <color indexed="64"/>
      </bottom>
      <diagonal/>
    </border>
    <border>
      <left style="thin">
        <color indexed="64"/>
      </left>
      <right/>
      <top/>
      <bottom style="double">
        <color indexed="64"/>
      </bottom>
      <diagonal/>
    </border>
    <border>
      <left style="thin">
        <color indexed="8"/>
      </left>
      <right style="thin">
        <color indexed="8"/>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64"/>
      </bottom>
      <diagonal/>
    </border>
    <border>
      <left style="thin">
        <color indexed="8"/>
      </left>
      <right/>
      <top/>
      <bottom/>
      <diagonal/>
    </border>
    <border>
      <left/>
      <right/>
      <top/>
      <bottom style="thin">
        <color indexed="64"/>
      </bottom>
      <diagonal/>
    </border>
  </borders>
  <cellStyleXfs count="41">
    <xf numFmtId="0" fontId="0" fillId="0" borderId="0"/>
    <xf numFmtId="9" fontId="13" fillId="0" borderId="0" applyFont="0" applyFill="0" applyBorder="0" applyAlignment="0" applyProtection="0"/>
    <xf numFmtId="0" fontId="14" fillId="0" borderId="0"/>
    <xf numFmtId="0" fontId="14" fillId="0" borderId="0"/>
    <xf numFmtId="0" fontId="13" fillId="0" borderId="0"/>
    <xf numFmtId="164" fontId="12" fillId="0" borderId="0" applyFont="0" applyFill="0" applyBorder="0" applyAlignment="0" applyProtection="0"/>
    <xf numFmtId="0" fontId="20" fillId="0" borderId="0"/>
    <xf numFmtId="0" fontId="12" fillId="0" borderId="0"/>
    <xf numFmtId="9" fontId="18" fillId="0" borderId="0" applyFont="0" applyFill="0" applyBorder="0" applyAlignment="0" applyProtection="0"/>
    <xf numFmtId="164" fontId="18" fillId="0" borderId="0" applyFont="0" applyFill="0" applyBorder="0" applyAlignment="0" applyProtection="0"/>
    <xf numFmtId="0" fontId="29" fillId="0" borderId="0"/>
    <xf numFmtId="9" fontId="29" fillId="0" borderId="0" applyFont="0" applyFill="0" applyBorder="0" applyAlignment="0" applyProtection="0"/>
    <xf numFmtId="9" fontId="12" fillId="0" borderId="0" applyFont="0" applyFill="0" applyBorder="0" applyAlignment="0" applyProtection="0"/>
    <xf numFmtId="0" fontId="11" fillId="0" borderId="0"/>
    <xf numFmtId="0" fontId="10" fillId="0" borderId="0"/>
    <xf numFmtId="0" fontId="30" fillId="0" borderId="0"/>
    <xf numFmtId="0" fontId="9" fillId="0" borderId="0"/>
    <xf numFmtId="0" fontId="31" fillId="0" borderId="0" applyNumberFormat="0" applyFill="0" applyBorder="0" applyAlignment="0" applyProtection="0"/>
    <xf numFmtId="0" fontId="14" fillId="0" borderId="0"/>
    <xf numFmtId="43" fontId="14" fillId="0" borderId="0" applyFont="0" applyFill="0" applyBorder="0" applyAlignment="0" applyProtection="0"/>
    <xf numFmtId="164" fontId="9" fillId="0" borderId="0" applyFont="0" applyFill="0" applyBorder="0" applyAlignment="0" applyProtection="0"/>
    <xf numFmtId="0" fontId="32" fillId="0" borderId="0"/>
    <xf numFmtId="0" fontId="8" fillId="0" borderId="0"/>
    <xf numFmtId="0" fontId="18" fillId="0" borderId="0"/>
    <xf numFmtId="0" fontId="7" fillId="0" borderId="0"/>
    <xf numFmtId="0" fontId="7" fillId="0" borderId="0"/>
    <xf numFmtId="9" fontId="8" fillId="0" borderId="0" applyFont="0" applyFill="0" applyBorder="0" applyAlignment="0" applyProtection="0"/>
    <xf numFmtId="0" fontId="28" fillId="0" borderId="0"/>
    <xf numFmtId="0" fontId="6" fillId="0" borderId="0"/>
    <xf numFmtId="9" fontId="28" fillId="0" borderId="0" applyFont="0" applyFill="0" applyBorder="0" applyAlignment="0" applyProtection="0"/>
    <xf numFmtId="0" fontId="42" fillId="0" borderId="0" applyNumberFormat="0" applyFill="0" applyBorder="0" applyAlignment="0" applyProtection="0"/>
    <xf numFmtId="0" fontId="5" fillId="0" borderId="0"/>
    <xf numFmtId="9" fontId="5" fillId="0" borderId="0" applyFont="0" applyFill="0" applyBorder="0" applyAlignment="0" applyProtection="0"/>
    <xf numFmtId="0" fontId="18" fillId="0" borderId="0"/>
    <xf numFmtId="0" fontId="23" fillId="0" borderId="0"/>
    <xf numFmtId="9" fontId="23" fillId="0" borderId="0" applyFont="0" applyFill="0" applyBorder="0" applyAlignment="0" applyProtection="0"/>
    <xf numFmtId="0" fontId="21" fillId="0" borderId="0"/>
    <xf numFmtId="9" fontId="4" fillId="0" borderId="0" applyFont="0" applyFill="0" applyBorder="0" applyAlignment="0" applyProtection="0"/>
    <xf numFmtId="0" fontId="24" fillId="0" borderId="0"/>
    <xf numFmtId="9" fontId="24" fillId="0" borderId="0" applyFont="0" applyFill="0" applyBorder="0" applyAlignment="0" applyProtection="0"/>
    <xf numFmtId="0" fontId="90" fillId="0" borderId="0" applyNumberFormat="0" applyFill="0" applyBorder="0" applyAlignment="0" applyProtection="0">
      <alignment vertical="top"/>
      <protection locked="0"/>
    </xf>
  </cellStyleXfs>
  <cellXfs count="632">
    <xf numFmtId="0" fontId="0" fillId="0" borderId="0" xfId="0"/>
    <xf numFmtId="0" fontId="14" fillId="0" borderId="0" xfId="2"/>
    <xf numFmtId="0" fontId="14" fillId="0" borderId="0" xfId="3" applyAlignment="1">
      <alignment horizontal="center"/>
    </xf>
    <xf numFmtId="165" fontId="16" fillId="0" borderId="0" xfId="2" applyNumberFormat="1" applyFont="1" applyAlignment="1">
      <alignment horizontal="center" vertical="center"/>
    </xf>
    <xf numFmtId="165" fontId="16" fillId="0" borderId="10" xfId="2" applyNumberFormat="1" applyFont="1" applyBorder="1" applyAlignment="1">
      <alignment horizontal="center" vertical="center"/>
    </xf>
    <xf numFmtId="0" fontId="16" fillId="0" borderId="0" xfId="2" applyFont="1" applyAlignment="1">
      <alignment horizontal="center" vertical="center"/>
    </xf>
    <xf numFmtId="0" fontId="16" fillId="0" borderId="10" xfId="2" applyFont="1" applyBorder="1" applyAlignment="1">
      <alignment horizontal="center" vertical="center"/>
    </xf>
    <xf numFmtId="0" fontId="14" fillId="0" borderId="0" xfId="2" applyAlignment="1">
      <alignment vertical="center"/>
    </xf>
    <xf numFmtId="0" fontId="15" fillId="0" borderId="0" xfId="2" applyFont="1" applyAlignment="1">
      <alignment horizontal="center"/>
    </xf>
    <xf numFmtId="0" fontId="16" fillId="0" borderId="9" xfId="2" applyFont="1" applyBorder="1"/>
    <xf numFmtId="0" fontId="15" fillId="0" borderId="23" xfId="2" applyFont="1" applyBorder="1" applyAlignment="1">
      <alignment horizontal="center"/>
    </xf>
    <xf numFmtId="0" fontId="14" fillId="0" borderId="23" xfId="3" applyBorder="1" applyAlignment="1">
      <alignment horizontal="center"/>
    </xf>
    <xf numFmtId="0" fontId="16" fillId="0" borderId="26" xfId="2" applyFont="1" applyBorder="1" applyAlignment="1">
      <alignment horizontal="center" vertical="center" wrapText="1"/>
    </xf>
    <xf numFmtId="0" fontId="17" fillId="0" borderId="31" xfId="2" applyFont="1" applyBorder="1" applyAlignment="1">
      <alignment horizontal="center" vertical="center" wrapText="1"/>
    </xf>
    <xf numFmtId="0" fontId="16" fillId="0" borderId="9" xfId="2" applyFont="1" applyBorder="1" applyAlignment="1">
      <alignment vertical="center"/>
    </xf>
    <xf numFmtId="165" fontId="17" fillId="0" borderId="31" xfId="2" applyNumberFormat="1" applyFont="1" applyBorder="1" applyAlignment="1">
      <alignment horizontal="center" vertical="center"/>
    </xf>
    <xf numFmtId="0" fontId="17" fillId="0" borderId="31" xfId="2" applyFont="1" applyBorder="1" applyAlignment="1">
      <alignment horizontal="center" vertical="center"/>
    </xf>
    <xf numFmtId="0" fontId="23" fillId="0" borderId="0" xfId="23" applyFont="1"/>
    <xf numFmtId="0" fontId="19" fillId="0" borderId="0" xfId="23" applyFont="1"/>
    <xf numFmtId="3" fontId="19" fillId="0" borderId="22" xfId="23" applyNumberFormat="1" applyFont="1" applyBorder="1" applyAlignment="1">
      <alignment horizontal="center" vertical="center" wrapText="1"/>
    </xf>
    <xf numFmtId="3" fontId="19" fillId="0" borderId="15" xfId="23" applyNumberFormat="1" applyFont="1" applyBorder="1" applyAlignment="1">
      <alignment horizontal="center" vertical="center" wrapText="1"/>
    </xf>
    <xf numFmtId="3" fontId="19" fillId="0" borderId="14" xfId="23" applyNumberFormat="1" applyFont="1" applyBorder="1" applyAlignment="1">
      <alignment horizontal="center" vertical="center" wrapText="1"/>
    </xf>
    <xf numFmtId="3" fontId="19" fillId="0" borderId="13" xfId="23" applyNumberFormat="1" applyFont="1" applyBorder="1" applyAlignment="1">
      <alignment horizontal="center" vertical="center" wrapText="1"/>
    </xf>
    <xf numFmtId="3" fontId="19" fillId="0" borderId="24" xfId="9" applyNumberFormat="1" applyFont="1" applyBorder="1" applyAlignment="1">
      <alignment horizontal="center" vertical="center"/>
    </xf>
    <xf numFmtId="0" fontId="24" fillId="0" borderId="0" xfId="23" applyFont="1" applyAlignment="1">
      <alignment horizontal="center" vertical="center"/>
    </xf>
    <xf numFmtId="3" fontId="19" fillId="0" borderId="5" xfId="23" applyNumberFormat="1" applyFont="1" applyBorder="1" applyAlignment="1">
      <alignment horizontal="center" vertical="center"/>
    </xf>
    <xf numFmtId="3" fontId="19" fillId="0" borderId="0" xfId="23" applyNumberFormat="1" applyFont="1" applyAlignment="1">
      <alignment horizontal="center" vertical="center"/>
    </xf>
    <xf numFmtId="3" fontId="19" fillId="0" borderId="9" xfId="23" applyNumberFormat="1" applyFont="1" applyBorder="1" applyAlignment="1">
      <alignment horizontal="center" vertical="center"/>
    </xf>
    <xf numFmtId="3" fontId="19" fillId="0" borderId="11" xfId="9" applyNumberFormat="1" applyFont="1" applyBorder="1" applyAlignment="1">
      <alignment horizontal="center" vertical="center"/>
    </xf>
    <xf numFmtId="3" fontId="19" fillId="0" borderId="10" xfId="23" applyNumberFormat="1" applyFont="1" applyBorder="1" applyAlignment="1">
      <alignment horizontal="center" vertical="center"/>
    </xf>
    <xf numFmtId="0" fontId="19" fillId="0" borderId="4" xfId="23" applyFont="1" applyBorder="1" applyAlignment="1">
      <alignment horizontal="center" vertical="center"/>
    </xf>
    <xf numFmtId="3" fontId="19" fillId="0" borderId="32" xfId="23" applyNumberFormat="1" applyFont="1" applyBorder="1" applyAlignment="1">
      <alignment horizontal="center" vertical="center" wrapText="1"/>
    </xf>
    <xf numFmtId="3" fontId="19" fillId="0" borderId="30" xfId="23" applyNumberFormat="1" applyFont="1" applyBorder="1" applyAlignment="1">
      <alignment horizontal="center" vertical="center" wrapText="1"/>
    </xf>
    <xf numFmtId="3" fontId="19" fillId="0" borderId="25" xfId="23" applyNumberFormat="1" applyFont="1" applyBorder="1" applyAlignment="1">
      <alignment horizontal="center" vertical="center"/>
    </xf>
    <xf numFmtId="3" fontId="23" fillId="0" borderId="0" xfId="9" applyNumberFormat="1" applyFont="1" applyBorder="1" applyAlignment="1">
      <alignment horizontal="center" vertical="center"/>
    </xf>
    <xf numFmtId="3" fontId="19" fillId="0" borderId="27" xfId="23" applyNumberFormat="1" applyFont="1" applyBorder="1" applyAlignment="1">
      <alignment horizontal="center" vertical="center" wrapText="1"/>
    </xf>
    <xf numFmtId="3" fontId="19" fillId="0" borderId="27" xfId="9" applyNumberFormat="1" applyFont="1" applyBorder="1" applyAlignment="1">
      <alignment horizontal="center" vertical="center"/>
    </xf>
    <xf numFmtId="0" fontId="19" fillId="0" borderId="28" xfId="23" applyFont="1" applyBorder="1" applyAlignment="1">
      <alignment horizontal="center" vertical="center"/>
    </xf>
    <xf numFmtId="3" fontId="23" fillId="0" borderId="5" xfId="23" applyNumberFormat="1" applyFont="1" applyBorder="1" applyAlignment="1">
      <alignment horizontal="center" vertical="center" wrapText="1"/>
    </xf>
    <xf numFmtId="3" fontId="23" fillId="0" borderId="0" xfId="23" applyNumberFormat="1" applyFont="1" applyAlignment="1">
      <alignment horizontal="center" vertical="center" wrapText="1"/>
    </xf>
    <xf numFmtId="3" fontId="23" fillId="0" borderId="0" xfId="23" applyNumberFormat="1" applyFont="1" applyAlignment="1">
      <alignment horizontal="center"/>
    </xf>
    <xf numFmtId="3" fontId="19" fillId="0" borderId="11" xfId="23" applyNumberFormat="1" applyFont="1" applyBorder="1" applyAlignment="1">
      <alignment horizontal="center" vertical="center" wrapText="1"/>
    </xf>
    <xf numFmtId="3" fontId="23" fillId="0" borderId="11" xfId="23" applyNumberFormat="1" applyFont="1" applyBorder="1" applyAlignment="1">
      <alignment horizontal="center"/>
    </xf>
    <xf numFmtId="0" fontId="23" fillId="0" borderId="4" xfId="23" applyFont="1" applyBorder="1"/>
    <xf numFmtId="0" fontId="25" fillId="0" borderId="4" xfId="23" applyFont="1" applyBorder="1"/>
    <xf numFmtId="3" fontId="19" fillId="0" borderId="5" xfId="23" applyNumberFormat="1" applyFont="1" applyBorder="1" applyAlignment="1">
      <alignment horizontal="center" vertical="center" wrapText="1"/>
    </xf>
    <xf numFmtId="3" fontId="19" fillId="0" borderId="0" xfId="23" applyNumberFormat="1" applyFont="1" applyAlignment="1">
      <alignment horizontal="center" vertical="center" wrapText="1"/>
    </xf>
    <xf numFmtId="3" fontId="19" fillId="0" borderId="11" xfId="23" applyNumberFormat="1" applyFont="1" applyBorder="1" applyAlignment="1">
      <alignment horizontal="center" vertical="center"/>
    </xf>
    <xf numFmtId="3" fontId="19" fillId="0" borderId="9" xfId="23" applyNumberFormat="1" applyFont="1" applyBorder="1" applyAlignment="1">
      <alignment horizontal="center" vertical="center" wrapText="1"/>
    </xf>
    <xf numFmtId="0" fontId="19" fillId="0" borderId="4" xfId="23" applyFont="1" applyBorder="1" applyAlignment="1">
      <alignment horizontal="center" vertical="center" wrapText="1"/>
    </xf>
    <xf numFmtId="3" fontId="19" fillId="0" borderId="11" xfId="9" applyNumberFormat="1" applyFont="1" applyBorder="1" applyAlignment="1">
      <alignment horizontal="center"/>
    </xf>
    <xf numFmtId="0" fontId="16" fillId="0" borderId="4" xfId="23" applyFont="1" applyBorder="1"/>
    <xf numFmtId="0" fontId="23" fillId="0" borderId="5" xfId="23" applyFont="1" applyBorder="1" applyAlignment="1">
      <alignment horizontal="center" vertical="center" wrapText="1"/>
    </xf>
    <xf numFmtId="0" fontId="23" fillId="0" borderId="0" xfId="23" applyFont="1" applyAlignment="1">
      <alignment horizontal="center" vertical="center" wrapText="1"/>
    </xf>
    <xf numFmtId="0" fontId="24" fillId="0" borderId="5" xfId="23" applyFont="1" applyBorder="1" applyAlignment="1">
      <alignment horizontal="center"/>
    </xf>
    <xf numFmtId="0" fontId="27" fillId="0" borderId="4" xfId="23" applyFont="1" applyBorder="1" applyAlignment="1">
      <alignment horizontal="center" vertical="center"/>
    </xf>
    <xf numFmtId="0" fontId="19" fillId="0" borderId="12" xfId="23" applyFont="1" applyBorder="1" applyAlignment="1">
      <alignment vertical="center"/>
    </xf>
    <xf numFmtId="0" fontId="33" fillId="2" borderId="33" xfId="23" applyFont="1" applyFill="1" applyBorder="1" applyAlignment="1" applyProtection="1">
      <alignment horizontal="left" vertical="center" wrapText="1"/>
      <protection locked="0"/>
    </xf>
    <xf numFmtId="3" fontId="16" fillId="0" borderId="5" xfId="23" applyNumberFormat="1" applyFont="1" applyBorder="1" applyAlignment="1">
      <alignment horizontal="center" vertical="center" wrapText="1"/>
    </xf>
    <xf numFmtId="0" fontId="0" fillId="3" borderId="0" xfId="0" applyFill="1"/>
    <xf numFmtId="0" fontId="28" fillId="3" borderId="0" xfId="22" applyFont="1" applyFill="1"/>
    <xf numFmtId="0" fontId="28" fillId="3" borderId="0" xfId="22" applyFont="1" applyFill="1" applyAlignment="1">
      <alignment horizontal="center" vertical="center" wrapText="1"/>
    </xf>
    <xf numFmtId="0" fontId="34" fillId="3" borderId="0" xfId="22" applyFont="1" applyFill="1"/>
    <xf numFmtId="9" fontId="34" fillId="3" borderId="0" xfId="1" applyFont="1" applyFill="1" applyBorder="1" applyAlignment="1">
      <alignment horizontal="center"/>
    </xf>
    <xf numFmtId="0" fontId="35" fillId="3" borderId="0" xfId="22" applyFont="1" applyFill="1" applyAlignment="1">
      <alignment vertical="center"/>
    </xf>
    <xf numFmtId="0" fontId="39" fillId="3" borderId="0" xfId="22" applyFont="1" applyFill="1"/>
    <xf numFmtId="9" fontId="23" fillId="0" borderId="0" xfId="1" applyFont="1"/>
    <xf numFmtId="9" fontId="24" fillId="0" borderId="0" xfId="1" applyFont="1" applyBorder="1" applyAlignment="1">
      <alignment horizontal="center"/>
    </xf>
    <xf numFmtId="0" fontId="38" fillId="3" borderId="0" xfId="0" applyFont="1" applyFill="1"/>
    <xf numFmtId="0" fontId="41" fillId="3" borderId="0" xfId="0" applyFont="1" applyFill="1"/>
    <xf numFmtId="0" fontId="42" fillId="3" borderId="0" xfId="30" applyFill="1"/>
    <xf numFmtId="0" fontId="40" fillId="3" borderId="0" xfId="0" applyFont="1" applyFill="1"/>
    <xf numFmtId="0" fontId="34" fillId="3" borderId="26" xfId="22" applyFont="1" applyFill="1" applyBorder="1"/>
    <xf numFmtId="165" fontId="34" fillId="3" borderId="26" xfId="22" applyNumberFormat="1" applyFont="1" applyFill="1" applyBorder="1" applyAlignment="1">
      <alignment horizontal="center"/>
    </xf>
    <xf numFmtId="9" fontId="34" fillId="3" borderId="26" xfId="1" applyFont="1" applyFill="1" applyBorder="1" applyAlignment="1">
      <alignment horizontal="center"/>
    </xf>
    <xf numFmtId="9" fontId="34" fillId="3" borderId="26" xfId="0" applyNumberFormat="1" applyFont="1" applyFill="1" applyBorder="1" applyAlignment="1">
      <alignment horizontal="center"/>
    </xf>
    <xf numFmtId="165" fontId="34" fillId="3" borderId="0" xfId="22" applyNumberFormat="1" applyFont="1" applyFill="1" applyAlignment="1">
      <alignment horizontal="center"/>
    </xf>
    <xf numFmtId="0" fontId="5" fillId="0" borderId="0" xfId="31"/>
    <xf numFmtId="49" fontId="5" fillId="0" borderId="0" xfId="31" applyNumberFormat="1"/>
    <xf numFmtId="0" fontId="5" fillId="3" borderId="34" xfId="31" applyFill="1" applyBorder="1"/>
    <xf numFmtId="0" fontId="5" fillId="3" borderId="0" xfId="31" applyFill="1"/>
    <xf numFmtId="0" fontId="43" fillId="3" borderId="26" xfId="31" applyFont="1" applyFill="1" applyBorder="1" applyAlignment="1">
      <alignment horizontal="left" vertical="center"/>
    </xf>
    <xf numFmtId="0" fontId="43" fillId="3" borderId="26" xfId="31" applyFont="1" applyFill="1" applyBorder="1" applyAlignment="1">
      <alignment horizontal="center" vertical="center"/>
    </xf>
    <xf numFmtId="0" fontId="43" fillId="3" borderId="29" xfId="31" applyFont="1" applyFill="1" applyBorder="1" applyAlignment="1">
      <alignment horizontal="center" vertical="center"/>
    </xf>
    <xf numFmtId="0" fontId="36" fillId="3" borderId="0" xfId="31" applyFont="1" applyFill="1" applyAlignment="1">
      <alignment horizontal="left" vertical="center"/>
    </xf>
    <xf numFmtId="3" fontId="36" fillId="3" borderId="0" xfId="31" applyNumberFormat="1" applyFont="1" applyFill="1" applyAlignment="1">
      <alignment horizontal="center" vertical="center"/>
    </xf>
    <xf numFmtId="3" fontId="36" fillId="3" borderId="21" xfId="31" applyNumberFormat="1" applyFont="1" applyFill="1" applyBorder="1" applyAlignment="1">
      <alignment horizontal="center" vertical="center"/>
    </xf>
    <xf numFmtId="9" fontId="37" fillId="3" borderId="0" xfId="32" applyFont="1" applyFill="1" applyBorder="1" applyAlignment="1">
      <alignment horizontal="center" vertical="center" wrapText="1"/>
    </xf>
    <xf numFmtId="0" fontId="45" fillId="3" borderId="0" xfId="31" quotePrefix="1" applyFont="1" applyFill="1" applyAlignment="1">
      <alignment horizontal="left" vertical="center"/>
    </xf>
    <xf numFmtId="3" fontId="45" fillId="3" borderId="0" xfId="31" applyNumberFormat="1" applyFont="1" applyFill="1" applyAlignment="1">
      <alignment horizontal="center" vertical="center"/>
    </xf>
    <xf numFmtId="3" fontId="45" fillId="3" borderId="21" xfId="31" applyNumberFormat="1" applyFont="1" applyFill="1" applyBorder="1" applyAlignment="1">
      <alignment horizontal="center" vertical="center"/>
    </xf>
    <xf numFmtId="1" fontId="36" fillId="3" borderId="21" xfId="31" applyNumberFormat="1" applyFont="1" applyFill="1" applyBorder="1" applyAlignment="1">
      <alignment horizontal="center" vertical="center"/>
    </xf>
    <xf numFmtId="167" fontId="36" fillId="3" borderId="21" xfId="32" applyNumberFormat="1" applyFont="1" applyFill="1" applyBorder="1" applyAlignment="1">
      <alignment horizontal="center" vertical="center"/>
    </xf>
    <xf numFmtId="1" fontId="36" fillId="3" borderId="0" xfId="31" applyNumberFormat="1" applyFont="1" applyFill="1" applyAlignment="1">
      <alignment horizontal="center" vertical="center"/>
    </xf>
    <xf numFmtId="0" fontId="36" fillId="3" borderId="34" xfId="31" applyFont="1" applyFill="1" applyBorder="1" applyAlignment="1">
      <alignment horizontal="left" vertical="center"/>
    </xf>
    <xf numFmtId="0" fontId="23" fillId="0" borderId="0" xfId="33" applyFont="1"/>
    <xf numFmtId="0" fontId="27" fillId="0" borderId="4" xfId="33" applyFont="1" applyBorder="1" applyAlignment="1">
      <alignment horizontal="center" vertical="center"/>
    </xf>
    <xf numFmtId="0" fontId="27" fillId="0" borderId="0" xfId="33" applyFont="1" applyAlignment="1">
      <alignment horizontal="center" vertical="center"/>
    </xf>
    <xf numFmtId="0" fontId="23" fillId="0" borderId="5" xfId="33" applyFont="1" applyBorder="1"/>
    <xf numFmtId="0" fontId="23" fillId="0" borderId="4" xfId="33" applyFont="1" applyBorder="1"/>
    <xf numFmtId="0" fontId="24" fillId="0" borderId="0" xfId="34" applyFont="1" applyAlignment="1">
      <alignment horizontal="center"/>
    </xf>
    <xf numFmtId="0" fontId="24" fillId="0" borderId="0" xfId="33" applyFont="1" applyAlignment="1">
      <alignment horizontal="center"/>
    </xf>
    <xf numFmtId="0" fontId="24" fillId="0" borderId="5" xfId="33" applyFont="1" applyBorder="1" applyAlignment="1">
      <alignment horizontal="center"/>
    </xf>
    <xf numFmtId="0" fontId="19" fillId="0" borderId="26" xfId="33" applyFont="1" applyBorder="1" applyAlignment="1">
      <alignment horizontal="center" vertical="center" wrapText="1"/>
    </xf>
    <xf numFmtId="0" fontId="23" fillId="0" borderId="26" xfId="33" applyFont="1" applyBorder="1" applyAlignment="1">
      <alignment vertical="center" wrapText="1"/>
    </xf>
    <xf numFmtId="0" fontId="23" fillId="0" borderId="26" xfId="33" applyFont="1" applyBorder="1" applyAlignment="1">
      <alignment horizontal="center" vertical="center" wrapText="1"/>
    </xf>
    <xf numFmtId="167" fontId="24" fillId="0" borderId="0" xfId="33" applyNumberFormat="1" applyFont="1"/>
    <xf numFmtId="9" fontId="23" fillId="0" borderId="0" xfId="33" applyNumberFormat="1" applyFont="1" applyAlignment="1">
      <alignment horizontal="center" vertical="center" wrapText="1"/>
    </xf>
    <xf numFmtId="0" fontId="23" fillId="0" borderId="4" xfId="33" applyFont="1" applyBorder="1" applyAlignment="1">
      <alignment horizontal="center"/>
    </xf>
    <xf numFmtId="9" fontId="17" fillId="0" borderId="9" xfId="35" applyFont="1" applyBorder="1" applyAlignment="1">
      <alignment horizontal="center" vertical="center" wrapText="1"/>
    </xf>
    <xf numFmtId="9" fontId="16" fillId="0" borderId="0" xfId="35" applyFont="1" applyBorder="1" applyAlignment="1">
      <alignment horizontal="center" vertical="center" wrapText="1"/>
    </xf>
    <xf numFmtId="9" fontId="23" fillId="0" borderId="0" xfId="35" applyFont="1" applyBorder="1" applyAlignment="1">
      <alignment horizontal="center" vertical="center"/>
    </xf>
    <xf numFmtId="3" fontId="23" fillId="0" borderId="9" xfId="35" applyNumberFormat="1" applyFont="1" applyBorder="1" applyAlignment="1">
      <alignment horizontal="center" vertical="center"/>
    </xf>
    <xf numFmtId="3" fontId="23" fillId="0" borderId="5" xfId="35" applyNumberFormat="1" applyFont="1" applyBorder="1" applyAlignment="1">
      <alignment horizontal="center" vertical="center"/>
    </xf>
    <xf numFmtId="0" fontId="23" fillId="0" borderId="37" xfId="33" applyFont="1" applyBorder="1" applyAlignment="1">
      <alignment horizontal="center"/>
    </xf>
    <xf numFmtId="9" fontId="17" fillId="0" borderId="38" xfId="35" applyFont="1" applyBorder="1" applyAlignment="1">
      <alignment horizontal="center" vertical="center" wrapText="1"/>
    </xf>
    <xf numFmtId="9" fontId="16" fillId="0" borderId="39" xfId="35" applyFont="1" applyBorder="1" applyAlignment="1">
      <alignment horizontal="center" vertical="center" wrapText="1"/>
    </xf>
    <xf numFmtId="9" fontId="23" fillId="0" borderId="39" xfId="35" applyFont="1" applyBorder="1" applyAlignment="1">
      <alignment horizontal="center" vertical="center"/>
    </xf>
    <xf numFmtId="3" fontId="23" fillId="0" borderId="38" xfId="35" applyNumberFormat="1" applyFont="1" applyBorder="1" applyAlignment="1">
      <alignment horizontal="center" vertical="center"/>
    </xf>
    <xf numFmtId="3" fontId="23" fillId="0" borderId="40" xfId="35" applyNumberFormat="1" applyFont="1" applyBorder="1" applyAlignment="1">
      <alignment horizontal="center" vertical="center"/>
    </xf>
    <xf numFmtId="0" fontId="23" fillId="0" borderId="41" xfId="33" applyFont="1" applyBorder="1" applyAlignment="1">
      <alignment horizontal="center"/>
    </xf>
    <xf numFmtId="9" fontId="17" fillId="0" borderId="42" xfId="35" applyFont="1" applyBorder="1" applyAlignment="1">
      <alignment horizontal="center" vertical="center" wrapText="1"/>
    </xf>
    <xf numFmtId="9" fontId="16" fillId="0" borderId="43" xfId="35" applyFont="1" applyBorder="1" applyAlignment="1">
      <alignment horizontal="center" vertical="center" wrapText="1"/>
    </xf>
    <xf numFmtId="9" fontId="23" fillId="0" borderId="43" xfId="35" applyFont="1" applyBorder="1" applyAlignment="1">
      <alignment horizontal="center" vertical="center"/>
    </xf>
    <xf numFmtId="3" fontId="23" fillId="0" borderId="42" xfId="35" applyNumberFormat="1" applyFont="1" applyBorder="1" applyAlignment="1">
      <alignment horizontal="center" vertical="center"/>
    </xf>
    <xf numFmtId="3" fontId="23" fillId="0" borderId="44" xfId="35" applyNumberFormat="1" applyFont="1" applyBorder="1" applyAlignment="1">
      <alignment horizontal="center" vertical="center"/>
    </xf>
    <xf numFmtId="9" fontId="23" fillId="0" borderId="0" xfId="32" applyFont="1"/>
    <xf numFmtId="9" fontId="23" fillId="0" borderId="0" xfId="35" applyFont="1" applyBorder="1" applyAlignment="1">
      <alignment horizontal="center"/>
    </xf>
    <xf numFmtId="9" fontId="23" fillId="0" borderId="39" xfId="35" applyFont="1" applyBorder="1" applyAlignment="1">
      <alignment horizontal="center"/>
    </xf>
    <xf numFmtId="0" fontId="19" fillId="0" borderId="0" xfId="33" applyFont="1"/>
    <xf numFmtId="0" fontId="23" fillId="0" borderId="9" xfId="33" applyFont="1" applyBorder="1"/>
    <xf numFmtId="0" fontId="19" fillId="0" borderId="23" xfId="33" applyFont="1" applyBorder="1"/>
    <xf numFmtId="0" fontId="23" fillId="0" borderId="18" xfId="33" applyFont="1" applyBorder="1"/>
    <xf numFmtId="0" fontId="23" fillId="0" borderId="19" xfId="33" applyFont="1" applyBorder="1"/>
    <xf numFmtId="0" fontId="19" fillId="0" borderId="19" xfId="33" applyFont="1" applyBorder="1"/>
    <xf numFmtId="0" fontId="19" fillId="0" borderId="20" xfId="33" applyFont="1" applyBorder="1"/>
    <xf numFmtId="0" fontId="23" fillId="0" borderId="0" xfId="34"/>
    <xf numFmtId="9" fontId="23" fillId="0" borderId="0" xfId="34" applyNumberFormat="1"/>
    <xf numFmtId="0" fontId="47" fillId="3" borderId="0" xfId="0" applyFont="1" applyFill="1"/>
    <xf numFmtId="0" fontId="22" fillId="0" borderId="0" xfId="33" applyFont="1"/>
    <xf numFmtId="1" fontId="36" fillId="3" borderId="21" xfId="32" applyNumberFormat="1" applyFont="1" applyFill="1" applyBorder="1" applyAlignment="1">
      <alignment horizontal="center" vertical="center"/>
    </xf>
    <xf numFmtId="9" fontId="36" fillId="3" borderId="21" xfId="1" applyFont="1" applyFill="1" applyBorder="1" applyAlignment="1">
      <alignment horizontal="center" vertical="center"/>
    </xf>
    <xf numFmtId="9" fontId="36" fillId="3" borderId="0" xfId="1" applyFont="1" applyFill="1" applyBorder="1" applyAlignment="1">
      <alignment horizontal="center" vertical="center"/>
    </xf>
    <xf numFmtId="167" fontId="36" fillId="3" borderId="0" xfId="1" applyNumberFormat="1" applyFont="1" applyFill="1" applyBorder="1" applyAlignment="1">
      <alignment horizontal="center" vertical="center" wrapText="1"/>
    </xf>
    <xf numFmtId="167" fontId="36" fillId="3" borderId="0" xfId="1" quotePrefix="1" applyNumberFormat="1" applyFont="1" applyFill="1" applyBorder="1" applyAlignment="1">
      <alignment horizontal="center" vertical="center" wrapText="1"/>
    </xf>
    <xf numFmtId="9" fontId="37" fillId="3" borderId="0" xfId="1" quotePrefix="1" applyFont="1" applyFill="1" applyBorder="1" applyAlignment="1">
      <alignment horizontal="center" vertical="center" wrapText="1"/>
    </xf>
    <xf numFmtId="9" fontId="36" fillId="3" borderId="0" xfId="1" applyFont="1" applyFill="1" applyBorder="1" applyAlignment="1">
      <alignment horizontal="left" vertical="center"/>
    </xf>
    <xf numFmtId="167" fontId="36" fillId="3" borderId="0" xfId="1" applyNumberFormat="1" applyFont="1" applyFill="1" applyBorder="1" applyAlignment="1">
      <alignment horizontal="center" vertical="center"/>
    </xf>
    <xf numFmtId="0" fontId="5" fillId="3" borderId="0" xfId="31" applyFill="1" applyAlignment="1">
      <alignment horizontal="center"/>
    </xf>
    <xf numFmtId="167" fontId="37" fillId="3" borderId="0" xfId="1" applyNumberFormat="1" applyFont="1" applyFill="1" applyBorder="1" applyAlignment="1">
      <alignment horizontal="center" vertical="center" wrapText="1"/>
    </xf>
    <xf numFmtId="0" fontId="37" fillId="3" borderId="0" xfId="31" applyFont="1" applyFill="1" applyAlignment="1">
      <alignment horizontal="left" vertical="center"/>
    </xf>
    <xf numFmtId="167" fontId="37" fillId="3" borderId="0" xfId="1" applyNumberFormat="1" applyFont="1" applyFill="1" applyBorder="1" applyAlignment="1">
      <alignment horizontal="center" vertical="center"/>
    </xf>
    <xf numFmtId="167" fontId="36" fillId="3" borderId="0" xfId="32" applyNumberFormat="1" applyFont="1" applyFill="1" applyBorder="1" applyAlignment="1">
      <alignment horizontal="center" vertical="center"/>
    </xf>
    <xf numFmtId="1" fontId="36" fillId="3" borderId="0" xfId="32" applyNumberFormat="1" applyFont="1" applyFill="1" applyBorder="1" applyAlignment="1">
      <alignment horizontal="center" vertical="center"/>
    </xf>
    <xf numFmtId="0" fontId="37" fillId="3" borderId="0" xfId="31" quotePrefix="1" applyFont="1" applyFill="1" applyAlignment="1">
      <alignment horizontal="left" vertical="center"/>
    </xf>
    <xf numFmtId="167" fontId="36" fillId="3" borderId="0" xfId="1" quotePrefix="1" applyNumberFormat="1" applyFont="1" applyFill="1" applyBorder="1" applyAlignment="1">
      <alignment horizontal="center" vertical="center"/>
    </xf>
    <xf numFmtId="0" fontId="36" fillId="3" borderId="0" xfId="31" quotePrefix="1" applyFont="1" applyFill="1" applyAlignment="1">
      <alignment horizontal="left" vertical="center"/>
    </xf>
    <xf numFmtId="0" fontId="5" fillId="3" borderId="36" xfId="31" applyFill="1" applyBorder="1"/>
    <xf numFmtId="167" fontId="5" fillId="3" borderId="34" xfId="31" applyNumberFormat="1" applyFill="1" applyBorder="1"/>
    <xf numFmtId="3" fontId="45" fillId="3" borderId="34" xfId="31" quotePrefix="1" applyNumberFormat="1" applyFont="1" applyFill="1" applyBorder="1" applyAlignment="1">
      <alignment horizontal="center" vertical="center"/>
    </xf>
    <xf numFmtId="0" fontId="16" fillId="0" borderId="45" xfId="2" applyFont="1" applyBorder="1"/>
    <xf numFmtId="0" fontId="16" fillId="0" borderId="45" xfId="2" applyFont="1" applyBorder="1" applyAlignment="1">
      <alignment vertical="center"/>
    </xf>
    <xf numFmtId="165" fontId="16" fillId="0" borderId="46" xfId="2" applyNumberFormat="1" applyFont="1" applyBorder="1" applyAlignment="1">
      <alignment horizontal="center" vertical="center"/>
    </xf>
    <xf numFmtId="165" fontId="16" fillId="0" borderId="47" xfId="2" applyNumberFormat="1" applyFont="1" applyBorder="1" applyAlignment="1">
      <alignment horizontal="center" vertical="center"/>
    </xf>
    <xf numFmtId="165" fontId="17" fillId="0" borderId="49" xfId="2" applyNumberFormat="1" applyFont="1" applyBorder="1" applyAlignment="1">
      <alignment horizontal="center" vertical="center"/>
    </xf>
    <xf numFmtId="165" fontId="17" fillId="0" borderId="50" xfId="2" applyNumberFormat="1" applyFont="1" applyBorder="1" applyAlignment="1">
      <alignment vertical="center"/>
    </xf>
    <xf numFmtId="165" fontId="17" fillId="0" borderId="51" xfId="2" applyNumberFormat="1" applyFont="1" applyBorder="1" applyAlignment="1">
      <alignment horizontal="center" vertical="center"/>
    </xf>
    <xf numFmtId="165" fontId="17" fillId="0" borderId="52" xfId="2" applyNumberFormat="1" applyFont="1" applyBorder="1" applyAlignment="1">
      <alignment horizontal="center" vertical="center"/>
    </xf>
    <xf numFmtId="165" fontId="17" fillId="0" borderId="53" xfId="2" applyNumberFormat="1" applyFont="1" applyBorder="1" applyAlignment="1">
      <alignment horizontal="center" vertical="center"/>
    </xf>
    <xf numFmtId="0" fontId="19" fillId="0" borderId="56" xfId="23" applyFont="1" applyBorder="1" applyAlignment="1">
      <alignment horizontal="center" vertical="center"/>
    </xf>
    <xf numFmtId="3" fontId="19" fillId="0" borderId="55" xfId="23" applyNumberFormat="1" applyFont="1" applyBorder="1" applyAlignment="1">
      <alignment horizontal="center" vertical="center" wrapText="1"/>
    </xf>
    <xf numFmtId="3" fontId="19" fillId="0" borderId="47" xfId="23" applyNumberFormat="1" applyFont="1" applyBorder="1" applyAlignment="1">
      <alignment horizontal="center" vertical="center" wrapText="1"/>
    </xf>
    <xf numFmtId="3" fontId="19" fillId="0" borderId="57" xfId="23" applyNumberFormat="1" applyFont="1" applyBorder="1" applyAlignment="1">
      <alignment horizontal="center" vertical="center" wrapText="1"/>
    </xf>
    <xf numFmtId="3" fontId="19" fillId="0" borderId="26" xfId="23" applyNumberFormat="1" applyFont="1" applyBorder="1" applyAlignment="1">
      <alignment horizontal="center" vertical="center"/>
    </xf>
    <xf numFmtId="3" fontId="19" fillId="0" borderId="26" xfId="23" applyNumberFormat="1" applyFont="1" applyBorder="1" applyAlignment="1">
      <alignment horizontal="center" vertical="center" wrapText="1"/>
    </xf>
    <xf numFmtId="0" fontId="43" fillId="3" borderId="26" xfId="31" applyFont="1" applyFill="1" applyBorder="1" applyAlignment="1">
      <alignment horizontal="center" vertical="center" wrapText="1"/>
    </xf>
    <xf numFmtId="9" fontId="37" fillId="3" borderId="0" xfId="32" applyFont="1" applyFill="1" applyBorder="1" applyAlignment="1">
      <alignment horizontal="center" vertical="center"/>
    </xf>
    <xf numFmtId="9" fontId="37" fillId="3" borderId="0" xfId="1" applyFont="1" applyFill="1" applyBorder="1" applyAlignment="1">
      <alignment horizontal="center" vertical="center"/>
    </xf>
    <xf numFmtId="9" fontId="37" fillId="3" borderId="21" xfId="1" applyFont="1" applyFill="1" applyBorder="1" applyAlignment="1">
      <alignment horizontal="center" vertical="center"/>
    </xf>
    <xf numFmtId="0" fontId="23" fillId="0" borderId="0" xfId="33" applyFont="1" applyAlignment="1">
      <alignment wrapText="1"/>
    </xf>
    <xf numFmtId="9" fontId="34" fillId="3" borderId="0" xfId="0" applyNumberFormat="1" applyFont="1" applyFill="1" applyAlignment="1">
      <alignment horizontal="center"/>
    </xf>
    <xf numFmtId="0" fontId="14" fillId="0" borderId="0" xfId="2" applyProtection="1">
      <protection locked="0"/>
    </xf>
    <xf numFmtId="165" fontId="14" fillId="0" borderId="0" xfId="2" applyNumberFormat="1" applyProtection="1">
      <protection locked="0"/>
    </xf>
    <xf numFmtId="165" fontId="21" fillId="0" borderId="0" xfId="2" applyNumberFormat="1" applyFont="1" applyAlignment="1" applyProtection="1">
      <alignment horizontal="right" vertical="top" wrapText="1"/>
      <protection locked="0"/>
    </xf>
    <xf numFmtId="0" fontId="48" fillId="2" borderId="59" xfId="2" applyFont="1" applyFill="1" applyBorder="1" applyAlignment="1" applyProtection="1">
      <alignment horizontal="left" vertical="top" wrapText="1"/>
      <protection locked="0"/>
    </xf>
    <xf numFmtId="165" fontId="21" fillId="2" borderId="0" xfId="2" applyNumberFormat="1" applyFont="1" applyFill="1" applyAlignment="1" applyProtection="1">
      <alignment horizontal="right" vertical="top" wrapText="1"/>
      <protection locked="0"/>
    </xf>
    <xf numFmtId="0" fontId="48" fillId="2" borderId="60" xfId="2" applyFont="1" applyFill="1" applyBorder="1" applyAlignment="1" applyProtection="1">
      <alignment horizontal="left" vertical="top" wrapText="1"/>
      <protection locked="0"/>
    </xf>
    <xf numFmtId="0" fontId="48" fillId="2" borderId="61" xfId="2" applyFont="1" applyFill="1" applyBorder="1" applyAlignment="1" applyProtection="1">
      <alignment horizontal="left" vertical="top" wrapText="1"/>
      <protection locked="0"/>
    </xf>
    <xf numFmtId="0" fontId="48" fillId="4" borderId="63" xfId="2" applyFont="1" applyFill="1" applyBorder="1" applyAlignment="1" applyProtection="1">
      <alignment horizontal="center" vertical="top" wrapText="1"/>
      <protection locked="0"/>
    </xf>
    <xf numFmtId="0" fontId="48" fillId="4" borderId="64" xfId="2" applyFont="1" applyFill="1" applyBorder="1" applyAlignment="1" applyProtection="1">
      <alignment horizontal="center" vertical="top" wrapText="1"/>
      <protection locked="0"/>
    </xf>
    <xf numFmtId="0" fontId="21" fillId="4" borderId="65" xfId="2" applyFont="1" applyFill="1" applyBorder="1" applyAlignment="1" applyProtection="1">
      <alignment horizontal="center" vertical="center" wrapText="1"/>
      <protection locked="0"/>
    </xf>
    <xf numFmtId="0" fontId="21" fillId="0" borderId="0" xfId="2" applyFont="1" applyAlignment="1" applyProtection="1">
      <alignment vertical="center"/>
      <protection locked="0"/>
    </xf>
    <xf numFmtId="0" fontId="49" fillId="0" borderId="0" xfId="2" applyFont="1" applyAlignment="1" applyProtection="1">
      <alignment vertical="center"/>
      <protection locked="0"/>
    </xf>
    <xf numFmtId="0" fontId="14" fillId="0" borderId="0" xfId="2" applyAlignment="1" applyProtection="1">
      <alignment vertical="top"/>
      <protection locked="0"/>
    </xf>
    <xf numFmtId="3" fontId="23" fillId="0" borderId="0" xfId="33" applyNumberFormat="1" applyFont="1" applyAlignment="1">
      <alignment horizontal="center"/>
    </xf>
    <xf numFmtId="165" fontId="52" fillId="2" borderId="0" xfId="2" applyNumberFormat="1" applyFont="1" applyFill="1" applyAlignment="1" applyProtection="1">
      <alignment horizontal="right" vertical="top" wrapText="1"/>
      <protection locked="0"/>
    </xf>
    <xf numFmtId="9" fontId="24" fillId="0" borderId="0" xfId="1" applyFont="1" applyAlignment="1">
      <alignment horizontal="center"/>
    </xf>
    <xf numFmtId="0" fontId="21" fillId="0" borderId="0" xfId="36"/>
    <xf numFmtId="0" fontId="54" fillId="0" borderId="0" xfId="36" applyFont="1"/>
    <xf numFmtId="0" fontId="54" fillId="0" borderId="0" xfId="36" applyFont="1" applyAlignment="1">
      <alignment wrapText="1"/>
    </xf>
    <xf numFmtId="9" fontId="54" fillId="0" borderId="0" xfId="37" applyFont="1" applyAlignment="1">
      <alignment horizontal="center"/>
    </xf>
    <xf numFmtId="9" fontId="21" fillId="0" borderId="0" xfId="37" applyFont="1"/>
    <xf numFmtId="168" fontId="54" fillId="0" borderId="0" xfId="36" applyNumberFormat="1" applyFont="1"/>
    <xf numFmtId="168" fontId="21" fillId="0" borderId="0" xfId="36" applyNumberFormat="1"/>
    <xf numFmtId="169" fontId="21" fillId="0" borderId="0" xfId="36" applyNumberFormat="1"/>
    <xf numFmtId="0" fontId="21" fillId="0" borderId="0" xfId="36" applyAlignment="1">
      <alignment horizontal="center"/>
    </xf>
    <xf numFmtId="0" fontId="48" fillId="0" borderId="0" xfId="36" applyFont="1"/>
    <xf numFmtId="168" fontId="53" fillId="0" borderId="0" xfId="36" applyNumberFormat="1" applyFont="1"/>
    <xf numFmtId="170" fontId="48" fillId="0" borderId="66" xfId="36" applyNumberFormat="1" applyFont="1" applyBorder="1"/>
    <xf numFmtId="168" fontId="53" fillId="0" borderId="29" xfId="36" applyNumberFormat="1" applyFont="1" applyBorder="1"/>
    <xf numFmtId="168" fontId="53" fillId="0" borderId="67" xfId="36" applyNumberFormat="1" applyFont="1" applyBorder="1"/>
    <xf numFmtId="168" fontId="53" fillId="0" borderId="30" xfId="36" applyNumberFormat="1" applyFont="1" applyBorder="1"/>
    <xf numFmtId="0" fontId="48" fillId="0" borderId="26" xfId="36" applyFont="1" applyBorder="1"/>
    <xf numFmtId="168" fontId="51" fillId="0" borderId="0" xfId="36" applyNumberFormat="1" applyFont="1"/>
    <xf numFmtId="170" fontId="21" fillId="0" borderId="66" xfId="36" applyNumberFormat="1" applyBorder="1"/>
    <xf numFmtId="168" fontId="51" fillId="0" borderId="21" xfId="36" applyNumberFormat="1" applyFont="1" applyBorder="1"/>
    <xf numFmtId="168" fontId="51" fillId="0" borderId="66" xfId="36" applyNumberFormat="1" applyFont="1" applyBorder="1"/>
    <xf numFmtId="168" fontId="51" fillId="0" borderId="10" xfId="36" applyNumberFormat="1" applyFont="1" applyBorder="1"/>
    <xf numFmtId="0" fontId="21" fillId="0" borderId="0" xfId="36" applyAlignment="1">
      <alignment horizontal="left" indent="2"/>
    </xf>
    <xf numFmtId="0" fontId="21" fillId="6" borderId="0" xfId="36" applyFill="1"/>
    <xf numFmtId="168" fontId="51" fillId="6" borderId="0" xfId="36" applyNumberFormat="1" applyFont="1" applyFill="1"/>
    <xf numFmtId="170" fontId="21" fillId="6" borderId="66" xfId="36" applyNumberFormat="1" applyFill="1" applyBorder="1"/>
    <xf numFmtId="168" fontId="51" fillId="6" borderId="21" xfId="36" applyNumberFormat="1" applyFont="1" applyFill="1" applyBorder="1"/>
    <xf numFmtId="168" fontId="51" fillId="6" borderId="66" xfId="36" applyNumberFormat="1" applyFont="1" applyFill="1" applyBorder="1"/>
    <xf numFmtId="168" fontId="51" fillId="6" borderId="10" xfId="36" applyNumberFormat="1" applyFont="1" applyFill="1" applyBorder="1"/>
    <xf numFmtId="0" fontId="21" fillId="6" borderId="0" xfId="36" applyFill="1" applyAlignment="1">
      <alignment horizontal="left" indent="2"/>
    </xf>
    <xf numFmtId="169" fontId="51" fillId="0" borderId="66" xfId="36" applyNumberFormat="1" applyFont="1" applyBorder="1"/>
    <xf numFmtId="0" fontId="21" fillId="5" borderId="0" xfId="36" applyFill="1"/>
    <xf numFmtId="168" fontId="51" fillId="5" borderId="0" xfId="36" applyNumberFormat="1" applyFont="1" applyFill="1"/>
    <xf numFmtId="170" fontId="21" fillId="5" borderId="66" xfId="36" applyNumberFormat="1" applyFill="1" applyBorder="1"/>
    <xf numFmtId="168" fontId="51" fillId="5" borderId="21" xfId="36" applyNumberFormat="1" applyFont="1" applyFill="1" applyBorder="1"/>
    <xf numFmtId="171" fontId="51" fillId="5" borderId="21" xfId="36" applyNumberFormat="1" applyFont="1" applyFill="1" applyBorder="1"/>
    <xf numFmtId="171" fontId="51" fillId="5" borderId="66" xfId="36" applyNumberFormat="1" applyFont="1" applyFill="1" applyBorder="1"/>
    <xf numFmtId="168" fontId="51" fillId="5" borderId="66" xfId="36" applyNumberFormat="1" applyFont="1" applyFill="1" applyBorder="1"/>
    <xf numFmtId="168" fontId="51" fillId="5" borderId="10" xfId="36" applyNumberFormat="1" applyFont="1" applyFill="1" applyBorder="1"/>
    <xf numFmtId="171" fontId="51" fillId="5" borderId="10" xfId="36" applyNumberFormat="1" applyFont="1" applyFill="1" applyBorder="1"/>
    <xf numFmtId="0" fontId="21" fillId="5" borderId="0" xfId="36" applyFill="1" applyAlignment="1">
      <alignment horizontal="left" indent="2"/>
    </xf>
    <xf numFmtId="169" fontId="51" fillId="5" borderId="66" xfId="36" applyNumberFormat="1" applyFont="1" applyFill="1" applyBorder="1"/>
    <xf numFmtId="171" fontId="51" fillId="5" borderId="0" xfId="36" applyNumberFormat="1" applyFont="1" applyFill="1"/>
    <xf numFmtId="172" fontId="21" fillId="5" borderId="66" xfId="36" applyNumberFormat="1" applyFill="1" applyBorder="1"/>
    <xf numFmtId="168" fontId="53" fillId="0" borderId="21" xfId="36" applyNumberFormat="1" applyFont="1" applyBorder="1"/>
    <xf numFmtId="168" fontId="53" fillId="0" borderId="66" xfId="36" applyNumberFormat="1" applyFont="1" applyBorder="1"/>
    <xf numFmtId="168" fontId="53" fillId="0" borderId="10" xfId="36" applyNumberFormat="1" applyFont="1" applyBorder="1"/>
    <xf numFmtId="0" fontId="57" fillId="0" borderId="0" xfId="36" applyFont="1"/>
    <xf numFmtId="171" fontId="51" fillId="0" borderId="10" xfId="36" applyNumberFormat="1" applyFont="1" applyBorder="1"/>
    <xf numFmtId="171" fontId="51" fillId="0" borderId="21" xfId="36" applyNumberFormat="1" applyFont="1" applyBorder="1"/>
    <xf numFmtId="171" fontId="51" fillId="0" borderId="66" xfId="36" applyNumberFormat="1" applyFont="1" applyBorder="1"/>
    <xf numFmtId="171" fontId="51" fillId="0" borderId="0" xfId="36" applyNumberFormat="1" applyFont="1"/>
    <xf numFmtId="171" fontId="51" fillId="6" borderId="0" xfId="36" applyNumberFormat="1" applyFont="1" applyFill="1"/>
    <xf numFmtId="172" fontId="21" fillId="6" borderId="66" xfId="36" applyNumberFormat="1" applyFill="1" applyBorder="1"/>
    <xf numFmtId="169" fontId="51" fillId="6" borderId="66" xfId="36" applyNumberFormat="1" applyFont="1" applyFill="1" applyBorder="1"/>
    <xf numFmtId="171" fontId="51" fillId="6" borderId="66" xfId="36" applyNumberFormat="1" applyFont="1" applyFill="1" applyBorder="1"/>
    <xf numFmtId="171" fontId="51" fillId="6" borderId="10" xfId="36" applyNumberFormat="1" applyFont="1" applyFill="1" applyBorder="1"/>
    <xf numFmtId="171" fontId="51" fillId="6" borderId="21" xfId="36" applyNumberFormat="1" applyFont="1" applyFill="1" applyBorder="1"/>
    <xf numFmtId="172" fontId="21" fillId="0" borderId="66" xfId="36" applyNumberFormat="1" applyBorder="1"/>
    <xf numFmtId="173" fontId="51" fillId="6" borderId="66" xfId="36" applyNumberFormat="1" applyFont="1" applyFill="1" applyBorder="1"/>
    <xf numFmtId="0" fontId="48" fillId="6" borderId="0" xfId="36" applyFont="1" applyFill="1"/>
    <xf numFmtId="0" fontId="57" fillId="6" borderId="0" xfId="36" applyFont="1" applyFill="1"/>
    <xf numFmtId="173" fontId="51" fillId="0" borderId="10" xfId="36" applyNumberFormat="1" applyFont="1" applyBorder="1"/>
    <xf numFmtId="168" fontId="53" fillId="0" borderId="58" xfId="36" applyNumberFormat="1" applyFont="1" applyBorder="1"/>
    <xf numFmtId="168" fontId="53" fillId="0" borderId="68" xfId="36" applyNumberFormat="1" applyFont="1" applyBorder="1"/>
    <xf numFmtId="0" fontId="48" fillId="0" borderId="0" xfId="36" applyFont="1" applyAlignment="1">
      <alignment wrapText="1"/>
    </xf>
    <xf numFmtId="49" fontId="21" fillId="0" borderId="0" xfId="36" applyNumberFormat="1" applyAlignment="1">
      <alignment horizontal="center"/>
    </xf>
    <xf numFmtId="49" fontId="21" fillId="0" borderId="69" xfId="36" applyNumberFormat="1" applyBorder="1" applyAlignment="1">
      <alignment horizontal="center"/>
    </xf>
    <xf numFmtId="49" fontId="21" fillId="0" borderId="70" xfId="36" applyNumberFormat="1" applyBorder="1" applyAlignment="1">
      <alignment horizontal="center"/>
    </xf>
    <xf numFmtId="49" fontId="21" fillId="0" borderId="71" xfId="36" applyNumberFormat="1" applyBorder="1" applyAlignment="1">
      <alignment horizontal="center"/>
    </xf>
    <xf numFmtId="0" fontId="48" fillId="0" borderId="47" xfId="36" applyFont="1" applyBorder="1" applyAlignment="1">
      <alignment wrapText="1"/>
    </xf>
    <xf numFmtId="0" fontId="21" fillId="0" borderId="67" xfId="36" applyBorder="1" applyAlignment="1">
      <alignment horizontal="center" vertical="center"/>
    </xf>
    <xf numFmtId="9" fontId="37" fillId="0" borderId="0" xfId="32" applyFont="1" applyFill="1" applyBorder="1" applyAlignment="1">
      <alignment horizontal="center" vertical="center"/>
    </xf>
    <xf numFmtId="165" fontId="52" fillId="0" borderId="0" xfId="2" applyNumberFormat="1" applyFont="1" applyAlignment="1" applyProtection="1">
      <alignment horizontal="right" vertical="top" wrapText="1"/>
      <protection locked="0"/>
    </xf>
    <xf numFmtId="0" fontId="23" fillId="0" borderId="0" xfId="34" applyAlignment="1">
      <alignment wrapText="1"/>
    </xf>
    <xf numFmtId="168" fontId="57" fillId="0" borderId="0" xfId="36" applyNumberFormat="1" applyFont="1"/>
    <xf numFmtId="165" fontId="23" fillId="0" borderId="0" xfId="35" applyNumberFormat="1" applyFont="1" applyBorder="1" applyAlignment="1">
      <alignment horizontal="center" vertical="center"/>
    </xf>
    <xf numFmtId="0" fontId="23" fillId="0" borderId="1" xfId="33" applyFont="1" applyBorder="1"/>
    <xf numFmtId="0" fontId="23" fillId="0" borderId="2" xfId="33" applyFont="1" applyBorder="1"/>
    <xf numFmtId="0" fontId="23" fillId="0" borderId="3" xfId="33" applyFont="1" applyBorder="1"/>
    <xf numFmtId="167" fontId="24" fillId="0" borderId="4" xfId="33" applyNumberFormat="1" applyFont="1" applyBorder="1"/>
    <xf numFmtId="9" fontId="23" fillId="0" borderId="5" xfId="33" applyNumberFormat="1" applyFont="1" applyBorder="1" applyAlignment="1">
      <alignment horizontal="center" vertical="center" wrapText="1"/>
    </xf>
    <xf numFmtId="9" fontId="24" fillId="0" borderId="4" xfId="1" applyFont="1" applyBorder="1" applyAlignment="1">
      <alignment horizontal="center"/>
    </xf>
    <xf numFmtId="167" fontId="24" fillId="0" borderId="0" xfId="33" applyNumberFormat="1" applyFont="1" applyAlignment="1">
      <alignment horizontal="center"/>
    </xf>
    <xf numFmtId="0" fontId="23" fillId="0" borderId="0" xfId="33" applyFont="1" applyAlignment="1">
      <alignment horizontal="center"/>
    </xf>
    <xf numFmtId="0" fontId="23" fillId="0" borderId="5" xfId="33" applyFont="1" applyBorder="1" applyAlignment="1">
      <alignment horizontal="center"/>
    </xf>
    <xf numFmtId="9" fontId="23" fillId="0" borderId="0" xfId="1" applyFont="1" applyBorder="1" applyAlignment="1">
      <alignment horizontal="center"/>
    </xf>
    <xf numFmtId="166" fontId="23" fillId="0" borderId="0" xfId="33" applyNumberFormat="1" applyFont="1" applyAlignment="1">
      <alignment horizontal="center"/>
    </xf>
    <xf numFmtId="9" fontId="23" fillId="0" borderId="5" xfId="1" applyFont="1" applyBorder="1" applyAlignment="1">
      <alignment horizontal="center"/>
    </xf>
    <xf numFmtId="165" fontId="23" fillId="0" borderId="0" xfId="33" applyNumberFormat="1" applyFont="1" applyAlignment="1">
      <alignment horizontal="center"/>
    </xf>
    <xf numFmtId="1" fontId="23" fillId="0" borderId="4" xfId="33" applyNumberFormat="1" applyFont="1" applyBorder="1" applyAlignment="1">
      <alignment horizontal="center"/>
    </xf>
    <xf numFmtId="167" fontId="24" fillId="0" borderId="10" xfId="33" applyNumberFormat="1" applyFont="1" applyBorder="1"/>
    <xf numFmtId="167" fontId="24" fillId="0" borderId="10" xfId="33" applyNumberFormat="1" applyFont="1" applyBorder="1" applyAlignment="1">
      <alignment horizontal="center"/>
    </xf>
    <xf numFmtId="3" fontId="22" fillId="0" borderId="10" xfId="33" applyNumberFormat="1" applyFont="1" applyBorder="1" applyAlignment="1">
      <alignment horizontal="center"/>
    </xf>
    <xf numFmtId="3" fontId="23" fillId="0" borderId="10" xfId="33" applyNumberFormat="1" applyFont="1" applyBorder="1" applyAlignment="1">
      <alignment horizontal="center"/>
    </xf>
    <xf numFmtId="0" fontId="23" fillId="0" borderId="10" xfId="33" applyFont="1" applyBorder="1"/>
    <xf numFmtId="9" fontId="14" fillId="0" borderId="0" xfId="1" applyFont="1" applyProtection="1">
      <protection locked="0"/>
    </xf>
    <xf numFmtId="0" fontId="48" fillId="4" borderId="64" xfId="0" applyFont="1" applyFill="1" applyBorder="1" applyAlignment="1" applyProtection="1">
      <alignment horizontal="center" vertical="top" wrapText="1"/>
      <protection locked="0"/>
    </xf>
    <xf numFmtId="0" fontId="48" fillId="4" borderId="63" xfId="0" applyFont="1" applyFill="1" applyBorder="1" applyAlignment="1" applyProtection="1">
      <alignment horizontal="center" vertical="top" wrapText="1"/>
      <protection locked="0"/>
    </xf>
    <xf numFmtId="165" fontId="21" fillId="0" borderId="0" xfId="0" applyNumberFormat="1" applyFont="1" applyAlignment="1" applyProtection="1">
      <alignment horizontal="right" vertical="top" wrapText="1"/>
      <protection locked="0"/>
    </xf>
    <xf numFmtId="165" fontId="21" fillId="2" borderId="0" xfId="0" applyNumberFormat="1" applyFont="1" applyFill="1" applyAlignment="1" applyProtection="1">
      <alignment horizontal="right" vertical="top" wrapText="1"/>
      <protection locked="0"/>
    </xf>
    <xf numFmtId="165" fontId="52" fillId="0" borderId="0" xfId="0" applyNumberFormat="1" applyFont="1" applyAlignment="1" applyProtection="1">
      <alignment horizontal="right" vertical="top" wrapText="1"/>
      <protection locked="0"/>
    </xf>
    <xf numFmtId="165" fontId="52" fillId="2" borderId="0" xfId="0" applyNumberFormat="1" applyFont="1" applyFill="1" applyAlignment="1" applyProtection="1">
      <alignment horizontal="right" vertical="top" wrapText="1"/>
      <protection locked="0"/>
    </xf>
    <xf numFmtId="9" fontId="37" fillId="3" borderId="21" xfId="32" applyFont="1" applyFill="1" applyBorder="1" applyAlignment="1">
      <alignment horizontal="center" vertical="center"/>
    </xf>
    <xf numFmtId="0" fontId="48" fillId="4" borderId="62" xfId="0" applyFont="1" applyFill="1" applyBorder="1" applyAlignment="1" applyProtection="1">
      <alignment horizontal="center" vertical="top" wrapText="1"/>
      <protection locked="0"/>
    </xf>
    <xf numFmtId="9" fontId="37" fillId="3" borderId="47" xfId="32" applyFont="1" applyFill="1" applyBorder="1" applyAlignment="1">
      <alignment horizontal="center" vertical="center" wrapText="1"/>
    </xf>
    <xf numFmtId="9" fontId="54" fillId="0" borderId="0" xfId="1" applyFont="1" applyFill="1" applyAlignment="1">
      <alignment horizontal="center"/>
    </xf>
    <xf numFmtId="167" fontId="36" fillId="3" borderId="34" xfId="31" applyNumberFormat="1" applyFont="1" applyFill="1" applyBorder="1" applyAlignment="1">
      <alignment horizontal="center" vertical="center"/>
    </xf>
    <xf numFmtId="2" fontId="14" fillId="0" borderId="0" xfId="2" applyNumberFormat="1" applyAlignment="1" applyProtection="1">
      <alignment horizontal="center"/>
      <protection locked="0"/>
    </xf>
    <xf numFmtId="3" fontId="59" fillId="3" borderId="0" xfId="31" applyNumberFormat="1" applyFont="1" applyFill="1" applyAlignment="1">
      <alignment horizontal="center" vertical="center"/>
    </xf>
    <xf numFmtId="167" fontId="60" fillId="3" borderId="34" xfId="31" applyNumberFormat="1" applyFont="1" applyFill="1" applyBorder="1" applyAlignment="1">
      <alignment horizontal="center" vertical="center"/>
    </xf>
    <xf numFmtId="0" fontId="61" fillId="0" borderId="0" xfId="0" applyFont="1"/>
    <xf numFmtId="0" fontId="62" fillId="0" borderId="0" xfId="22" applyFont="1" applyAlignment="1">
      <alignment horizontal="center" vertical="center" wrapText="1"/>
    </xf>
    <xf numFmtId="0" fontId="54" fillId="0" borderId="0" xfId="31" applyFont="1"/>
    <xf numFmtId="0" fontId="57" fillId="0" borderId="0" xfId="31" applyFont="1"/>
    <xf numFmtId="0" fontId="63" fillId="0" borderId="0" xfId="0" applyFont="1"/>
    <xf numFmtId="0" fontId="54" fillId="0" borderId="0" xfId="31" applyFont="1" applyAlignment="1">
      <alignment horizontal="center" vertical="center" wrapText="1"/>
    </xf>
    <xf numFmtId="0" fontId="57" fillId="0" borderId="0" xfId="31" applyFont="1" applyAlignment="1">
      <alignment horizontal="center" vertical="center" wrapText="1"/>
    </xf>
    <xf numFmtId="0" fontId="64" fillId="0" borderId="0" xfId="31" applyFont="1" applyAlignment="1">
      <alignment horizontal="center" vertical="center" wrapText="1"/>
    </xf>
    <xf numFmtId="0" fontId="65" fillId="0" borderId="0" xfId="31" applyFont="1" applyAlignment="1">
      <alignment horizontal="center" vertical="center" wrapText="1"/>
    </xf>
    <xf numFmtId="0" fontId="21" fillId="0" borderId="0" xfId="33" applyFont="1" applyAlignment="1">
      <alignment horizontal="center" vertical="center" wrapText="1"/>
    </xf>
    <xf numFmtId="3" fontId="57" fillId="0" borderId="0" xfId="31" applyNumberFormat="1" applyFont="1" applyAlignment="1">
      <alignment horizontal="center"/>
    </xf>
    <xf numFmtId="3" fontId="54" fillId="0" borderId="0" xfId="31" applyNumberFormat="1" applyFont="1" applyAlignment="1">
      <alignment horizontal="center"/>
    </xf>
    <xf numFmtId="1" fontId="54" fillId="0" borderId="0" xfId="31" applyNumberFormat="1" applyFont="1" applyAlignment="1">
      <alignment horizontal="center"/>
    </xf>
    <xf numFmtId="167" fontId="54" fillId="0" borderId="0" xfId="1" applyNumberFormat="1" applyFont="1" applyAlignment="1">
      <alignment horizontal="center"/>
    </xf>
    <xf numFmtId="9" fontId="54" fillId="0" borderId="0" xfId="31" applyNumberFormat="1" applyFont="1" applyAlignment="1">
      <alignment horizontal="center"/>
    </xf>
    <xf numFmtId="9" fontId="54" fillId="0" borderId="0" xfId="1" applyFont="1" applyAlignment="1">
      <alignment horizontal="center"/>
    </xf>
    <xf numFmtId="9" fontId="16" fillId="0" borderId="0" xfId="1" applyFont="1" applyAlignment="1">
      <alignment horizontal="center"/>
    </xf>
    <xf numFmtId="9" fontId="16" fillId="0" borderId="0" xfId="32" applyFont="1" applyAlignment="1">
      <alignment horizontal="center"/>
    </xf>
    <xf numFmtId="9" fontId="14" fillId="0" borderId="0" xfId="1" applyFont="1" applyAlignment="1">
      <alignment horizontal="center"/>
    </xf>
    <xf numFmtId="1" fontId="17" fillId="0" borderId="0" xfId="33" applyNumberFormat="1" applyFont="1" applyAlignment="1">
      <alignment horizontal="center"/>
    </xf>
    <xf numFmtId="9" fontId="16" fillId="0" borderId="0" xfId="33" applyNumberFormat="1" applyFont="1" applyAlignment="1">
      <alignment horizontal="center" vertical="center" wrapText="1"/>
    </xf>
    <xf numFmtId="0" fontId="16" fillId="0" borderId="0" xfId="33" applyFont="1"/>
    <xf numFmtId="3" fontId="54" fillId="0" borderId="0" xfId="31" applyNumberFormat="1" applyFont="1"/>
    <xf numFmtId="9" fontId="54" fillId="0" borderId="0" xfId="1" applyFont="1"/>
    <xf numFmtId="9" fontId="54" fillId="0" borderId="0" xfId="31" applyNumberFormat="1" applyFont="1"/>
    <xf numFmtId="165" fontId="54" fillId="0" borderId="0" xfId="31" applyNumberFormat="1" applyFont="1" applyAlignment="1">
      <alignment horizontal="center"/>
    </xf>
    <xf numFmtId="3" fontId="16" fillId="0" borderId="0" xfId="33" applyNumberFormat="1" applyFont="1" applyAlignment="1">
      <alignment horizontal="center"/>
    </xf>
    <xf numFmtId="9" fontId="16" fillId="0" borderId="0" xfId="33" applyNumberFormat="1" applyFont="1" applyAlignment="1">
      <alignment horizontal="center"/>
    </xf>
    <xf numFmtId="0" fontId="17" fillId="0" borderId="0" xfId="33" applyFont="1"/>
    <xf numFmtId="0" fontId="61" fillId="0" borderId="0" xfId="27" applyFont="1"/>
    <xf numFmtId="0" fontId="61" fillId="0" borderId="0" xfId="27" applyFont="1" applyAlignment="1">
      <alignment wrapText="1"/>
    </xf>
    <xf numFmtId="0" fontId="61" fillId="0" borderId="0" xfId="27" applyFont="1" applyAlignment="1">
      <alignment horizontal="center" vertical="center" wrapText="1"/>
    </xf>
    <xf numFmtId="0" fontId="54" fillId="0" borderId="0" xfId="28" applyFont="1"/>
    <xf numFmtId="9" fontId="54" fillId="0" borderId="0" xfId="29" applyFont="1"/>
    <xf numFmtId="9" fontId="61" fillId="0" borderId="0" xfId="1" applyFont="1" applyAlignment="1">
      <alignment wrapText="1"/>
    </xf>
    <xf numFmtId="9" fontId="61" fillId="0" borderId="0" xfId="27" applyNumberFormat="1" applyFont="1"/>
    <xf numFmtId="9" fontId="54" fillId="0" borderId="0" xfId="29" applyFont="1" applyBorder="1"/>
    <xf numFmtId="9" fontId="63" fillId="0" borderId="0" xfId="29" applyFont="1" applyBorder="1"/>
    <xf numFmtId="9" fontId="63" fillId="0" borderId="0" xfId="29" applyFont="1"/>
    <xf numFmtId="0" fontId="62" fillId="0" borderId="0" xfId="22" applyFont="1"/>
    <xf numFmtId="9" fontId="62" fillId="0" borderId="0" xfId="1" applyFont="1" applyFill="1"/>
    <xf numFmtId="0" fontId="16" fillId="0" borderId="0" xfId="2" applyFont="1" applyAlignment="1">
      <alignment horizontal="center" vertical="center" wrapText="1"/>
    </xf>
    <xf numFmtId="0" fontId="16" fillId="0" borderId="9" xfId="2" applyFont="1" applyBorder="1" applyAlignment="1">
      <alignment horizontal="center" vertical="center" wrapText="1"/>
    </xf>
    <xf numFmtId="0" fontId="16" fillId="0" borderId="10" xfId="2" applyFont="1" applyBorder="1" applyAlignment="1">
      <alignment horizontal="center" vertical="center" wrapText="1"/>
    </xf>
    <xf numFmtId="0" fontId="15" fillId="0" borderId="8" xfId="2" applyFont="1" applyBorder="1" applyAlignment="1">
      <alignment horizontal="center" vertical="center" wrapText="1"/>
    </xf>
    <xf numFmtId="0" fontId="15" fillId="0" borderId="17" xfId="2" applyFont="1" applyBorder="1" applyAlignment="1">
      <alignment horizontal="center" vertical="center" wrapText="1"/>
    </xf>
    <xf numFmtId="0" fontId="16" fillId="0" borderId="16" xfId="2" applyFont="1" applyBorder="1" applyAlignment="1">
      <alignment horizontal="left" vertical="top" wrapText="1"/>
    </xf>
    <xf numFmtId="0" fontId="16" fillId="0" borderId="8" xfId="2" applyFont="1" applyBorder="1" applyAlignment="1">
      <alignment horizontal="left" vertical="top" wrapText="1"/>
    </xf>
    <xf numFmtId="0" fontId="16" fillId="0" borderId="17" xfId="2" applyFont="1" applyBorder="1" applyAlignment="1">
      <alignment horizontal="left" vertical="top" wrapText="1"/>
    </xf>
    <xf numFmtId="0" fontId="16" fillId="0" borderId="18" xfId="2" applyFont="1" applyBorder="1" applyAlignment="1">
      <alignment horizontal="left" vertical="top" wrapText="1"/>
    </xf>
    <xf numFmtId="0" fontId="16" fillId="0" borderId="19" xfId="2" applyFont="1" applyBorder="1" applyAlignment="1">
      <alignment horizontal="left" vertical="top" wrapText="1"/>
    </xf>
    <xf numFmtId="0" fontId="16" fillId="0" borderId="20" xfId="2" applyFont="1" applyBorder="1" applyAlignment="1">
      <alignment horizontal="left" vertical="top" wrapText="1"/>
    </xf>
    <xf numFmtId="0" fontId="16" fillId="0" borderId="46" xfId="2" applyFont="1" applyBorder="1" applyAlignment="1">
      <alignment horizontal="center" vertical="center"/>
    </xf>
    <xf numFmtId="0" fontId="16" fillId="0" borderId="47" xfId="2" applyFont="1" applyBorder="1" applyAlignment="1">
      <alignment horizontal="center" vertical="center"/>
    </xf>
    <xf numFmtId="0" fontId="16" fillId="0" borderId="48" xfId="2" applyFont="1" applyBorder="1" applyAlignment="1">
      <alignment horizontal="center" vertical="center"/>
    </xf>
    <xf numFmtId="0" fontId="35" fillId="3" borderId="0" xfId="22" applyFont="1" applyFill="1"/>
    <xf numFmtId="0" fontId="0" fillId="0" borderId="0" xfId="0" applyAlignment="1">
      <alignment vertical="top" wrapText="1"/>
    </xf>
    <xf numFmtId="0" fontId="45" fillId="0" borderId="0" xfId="0" applyFont="1"/>
    <xf numFmtId="0" fontId="45" fillId="0" borderId="69" xfId="0" applyFont="1" applyBorder="1" applyAlignment="1">
      <alignment vertical="top" wrapText="1"/>
    </xf>
    <xf numFmtId="0" fontId="45" fillId="0" borderId="54" xfId="0" applyFont="1" applyBorder="1" applyAlignment="1">
      <alignment vertical="top" wrapText="1"/>
    </xf>
    <xf numFmtId="0" fontId="45" fillId="0" borderId="71" xfId="0" applyFont="1" applyBorder="1" applyAlignment="1">
      <alignment vertical="top" wrapText="1"/>
    </xf>
    <xf numFmtId="0" fontId="44" fillId="0" borderId="0" xfId="0" applyFont="1"/>
    <xf numFmtId="0" fontId="45" fillId="0" borderId="0" xfId="0" applyFont="1" applyAlignment="1">
      <alignment vertical="top" wrapText="1"/>
    </xf>
    <xf numFmtId="0" fontId="44" fillId="0" borderId="0" xfId="0" applyFont="1" applyAlignment="1">
      <alignment vertical="top"/>
    </xf>
    <xf numFmtId="0" fontId="17" fillId="0" borderId="6" xfId="2" applyFont="1" applyBorder="1" applyAlignment="1">
      <alignment horizontal="center" vertical="center"/>
    </xf>
    <xf numFmtId="0" fontId="17" fillId="0" borderId="7" xfId="2" applyFont="1" applyBorder="1" applyAlignment="1">
      <alignment horizontal="center" vertical="center"/>
    </xf>
    <xf numFmtId="0" fontId="17" fillId="0" borderId="74" xfId="2" applyFont="1" applyBorder="1" applyAlignment="1">
      <alignment horizontal="center" vertical="center"/>
    </xf>
    <xf numFmtId="0" fontId="15" fillId="0" borderId="16" xfId="2" applyFont="1" applyBorder="1" applyAlignment="1">
      <alignment horizontal="left" vertical="top"/>
    </xf>
    <xf numFmtId="0" fontId="0" fillId="0" borderId="47" xfId="0" applyBorder="1"/>
    <xf numFmtId="0" fontId="0" fillId="0" borderId="58" xfId="0" applyBorder="1"/>
    <xf numFmtId="0" fontId="69" fillId="0" borderId="10" xfId="0" applyFont="1" applyBorder="1"/>
    <xf numFmtId="0" fontId="0" fillId="0" borderId="21" xfId="0" applyBorder="1"/>
    <xf numFmtId="0" fontId="0" fillId="0" borderId="54" xfId="0" applyBorder="1" applyAlignment="1">
      <alignment vertical="top" wrapText="1"/>
    </xf>
    <xf numFmtId="0" fontId="0" fillId="0" borderId="71" xfId="0" applyBorder="1" applyAlignment="1">
      <alignment vertical="top" wrapText="1"/>
    </xf>
    <xf numFmtId="0" fontId="0" fillId="0" borderId="70" xfId="0" applyBorder="1" applyAlignment="1">
      <alignment vertical="top" wrapText="1"/>
    </xf>
    <xf numFmtId="0" fontId="0" fillId="0" borderId="66" xfId="0" applyBorder="1"/>
    <xf numFmtId="0" fontId="0" fillId="0" borderId="67" xfId="0" applyBorder="1"/>
    <xf numFmtId="0" fontId="36" fillId="0" borderId="0" xfId="0" applyFont="1"/>
    <xf numFmtId="0" fontId="36" fillId="0" borderId="0" xfId="0" applyFont="1" applyAlignment="1">
      <alignment vertical="top" wrapText="1"/>
    </xf>
    <xf numFmtId="0" fontId="36" fillId="0" borderId="69" xfId="0" applyFont="1" applyBorder="1" applyAlignment="1">
      <alignment vertical="top" wrapText="1"/>
    </xf>
    <xf numFmtId="0" fontId="36" fillId="0" borderId="54" xfId="0" applyFont="1" applyBorder="1" applyAlignment="1">
      <alignment vertical="top" wrapText="1"/>
    </xf>
    <xf numFmtId="0" fontId="36" fillId="0" borderId="71" xfId="0" applyFont="1" applyBorder="1" applyAlignment="1">
      <alignment vertical="top" wrapText="1"/>
    </xf>
    <xf numFmtId="0" fontId="36" fillId="0" borderId="21" xfId="0" applyFont="1" applyBorder="1"/>
    <xf numFmtId="0" fontId="36" fillId="0" borderId="21" xfId="0" applyFont="1" applyBorder="1" applyAlignment="1">
      <alignment vertical="top" wrapText="1"/>
    </xf>
    <xf numFmtId="0" fontId="35" fillId="0" borderId="0" xfId="0" applyFont="1" applyAlignment="1">
      <alignment vertical="top"/>
    </xf>
    <xf numFmtId="0" fontId="35" fillId="0" borderId="0" xfId="0" applyFont="1"/>
    <xf numFmtId="0" fontId="68" fillId="0" borderId="46" xfId="0" applyFont="1" applyBorder="1"/>
    <xf numFmtId="0" fontId="72" fillId="0" borderId="0" xfId="0" applyFont="1"/>
    <xf numFmtId="0" fontId="27" fillId="0" borderId="2" xfId="23" applyFont="1" applyBorder="1" applyAlignment="1">
      <alignment vertical="center"/>
    </xf>
    <xf numFmtId="0" fontId="27" fillId="0" borderId="3" xfId="23" applyFont="1" applyBorder="1" applyAlignment="1">
      <alignment vertical="center"/>
    </xf>
    <xf numFmtId="0" fontId="72" fillId="0" borderId="0" xfId="0" applyFont="1" applyAlignment="1">
      <alignment wrapText="1"/>
    </xf>
    <xf numFmtId="0" fontId="72" fillId="0" borderId="69" xfId="0" applyFont="1" applyBorder="1" applyAlignment="1">
      <alignment vertical="top" wrapText="1"/>
    </xf>
    <xf numFmtId="0" fontId="72" fillId="0" borderId="54" xfId="0" applyFont="1" applyBorder="1" applyAlignment="1">
      <alignment vertical="top" wrapText="1"/>
    </xf>
    <xf numFmtId="0" fontId="72" fillId="0" borderId="71" xfId="0" applyFont="1" applyBorder="1" applyAlignment="1">
      <alignment vertical="top" wrapText="1"/>
    </xf>
    <xf numFmtId="0" fontId="0" fillId="0" borderId="0" xfId="0" applyAlignment="1">
      <alignment vertical="top"/>
    </xf>
    <xf numFmtId="9" fontId="72" fillId="0" borderId="0" xfId="1" applyFont="1"/>
    <xf numFmtId="0" fontId="37" fillId="0" borderId="0" xfId="0" applyFont="1" applyAlignment="1">
      <alignment vertical="top"/>
    </xf>
    <xf numFmtId="9" fontId="45" fillId="0" borderId="0" xfId="1" applyFont="1"/>
    <xf numFmtId="9" fontId="36" fillId="0" borderId="0" xfId="1" applyFont="1"/>
    <xf numFmtId="0" fontId="0" fillId="0" borderId="46" xfId="0" applyBorder="1"/>
    <xf numFmtId="0" fontId="28" fillId="0" borderId="0" xfId="0" applyFont="1" applyAlignment="1">
      <alignment vertical="top" wrapText="1"/>
    </xf>
    <xf numFmtId="9" fontId="36" fillId="0" borderId="54" xfId="1" applyFont="1" applyBorder="1" applyAlignment="1">
      <alignment vertical="top" wrapText="1"/>
    </xf>
    <xf numFmtId="0" fontId="28" fillId="3" borderId="47" xfId="22" applyFont="1" applyFill="1" applyBorder="1"/>
    <xf numFmtId="0" fontId="34" fillId="3" borderId="47" xfId="22" applyFont="1" applyFill="1" applyBorder="1"/>
    <xf numFmtId="0" fontId="34" fillId="3" borderId="0" xfId="22" applyFont="1" applyFill="1" applyAlignment="1">
      <alignment horizontal="center" vertical="center" wrapText="1"/>
    </xf>
    <xf numFmtId="0" fontId="34" fillId="3" borderId="34" xfId="22" applyFont="1" applyFill="1" applyBorder="1"/>
    <xf numFmtId="165" fontId="34" fillId="3" borderId="34" xfId="22" applyNumberFormat="1" applyFont="1" applyFill="1" applyBorder="1" applyAlignment="1">
      <alignment horizontal="center"/>
    </xf>
    <xf numFmtId="3" fontId="45" fillId="3" borderId="0" xfId="31" quotePrefix="1" applyNumberFormat="1" applyFont="1" applyFill="1" applyAlignment="1">
      <alignment horizontal="center" vertical="center"/>
    </xf>
    <xf numFmtId="9" fontId="34" fillId="3" borderId="34" xfId="1" applyFont="1" applyFill="1" applyBorder="1" applyAlignment="1">
      <alignment horizontal="center"/>
    </xf>
    <xf numFmtId="9" fontId="34" fillId="3" borderId="0" xfId="1" applyFont="1" applyFill="1" applyBorder="1" applyAlignment="1">
      <alignment horizontal="left" vertical="center" wrapText="1"/>
    </xf>
    <xf numFmtId="9" fontId="75" fillId="3" borderId="0" xfId="1" applyFont="1" applyFill="1" applyBorder="1" applyAlignment="1">
      <alignment horizontal="center"/>
    </xf>
    <xf numFmtId="3" fontId="77" fillId="0" borderId="0" xfId="31" applyNumberFormat="1" applyFont="1" applyAlignment="1">
      <alignment horizontal="center"/>
    </xf>
    <xf numFmtId="3" fontId="76" fillId="0" borderId="0" xfId="31" applyNumberFormat="1" applyFont="1" applyAlignment="1">
      <alignment horizontal="center"/>
    </xf>
    <xf numFmtId="1" fontId="76" fillId="0" borderId="0" xfId="31" applyNumberFormat="1" applyFont="1" applyAlignment="1">
      <alignment horizontal="center"/>
    </xf>
    <xf numFmtId="0" fontId="0" fillId="0" borderId="47" xfId="33" applyFont="1" applyBorder="1" applyAlignment="1">
      <alignment horizontal="center" vertical="center" wrapText="1"/>
    </xf>
    <xf numFmtId="0" fontId="23" fillId="0" borderId="56" xfId="33" applyFont="1" applyBorder="1" applyAlignment="1">
      <alignment horizontal="center"/>
    </xf>
    <xf numFmtId="9" fontId="17" fillId="0" borderId="45" xfId="35" applyFont="1" applyBorder="1" applyAlignment="1">
      <alignment horizontal="center" vertical="center" wrapText="1"/>
    </xf>
    <xf numFmtId="9" fontId="16" fillId="0" borderId="47" xfId="35" applyFont="1" applyBorder="1" applyAlignment="1">
      <alignment horizontal="center" vertical="center" wrapText="1"/>
    </xf>
    <xf numFmtId="9" fontId="23" fillId="0" borderId="47" xfId="35" applyFont="1" applyBorder="1" applyAlignment="1">
      <alignment horizontal="center" vertical="center"/>
    </xf>
    <xf numFmtId="3" fontId="23" fillId="0" borderId="45" xfId="35" applyNumberFormat="1" applyFont="1" applyBorder="1" applyAlignment="1">
      <alignment horizontal="center" vertical="center"/>
    </xf>
    <xf numFmtId="3" fontId="23" fillId="0" borderId="57" xfId="35" applyNumberFormat="1" applyFont="1" applyBorder="1" applyAlignment="1">
      <alignment horizontal="center" vertical="center"/>
    </xf>
    <xf numFmtId="168" fontId="53" fillId="0" borderId="46" xfId="36" applyNumberFormat="1" applyFont="1" applyBorder="1"/>
    <xf numFmtId="0" fontId="78" fillId="0" borderId="0" xfId="31" applyFont="1"/>
    <xf numFmtId="0" fontId="5" fillId="0" borderId="0" xfId="31" applyAlignment="1">
      <alignment horizontal="center" vertical="center" wrapText="1"/>
    </xf>
    <xf numFmtId="0" fontId="78" fillId="0" borderId="0" xfId="31" applyFont="1" applyAlignment="1">
      <alignment horizontal="center" vertical="center" wrapText="1"/>
    </xf>
    <xf numFmtId="0" fontId="79" fillId="0" borderId="0" xfId="31" applyFont="1" applyAlignment="1">
      <alignment horizontal="center" vertical="center" wrapText="1"/>
    </xf>
    <xf numFmtId="0" fontId="24" fillId="0" borderId="0" xfId="33" applyFont="1" applyAlignment="1">
      <alignment horizontal="center" vertical="center" wrapText="1"/>
    </xf>
    <xf numFmtId="0" fontId="80" fillId="0" borderId="0" xfId="33" applyFont="1" applyAlignment="1">
      <alignment horizontal="center" vertical="center" wrapText="1"/>
    </xf>
    <xf numFmtId="0" fontId="81" fillId="0" borderId="0" xfId="31" applyFont="1" applyAlignment="1">
      <alignment horizontal="center" vertical="center" wrapText="1"/>
    </xf>
    <xf numFmtId="0" fontId="82" fillId="0" borderId="0" xfId="33" applyFont="1" applyAlignment="1">
      <alignment horizontal="center" vertical="center" wrapText="1"/>
    </xf>
    <xf numFmtId="0" fontId="83" fillId="0" borderId="0" xfId="31" applyFont="1" applyAlignment="1">
      <alignment horizontal="center" vertical="center" wrapText="1"/>
    </xf>
    <xf numFmtId="0" fontId="84" fillId="0" borderId="0" xfId="31" applyFont="1" applyAlignment="1">
      <alignment horizontal="center" vertical="center" wrapText="1"/>
    </xf>
    <xf numFmtId="0" fontId="51" fillId="0" borderId="0" xfId="7" applyFont="1" applyAlignment="1">
      <alignment horizontal="center" vertical="center" wrapText="1"/>
    </xf>
    <xf numFmtId="0" fontId="53" fillId="0" borderId="0" xfId="33" applyFont="1" applyAlignment="1">
      <alignment horizontal="center" vertical="center" wrapText="1"/>
    </xf>
    <xf numFmtId="0" fontId="51" fillId="0" borderId="0" xfId="33" applyFont="1" applyAlignment="1">
      <alignment horizontal="center" vertical="center" wrapText="1"/>
    </xf>
    <xf numFmtId="0" fontId="85" fillId="0" borderId="0" xfId="33" applyFont="1" applyAlignment="1">
      <alignment horizontal="center" vertical="center" wrapText="1"/>
    </xf>
    <xf numFmtId="167" fontId="78" fillId="0" borderId="0" xfId="1" applyNumberFormat="1" applyFont="1" applyAlignment="1">
      <alignment horizontal="center"/>
    </xf>
    <xf numFmtId="3" fontId="5" fillId="0" borderId="0" xfId="31" applyNumberFormat="1" applyAlignment="1">
      <alignment horizontal="center"/>
    </xf>
    <xf numFmtId="167" fontId="3" fillId="0" borderId="0" xfId="1" applyNumberFormat="1" applyFont="1" applyAlignment="1">
      <alignment horizontal="center"/>
    </xf>
    <xf numFmtId="3" fontId="78" fillId="0" borderId="0" xfId="31" applyNumberFormat="1" applyFont="1" applyAlignment="1">
      <alignment horizontal="center"/>
    </xf>
    <xf numFmtId="1" fontId="5" fillId="0" borderId="0" xfId="31" applyNumberFormat="1" applyAlignment="1">
      <alignment horizontal="center"/>
    </xf>
    <xf numFmtId="165" fontId="0" fillId="0" borderId="0" xfId="0" applyNumberFormat="1"/>
    <xf numFmtId="9" fontId="19" fillId="0" borderId="0" xfId="1" applyFont="1" applyAlignment="1">
      <alignment horizontal="center"/>
    </xf>
    <xf numFmtId="9" fontId="23" fillId="0" borderId="0" xfId="1" applyFont="1" applyAlignment="1">
      <alignment horizontal="center"/>
    </xf>
    <xf numFmtId="9" fontId="23" fillId="0" borderId="0" xfId="32" applyFont="1" applyAlignment="1">
      <alignment horizontal="center"/>
    </xf>
    <xf numFmtId="1" fontId="19" fillId="0" borderId="0" xfId="33" applyNumberFormat="1" applyFont="1" applyAlignment="1">
      <alignment horizontal="center"/>
    </xf>
    <xf numFmtId="9" fontId="22" fillId="0" borderId="0" xfId="1" applyFont="1" applyAlignment="1">
      <alignment horizontal="center"/>
    </xf>
    <xf numFmtId="9" fontId="19" fillId="0" borderId="0" xfId="33" applyNumberFormat="1" applyFont="1" applyAlignment="1">
      <alignment horizontal="center" vertical="center" wrapText="1"/>
    </xf>
    <xf numFmtId="9" fontId="5" fillId="0" borderId="0" xfId="31" applyNumberFormat="1"/>
    <xf numFmtId="10" fontId="23" fillId="0" borderId="0" xfId="32" applyNumberFormat="1" applyFont="1" applyAlignment="1">
      <alignment horizontal="center"/>
    </xf>
    <xf numFmtId="167" fontId="23" fillId="0" borderId="0" xfId="32" applyNumberFormat="1" applyFont="1" applyAlignment="1">
      <alignment horizontal="center"/>
    </xf>
    <xf numFmtId="9" fontId="23" fillId="0" borderId="0" xfId="33" applyNumberFormat="1" applyFont="1" applyAlignment="1">
      <alignment horizontal="center"/>
    </xf>
    <xf numFmtId="10" fontId="23" fillId="0" borderId="0" xfId="33" applyNumberFormat="1" applyFont="1" applyAlignment="1">
      <alignment horizontal="center"/>
    </xf>
    <xf numFmtId="0" fontId="3" fillId="3" borderId="0" xfId="31" applyFont="1" applyFill="1"/>
    <xf numFmtId="9" fontId="3" fillId="3" borderId="0" xfId="1" applyFont="1" applyFill="1"/>
    <xf numFmtId="167" fontId="3" fillId="3" borderId="34" xfId="31" applyNumberFormat="1" applyFont="1" applyFill="1" applyBorder="1"/>
    <xf numFmtId="0" fontId="86" fillId="0" borderId="0" xfId="0" applyFont="1"/>
    <xf numFmtId="0" fontId="86" fillId="0" borderId="34" xfId="0" applyFont="1" applyBorder="1"/>
    <xf numFmtId="9" fontId="17" fillId="0" borderId="0" xfId="1" applyFont="1"/>
    <xf numFmtId="0" fontId="76" fillId="0" borderId="0" xfId="31" applyFont="1"/>
    <xf numFmtId="0" fontId="87" fillId="0" borderId="0" xfId="0" applyFont="1"/>
    <xf numFmtId="165" fontId="87" fillId="0" borderId="0" xfId="0" applyNumberFormat="1" applyFont="1"/>
    <xf numFmtId="9" fontId="23" fillId="0" borderId="0" xfId="1" applyFont="1" applyFill="1"/>
    <xf numFmtId="9" fontId="0" fillId="3" borderId="0" xfId="0" applyNumberFormat="1" applyFill="1"/>
    <xf numFmtId="167" fontId="60" fillId="3" borderId="0" xfId="31" applyNumberFormat="1" applyFont="1" applyFill="1" applyAlignment="1">
      <alignment horizontal="center" vertical="center"/>
    </xf>
    <xf numFmtId="0" fontId="43" fillId="3" borderId="35" xfId="31" applyFont="1" applyFill="1" applyBorder="1" applyAlignment="1">
      <alignment horizontal="center" vertical="center"/>
    </xf>
    <xf numFmtId="167" fontId="62" fillId="0" borderId="0" xfId="22" applyNumberFormat="1" applyFont="1"/>
    <xf numFmtId="0" fontId="44" fillId="3" borderId="69" xfId="31" applyFont="1" applyFill="1" applyBorder="1" applyAlignment="1">
      <alignment horizontal="center" vertical="center" wrapText="1"/>
    </xf>
    <xf numFmtId="9" fontId="37" fillId="3" borderId="46" xfId="32" applyFont="1" applyFill="1" applyBorder="1" applyAlignment="1">
      <alignment horizontal="center" vertical="center" wrapText="1"/>
    </xf>
    <xf numFmtId="9" fontId="37" fillId="3" borderId="10" xfId="32" applyFont="1" applyFill="1" applyBorder="1" applyAlignment="1">
      <alignment horizontal="center" vertical="center" wrapText="1"/>
    </xf>
    <xf numFmtId="174" fontId="37" fillId="0" borderId="10" xfId="32" quotePrefix="1" applyNumberFormat="1" applyFont="1" applyFill="1" applyBorder="1" applyAlignment="1">
      <alignment horizontal="center" vertical="center" wrapText="1"/>
    </xf>
    <xf numFmtId="0" fontId="5" fillId="3" borderId="10" xfId="31" applyFill="1" applyBorder="1"/>
    <xf numFmtId="174" fontId="37" fillId="0" borderId="76" xfId="32" quotePrefix="1" applyNumberFormat="1" applyFont="1" applyFill="1" applyBorder="1" applyAlignment="1">
      <alignment horizontal="center" vertical="center" wrapText="1"/>
    </xf>
    <xf numFmtId="167" fontId="3" fillId="3" borderId="0" xfId="1" applyNumberFormat="1" applyFont="1" applyFill="1" applyBorder="1" applyAlignment="1">
      <alignment horizontal="center"/>
    </xf>
    <xf numFmtId="0" fontId="0" fillId="0" borderId="19" xfId="0" applyBorder="1"/>
    <xf numFmtId="0" fontId="28" fillId="3" borderId="19" xfId="22" applyFont="1" applyFill="1" applyBorder="1"/>
    <xf numFmtId="0" fontId="28" fillId="3" borderId="26" xfId="22" applyFont="1" applyFill="1" applyBorder="1"/>
    <xf numFmtId="9" fontId="17" fillId="0" borderId="0" xfId="35" applyFont="1" applyBorder="1" applyAlignment="1">
      <alignment horizontal="center" vertical="center" wrapText="1"/>
    </xf>
    <xf numFmtId="1" fontId="23" fillId="0" borderId="0" xfId="33" applyNumberFormat="1" applyFont="1" applyAlignment="1">
      <alignment horizontal="center"/>
    </xf>
    <xf numFmtId="0" fontId="21" fillId="0" borderId="0" xfId="2" applyFont="1" applyAlignment="1" applyProtection="1">
      <alignment vertical="top"/>
      <protection locked="0"/>
    </xf>
    <xf numFmtId="0" fontId="23" fillId="0" borderId="0" xfId="34" applyAlignment="1">
      <alignment horizontal="center" vertical="center" wrapText="1"/>
    </xf>
    <xf numFmtId="0" fontId="26" fillId="0" borderId="0" xfId="34" applyFont="1" applyAlignment="1">
      <alignment horizontal="center" vertical="center" wrapText="1"/>
    </xf>
    <xf numFmtId="0" fontId="27" fillId="0" borderId="2" xfId="23" applyFont="1" applyBorder="1" applyAlignment="1">
      <alignment horizontal="center" vertical="center"/>
    </xf>
    <xf numFmtId="0" fontId="27" fillId="0" borderId="3" xfId="23" applyFont="1" applyBorder="1" applyAlignment="1">
      <alignment horizontal="center" vertical="center"/>
    </xf>
    <xf numFmtId="0" fontId="2" fillId="0" borderId="0" xfId="31" applyFont="1"/>
    <xf numFmtId="0" fontId="2" fillId="0" borderId="0" xfId="31" applyFont="1" applyAlignment="1">
      <alignment horizontal="center" vertical="center" wrapText="1"/>
    </xf>
    <xf numFmtId="167" fontId="2" fillId="0" borderId="0" xfId="1" applyNumberFormat="1" applyFont="1" applyAlignment="1">
      <alignment horizontal="center"/>
    </xf>
    <xf numFmtId="1" fontId="2" fillId="0" borderId="0" xfId="31" applyNumberFormat="1" applyFont="1" applyAlignment="1">
      <alignment horizontal="center"/>
    </xf>
    <xf numFmtId="9" fontId="2" fillId="0" borderId="0" xfId="1" applyFont="1" applyAlignment="1">
      <alignment horizontal="center"/>
    </xf>
    <xf numFmtId="9" fontId="2" fillId="0" borderId="0" xfId="1" applyFont="1"/>
    <xf numFmtId="167" fontId="2" fillId="0" borderId="0" xfId="1" applyNumberFormat="1" applyFont="1"/>
    <xf numFmtId="9" fontId="76" fillId="0" borderId="0" xfId="31" applyNumberFormat="1" applyFont="1" applyAlignment="1">
      <alignment horizontal="center"/>
    </xf>
    <xf numFmtId="9" fontId="88" fillId="0" borderId="0" xfId="1" applyFont="1" applyAlignment="1">
      <alignment horizontal="center"/>
    </xf>
    <xf numFmtId="10" fontId="37" fillId="3" borderId="0" xfId="1" applyNumberFormat="1" applyFont="1" applyFill="1" applyBorder="1" applyAlignment="1">
      <alignment horizontal="center" vertical="center"/>
    </xf>
    <xf numFmtId="1" fontId="88" fillId="0" borderId="0" xfId="33" applyNumberFormat="1" applyFont="1" applyAlignment="1">
      <alignment horizontal="center"/>
    </xf>
    <xf numFmtId="9" fontId="88" fillId="0" borderId="0" xfId="33" applyNumberFormat="1" applyFont="1" applyAlignment="1">
      <alignment horizontal="center" vertical="center" wrapText="1"/>
    </xf>
    <xf numFmtId="0" fontId="89" fillId="0" borderId="0" xfId="0" applyFont="1"/>
    <xf numFmtId="3" fontId="91" fillId="0" borderId="66" xfId="2" applyNumberFormat="1" applyFont="1" applyBorder="1" applyAlignment="1">
      <alignment horizontal="right"/>
    </xf>
    <xf numFmtId="0" fontId="91" fillId="0" borderId="78" xfId="2" applyFont="1" applyBorder="1" applyAlignment="1">
      <alignment horizontal="center" wrapText="1"/>
    </xf>
    <xf numFmtId="0" fontId="91" fillId="0" borderId="77" xfId="2" applyFont="1" applyBorder="1" applyAlignment="1">
      <alignment horizontal="left" indent="1"/>
    </xf>
    <xf numFmtId="0" fontId="92" fillId="0" borderId="77" xfId="2" applyFont="1" applyBorder="1" applyAlignment="1">
      <alignment horizontal="left"/>
    </xf>
    <xf numFmtId="0" fontId="91" fillId="0" borderId="79" xfId="2" applyFont="1" applyBorder="1" applyAlignment="1">
      <alignment horizontal="left" indent="1"/>
    </xf>
    <xf numFmtId="0" fontId="91" fillId="0" borderId="77" xfId="2" applyFont="1" applyBorder="1" applyAlignment="1">
      <alignment horizontal="left" indent="3"/>
    </xf>
    <xf numFmtId="0" fontId="91" fillId="0" borderId="77" xfId="2" applyFont="1" applyBorder="1" applyAlignment="1">
      <alignment horizontal="left"/>
    </xf>
    <xf numFmtId="0" fontId="91" fillId="0" borderId="77" xfId="2" applyFont="1" applyBorder="1" applyAlignment="1">
      <alignment horizontal="left" indent="2"/>
    </xf>
    <xf numFmtId="3" fontId="91" fillId="0" borderId="67" xfId="2" applyNumberFormat="1" applyFont="1" applyBorder="1" applyAlignment="1">
      <alignment horizontal="right"/>
    </xf>
    <xf numFmtId="3" fontId="92" fillId="0" borderId="66" xfId="2" applyNumberFormat="1" applyFont="1" applyBorder="1" applyAlignment="1">
      <alignment horizontal="right"/>
    </xf>
    <xf numFmtId="0" fontId="14" fillId="0" borderId="66" xfId="2" applyBorder="1" applyAlignment="1">
      <alignment horizontal="right"/>
    </xf>
    <xf numFmtId="3" fontId="0" fillId="0" borderId="0" xfId="0" applyNumberFormat="1"/>
    <xf numFmtId="9" fontId="76" fillId="0" borderId="0" xfId="1" applyFont="1"/>
    <xf numFmtId="0" fontId="91" fillId="0" borderId="80" xfId="2" applyFont="1" applyBorder="1" applyAlignment="1">
      <alignment horizontal="center" wrapText="1"/>
    </xf>
    <xf numFmtId="9" fontId="0" fillId="0" borderId="0" xfId="1" applyFont="1"/>
    <xf numFmtId="0" fontId="91" fillId="0" borderId="0" xfId="2" applyFont="1" applyAlignment="1">
      <alignment horizontal="center" wrapText="1"/>
    </xf>
    <xf numFmtId="3" fontId="92" fillId="0" borderId="0" xfId="2" applyNumberFormat="1" applyFont="1" applyAlignment="1">
      <alignment horizontal="right"/>
    </xf>
    <xf numFmtId="0" fontId="14" fillId="0" borderId="0" xfId="2" applyAlignment="1">
      <alignment horizontal="right"/>
    </xf>
    <xf numFmtId="3" fontId="91" fillId="0" borderId="0" xfId="2" applyNumberFormat="1" applyFont="1" applyAlignment="1">
      <alignment horizontal="right"/>
    </xf>
    <xf numFmtId="9" fontId="76" fillId="0" borderId="0" xfId="31" applyNumberFormat="1" applyFont="1"/>
    <xf numFmtId="9" fontId="22" fillId="0" borderId="0" xfId="32" applyFont="1" applyAlignment="1">
      <alignment horizontal="center"/>
    </xf>
    <xf numFmtId="9" fontId="94" fillId="0" borderId="0" xfId="1" applyFont="1"/>
    <xf numFmtId="0" fontId="95" fillId="3" borderId="0" xfId="31" applyFont="1" applyFill="1"/>
    <xf numFmtId="0" fontId="96" fillId="3" borderId="34" xfId="31" applyFont="1" applyFill="1" applyBorder="1"/>
    <xf numFmtId="0" fontId="96" fillId="3" borderId="0" xfId="31" applyFont="1" applyFill="1"/>
    <xf numFmtId="0" fontId="97" fillId="3" borderId="81" xfId="31" applyFont="1" applyFill="1" applyBorder="1" applyAlignment="1">
      <alignment vertical="center"/>
    </xf>
    <xf numFmtId="0" fontId="97" fillId="3" borderId="81" xfId="31" applyFont="1" applyFill="1" applyBorder="1"/>
    <xf numFmtId="0" fontId="96" fillId="3" borderId="81" xfId="31" applyFont="1" applyFill="1" applyBorder="1"/>
    <xf numFmtId="0" fontId="97" fillId="3" borderId="0" xfId="31" quotePrefix="1" applyFont="1" applyFill="1" applyAlignment="1">
      <alignment horizontal="left" vertical="center"/>
    </xf>
    <xf numFmtId="49" fontId="98" fillId="3" borderId="0" xfId="1" applyNumberFormat="1" applyFont="1" applyFill="1" applyBorder="1" applyAlignment="1">
      <alignment horizontal="center" vertical="center"/>
    </xf>
    <xf numFmtId="0" fontId="95" fillId="3" borderId="0" xfId="31" applyFont="1" applyFill="1" applyAlignment="1">
      <alignment vertical="center"/>
    </xf>
    <xf numFmtId="0" fontId="97" fillId="3" borderId="0" xfId="31" quotePrefix="1" applyFont="1" applyFill="1" applyAlignment="1">
      <alignment horizontal="left" vertical="center" wrapText="1"/>
    </xf>
    <xf numFmtId="0" fontId="98" fillId="0" borderId="0" xfId="0" applyFont="1"/>
    <xf numFmtId="167" fontId="0" fillId="0" borderId="0" xfId="1" applyNumberFormat="1" applyFont="1"/>
    <xf numFmtId="0" fontId="1" fillId="0" borderId="0" xfId="31" applyFont="1"/>
    <xf numFmtId="0" fontId="5" fillId="0" borderId="0" xfId="1" applyNumberFormat="1" applyFont="1"/>
    <xf numFmtId="167" fontId="5" fillId="0" borderId="0" xfId="1" applyNumberFormat="1" applyFont="1"/>
    <xf numFmtId="9" fontId="28" fillId="3" borderId="0" xfId="22" applyNumberFormat="1" applyFont="1" applyFill="1"/>
    <xf numFmtId="3" fontId="14" fillId="0" borderId="0" xfId="0" applyNumberFormat="1" applyFont="1"/>
    <xf numFmtId="4" fontId="14" fillId="0" borderId="0" xfId="0" applyNumberFormat="1" applyFont="1"/>
    <xf numFmtId="175" fontId="14" fillId="0" borderId="0" xfId="0" applyNumberFormat="1" applyFont="1"/>
    <xf numFmtId="0" fontId="99" fillId="0" borderId="0" xfId="0" applyFont="1"/>
    <xf numFmtId="167" fontId="0" fillId="0" borderId="0" xfId="0" applyNumberFormat="1"/>
    <xf numFmtId="0" fontId="66" fillId="0" borderId="35" xfId="22" applyFont="1" applyBorder="1" applyAlignment="1">
      <alignment horizontal="center" vertical="center" wrapText="1"/>
    </xf>
    <xf numFmtId="0" fontId="35" fillId="3" borderId="75" xfId="22" applyFont="1" applyFill="1" applyBorder="1" applyAlignment="1">
      <alignment horizontal="center" vertical="center" wrapText="1"/>
    </xf>
    <xf numFmtId="9" fontId="35" fillId="3" borderId="26" xfId="1" applyFont="1" applyFill="1" applyBorder="1" applyAlignment="1">
      <alignment horizontal="center"/>
    </xf>
    <xf numFmtId="0" fontId="17" fillId="0" borderId="0" xfId="2" applyFont="1" applyAlignment="1" applyProtection="1">
      <alignment vertical="top"/>
      <protection locked="0"/>
    </xf>
    <xf numFmtId="0" fontId="21" fillId="0" borderId="0" xfId="2" applyFont="1" applyAlignment="1" applyProtection="1">
      <alignment vertical="top"/>
      <protection locked="0"/>
    </xf>
    <xf numFmtId="0" fontId="21" fillId="0" borderId="0" xfId="2" applyFont="1" applyAlignment="1" applyProtection="1">
      <alignment horizontal="left" vertical="top"/>
      <protection locked="0"/>
    </xf>
    <xf numFmtId="0" fontId="50" fillId="0" borderId="0" xfId="2" applyFont="1" applyAlignment="1" applyProtection="1">
      <alignment vertical="center"/>
      <protection locked="0"/>
    </xf>
    <xf numFmtId="0" fontId="19" fillId="0" borderId="72" xfId="33" applyFont="1" applyBorder="1" applyAlignment="1">
      <alignment horizontal="center" vertical="center"/>
    </xf>
    <xf numFmtId="0" fontId="19" fillId="0" borderId="54" xfId="33" applyFont="1" applyBorder="1" applyAlignment="1">
      <alignment horizontal="center" vertical="center"/>
    </xf>
    <xf numFmtId="0" fontId="19" fillId="0" borderId="73" xfId="33" applyFont="1" applyBorder="1" applyAlignment="1">
      <alignment horizontal="center" vertical="center"/>
    </xf>
    <xf numFmtId="0" fontId="23" fillId="0" borderId="16" xfId="33" applyFont="1" applyBorder="1" applyAlignment="1">
      <alignment vertical="center" wrapText="1"/>
    </xf>
    <xf numFmtId="0" fontId="23" fillId="0" borderId="8" xfId="33" applyFont="1" applyBorder="1" applyAlignment="1">
      <alignment vertical="center" wrapText="1"/>
    </xf>
    <xf numFmtId="0" fontId="23" fillId="0" borderId="17" xfId="33" applyFont="1" applyBorder="1" applyAlignment="1">
      <alignment vertical="center" wrapText="1"/>
    </xf>
    <xf numFmtId="0" fontId="27" fillId="0" borderId="1" xfId="33" applyFont="1" applyBorder="1" applyAlignment="1">
      <alignment horizontal="center" vertical="center" wrapText="1"/>
    </xf>
    <xf numFmtId="0" fontId="27" fillId="0" borderId="2" xfId="33" applyFont="1" applyBorder="1" applyAlignment="1">
      <alignment horizontal="center" vertical="center" wrapText="1"/>
    </xf>
    <xf numFmtId="0" fontId="27" fillId="0" borderId="3" xfId="33" applyFont="1" applyBorder="1" applyAlignment="1">
      <alignment horizontal="center" vertical="center" wrapText="1"/>
    </xf>
    <xf numFmtId="0" fontId="19" fillId="0" borderId="45" xfId="33" applyFont="1" applyBorder="1" applyAlignment="1">
      <alignment horizontal="center" vertical="center"/>
    </xf>
    <xf numFmtId="0" fontId="19" fillId="0" borderId="47" xfId="33" applyFont="1" applyBorder="1" applyAlignment="1">
      <alignment horizontal="center" vertical="center"/>
    </xf>
    <xf numFmtId="0" fontId="0" fillId="0" borderId="45" xfId="33" applyFont="1" applyBorder="1" applyAlignment="1">
      <alignment horizontal="center" vertical="center" wrapText="1"/>
    </xf>
    <xf numFmtId="0" fontId="23" fillId="0" borderId="9" xfId="33" applyFont="1" applyBorder="1" applyAlignment="1">
      <alignment horizontal="center" vertical="center" wrapText="1"/>
    </xf>
    <xf numFmtId="0" fontId="23" fillId="0" borderId="25" xfId="33" applyFont="1" applyBorder="1" applyAlignment="1">
      <alignment horizontal="center" vertical="center" wrapText="1"/>
    </xf>
    <xf numFmtId="0" fontId="0" fillId="0" borderId="57" xfId="33" applyFont="1" applyBorder="1" applyAlignment="1">
      <alignment horizontal="center" vertical="center" wrapText="1"/>
    </xf>
    <xf numFmtId="0" fontId="23" fillId="0" borderId="5" xfId="33" applyFont="1" applyBorder="1" applyAlignment="1">
      <alignment horizontal="center" vertical="center" wrapText="1"/>
    </xf>
    <xf numFmtId="0" fontId="23" fillId="0" borderId="32" xfId="33" applyFont="1" applyBorder="1" applyAlignment="1">
      <alignment horizontal="center" vertical="center" wrapText="1"/>
    </xf>
    <xf numFmtId="0" fontId="0" fillId="0" borderId="6" xfId="33" applyFont="1" applyBorder="1" applyAlignment="1">
      <alignment horizontal="center" vertical="center"/>
    </xf>
    <xf numFmtId="0" fontId="0" fillId="0" borderId="7" xfId="33" applyFont="1" applyBorder="1" applyAlignment="1">
      <alignment horizontal="center" vertical="center"/>
    </xf>
    <xf numFmtId="0" fontId="19" fillId="0" borderId="45" xfId="33" applyFont="1" applyBorder="1" applyAlignment="1">
      <alignment horizontal="center" vertical="center" wrapText="1"/>
    </xf>
    <xf numFmtId="0" fontId="19" fillId="0" borderId="25" xfId="33" applyFont="1" applyBorder="1" applyAlignment="1">
      <alignment horizontal="center" vertical="center" wrapText="1"/>
    </xf>
    <xf numFmtId="0" fontId="23" fillId="0" borderId="0" xfId="34" applyAlignment="1">
      <alignment horizontal="center" vertical="center" wrapText="1"/>
    </xf>
    <xf numFmtId="0" fontId="23" fillId="0" borderId="5" xfId="34" applyBorder="1" applyAlignment="1">
      <alignment horizontal="center" vertical="center" wrapText="1"/>
    </xf>
    <xf numFmtId="0" fontId="19" fillId="0" borderId="10" xfId="33" applyFont="1" applyBorder="1" applyAlignment="1">
      <alignment horizontal="center" vertical="center"/>
    </xf>
    <xf numFmtId="0" fontId="19" fillId="0" borderId="0" xfId="33" applyFont="1" applyAlignment="1">
      <alignment horizontal="center" vertical="center"/>
    </xf>
    <xf numFmtId="0" fontId="19" fillId="0" borderId="5" xfId="33" applyFont="1" applyBorder="1" applyAlignment="1">
      <alignment horizontal="center" vertical="center"/>
    </xf>
    <xf numFmtId="0" fontId="26" fillId="0" borderId="0" xfId="33" applyFont="1" applyAlignment="1">
      <alignment horizontal="center" vertical="center" wrapText="1"/>
    </xf>
    <xf numFmtId="0" fontId="26" fillId="0" borderId="4" xfId="33" applyFont="1" applyBorder="1" applyAlignment="1">
      <alignment horizontal="center" vertical="center" wrapText="1"/>
    </xf>
    <xf numFmtId="0" fontId="19" fillId="0" borderId="4" xfId="33" applyFont="1" applyBorder="1" applyAlignment="1">
      <alignment horizontal="center" vertical="center"/>
    </xf>
    <xf numFmtId="0" fontId="26" fillId="0" borderId="10" xfId="34" applyFont="1" applyBorder="1" applyAlignment="1">
      <alignment horizontal="center" vertical="center" wrapText="1"/>
    </xf>
    <xf numFmtId="0" fontId="26" fillId="0" borderId="0" xfId="34" applyFont="1" applyAlignment="1">
      <alignment horizontal="center" vertical="center" wrapText="1"/>
    </xf>
    <xf numFmtId="0" fontId="92" fillId="0" borderId="0" xfId="2" applyFont="1" applyAlignment="1">
      <alignment horizontal="center"/>
    </xf>
    <xf numFmtId="0" fontId="14" fillId="0" borderId="0" xfId="2"/>
    <xf numFmtId="0" fontId="91" fillId="0" borderId="0" xfId="2" applyFont="1" applyAlignment="1">
      <alignment horizontal="center"/>
    </xf>
    <xf numFmtId="0" fontId="91" fillId="0" borderId="78" xfId="2" applyFont="1" applyBorder="1" applyAlignment="1">
      <alignment horizontal="center" wrapText="1"/>
    </xf>
    <xf numFmtId="0" fontId="48" fillId="0" borderId="0" xfId="36" applyFont="1" applyAlignment="1">
      <alignment horizontal="left" vertical="center" wrapText="1"/>
    </xf>
    <xf numFmtId="0" fontId="51" fillId="0" borderId="0" xfId="36" applyFont="1"/>
    <xf numFmtId="0" fontId="21" fillId="0" borderId="30" xfId="36" applyBorder="1" applyAlignment="1">
      <alignment horizontal="center" vertical="center"/>
    </xf>
    <xf numFmtId="0" fontId="51" fillId="0" borderId="26" xfId="36" applyFont="1" applyBorder="1" applyAlignment="1">
      <alignment horizontal="center" vertical="center"/>
    </xf>
    <xf numFmtId="0" fontId="51" fillId="0" borderId="29" xfId="36" applyFont="1" applyBorder="1" applyAlignment="1">
      <alignment horizontal="center" vertical="center"/>
    </xf>
    <xf numFmtId="0" fontId="21" fillId="0" borderId="21" xfId="36" applyBorder="1" applyAlignment="1">
      <alignment horizontal="center" vertical="center" wrapText="1"/>
    </xf>
    <xf numFmtId="0" fontId="51" fillId="0" borderId="29" xfId="36" applyFont="1" applyBorder="1" applyAlignment="1">
      <alignment horizontal="center" vertical="center" wrapText="1"/>
    </xf>
    <xf numFmtId="0" fontId="21" fillId="0" borderId="10" xfId="36" applyBorder="1" applyAlignment="1">
      <alignment horizontal="center" vertical="center" wrapText="1"/>
    </xf>
    <xf numFmtId="0" fontId="51" fillId="0" borderId="30" xfId="36" applyFont="1" applyBorder="1" applyAlignment="1">
      <alignment horizontal="center" vertical="center" wrapText="1"/>
    </xf>
    <xf numFmtId="0" fontId="21" fillId="0" borderId="30" xfId="36" applyBorder="1" applyAlignment="1">
      <alignment horizontal="center" vertical="center" wrapText="1"/>
    </xf>
    <xf numFmtId="0" fontId="56" fillId="0" borderId="0" xfId="36" applyFont="1" applyAlignment="1">
      <alignment wrapText="1"/>
    </xf>
    <xf numFmtId="0" fontId="55" fillId="0" borderId="0" xfId="36" applyFont="1"/>
    <xf numFmtId="0" fontId="56" fillId="0" borderId="19" xfId="36" applyFont="1" applyBorder="1" applyAlignment="1">
      <alignment horizontal="left" vertical="center" wrapText="1"/>
    </xf>
    <xf numFmtId="0" fontId="55" fillId="0" borderId="19" xfId="36" applyFont="1" applyBorder="1"/>
    <xf numFmtId="0" fontId="21" fillId="0" borderId="66" xfId="36" applyBorder="1" applyAlignment="1">
      <alignment horizontal="center" vertical="center" wrapText="1"/>
    </xf>
    <xf numFmtId="0" fontId="21" fillId="0" borderId="67" xfId="36" applyBorder="1" applyAlignment="1">
      <alignment horizontal="center" vertical="center" wrapText="1"/>
    </xf>
    <xf numFmtId="0" fontId="56" fillId="0" borderId="47" xfId="36" applyFont="1" applyBorder="1" applyAlignment="1">
      <alignment wrapText="1"/>
    </xf>
    <xf numFmtId="0" fontId="55" fillId="0" borderId="47" xfId="36" applyFont="1" applyBorder="1"/>
    <xf numFmtId="0" fontId="56" fillId="0" borderId="0" xfId="36" applyFont="1"/>
    <xf numFmtId="0" fontId="21" fillId="0" borderId="0" xfId="36" applyAlignment="1">
      <alignment horizontal="center" vertical="center" wrapText="1"/>
    </xf>
    <xf numFmtId="0" fontId="21" fillId="0" borderId="26" xfId="36" applyBorder="1" applyAlignment="1">
      <alignment horizontal="center" vertical="center" wrapText="1"/>
    </xf>
    <xf numFmtId="0" fontId="67" fillId="0" borderId="68" xfId="0" applyFont="1" applyBorder="1" applyAlignment="1">
      <alignment horizontal="center"/>
    </xf>
    <xf numFmtId="0" fontId="70" fillId="0" borderId="69" xfId="2" applyFont="1" applyBorder="1" applyAlignment="1">
      <alignment horizontal="center" vertical="center"/>
    </xf>
    <xf numFmtId="0" fontId="70" fillId="0" borderId="54" xfId="2" applyFont="1" applyBorder="1" applyAlignment="1">
      <alignment horizontal="center" vertical="center"/>
    </xf>
    <xf numFmtId="0" fontId="70" fillId="0" borderId="71" xfId="2" applyFont="1" applyBorder="1" applyAlignment="1">
      <alignment horizontal="center" vertical="center"/>
    </xf>
    <xf numFmtId="0" fontId="71" fillId="0" borderId="26" xfId="23" applyFont="1" applyBorder="1" applyAlignment="1">
      <alignment horizontal="center" vertical="center"/>
    </xf>
    <xf numFmtId="0" fontId="19" fillId="0" borderId="11" xfId="23" applyFont="1" applyBorder="1" applyAlignment="1">
      <alignment horizontal="center" vertical="center" wrapText="1"/>
    </xf>
    <xf numFmtId="0" fontId="19" fillId="0" borderId="27" xfId="23" applyFont="1" applyBorder="1" applyAlignment="1">
      <alignment horizontal="center" vertical="center" wrapText="1"/>
    </xf>
    <xf numFmtId="0" fontId="27" fillId="0" borderId="1" xfId="23" applyFont="1" applyBorder="1" applyAlignment="1">
      <alignment horizontal="center" vertical="center"/>
    </xf>
    <xf numFmtId="0" fontId="27" fillId="0" borderId="2" xfId="23" applyFont="1" applyBorder="1" applyAlignment="1">
      <alignment horizontal="center" vertical="center"/>
    </xf>
    <xf numFmtId="0" fontId="27" fillId="0" borderId="3" xfId="23" applyFont="1" applyBorder="1" applyAlignment="1">
      <alignment horizontal="center" vertical="center"/>
    </xf>
    <xf numFmtId="0" fontId="23" fillId="0" borderId="69" xfId="23" applyFont="1" applyBorder="1" applyAlignment="1">
      <alignment horizontal="center" vertical="center"/>
    </xf>
    <xf numFmtId="0" fontId="23" fillId="0" borderId="54" xfId="23" applyFont="1" applyBorder="1" applyAlignment="1">
      <alignment horizontal="center" vertical="center"/>
    </xf>
    <xf numFmtId="0" fontId="23" fillId="0" borderId="73" xfId="23" applyFont="1" applyBorder="1" applyAlignment="1">
      <alignment horizontal="center" vertical="center"/>
    </xf>
    <xf numFmtId="0" fontId="73" fillId="0" borderId="69" xfId="23" applyFont="1" applyBorder="1" applyAlignment="1">
      <alignment horizontal="center" vertical="center"/>
    </xf>
    <xf numFmtId="0" fontId="73" fillId="0" borderId="54" xfId="23" applyFont="1" applyBorder="1" applyAlignment="1">
      <alignment horizontal="center" vertical="center"/>
    </xf>
    <xf numFmtId="0" fontId="73" fillId="0" borderId="71" xfId="23" applyFont="1" applyBorder="1" applyAlignment="1">
      <alignment horizontal="center" vertical="center"/>
    </xf>
    <xf numFmtId="0" fontId="74" fillId="0" borderId="69" xfId="23" applyFont="1" applyBorder="1" applyAlignment="1">
      <alignment horizontal="center" vertical="center"/>
    </xf>
    <xf numFmtId="0" fontId="74" fillId="0" borderId="54" xfId="23" applyFont="1" applyBorder="1" applyAlignment="1">
      <alignment horizontal="center" vertical="center"/>
    </xf>
    <xf numFmtId="0" fontId="74" fillId="0" borderId="71" xfId="23" applyFont="1" applyBorder="1" applyAlignment="1">
      <alignment horizontal="center" vertical="center"/>
    </xf>
    <xf numFmtId="0" fontId="73" fillId="0" borderId="1" xfId="23" applyFont="1" applyBorder="1" applyAlignment="1">
      <alignment horizontal="center" vertical="center"/>
    </xf>
    <xf numFmtId="0" fontId="73" fillId="0" borderId="2" xfId="23" applyFont="1" applyBorder="1" applyAlignment="1">
      <alignment horizontal="center" vertical="center"/>
    </xf>
    <xf numFmtId="0" fontId="73" fillId="0" borderId="3" xfId="23" applyFont="1" applyBorder="1" applyAlignment="1">
      <alignment horizontal="center" vertical="center"/>
    </xf>
  </cellXfs>
  <cellStyles count="41">
    <cellStyle name="Comma 10" xfId="20" xr:uid="{00000000-0005-0000-0000-000000000000}"/>
    <cellStyle name="Comma 13" xfId="5" xr:uid="{00000000-0005-0000-0000-000001000000}"/>
    <cellStyle name="Comma 2" xfId="9" xr:uid="{00000000-0005-0000-0000-000002000000}"/>
    <cellStyle name="Comma 2 5" xfId="19" xr:uid="{00000000-0005-0000-0000-000003000000}"/>
    <cellStyle name="Hyperlink" xfId="30" builtinId="8"/>
    <cellStyle name="Hyperlink 2" xfId="17" xr:uid="{00000000-0005-0000-0000-000004000000}"/>
    <cellStyle name="Hyperlink 3" xfId="40" xr:uid="{00000000-0005-0000-0000-000056000000}"/>
    <cellStyle name="Normal" xfId="0" builtinId="0"/>
    <cellStyle name="Normal 10" xfId="16" xr:uid="{00000000-0005-0000-0000-000007000000}"/>
    <cellStyle name="Normal 11" xfId="38" xr:uid="{00000000-0005-0000-0000-000054000000}"/>
    <cellStyle name="Normal 11 2" xfId="2" xr:uid="{00000000-0005-0000-0000-000008000000}"/>
    <cellStyle name="Normal 15 4" xfId="4" xr:uid="{00000000-0005-0000-0000-000009000000}"/>
    <cellStyle name="Normal 2" xfId="7" xr:uid="{00000000-0005-0000-0000-00000A000000}"/>
    <cellStyle name="Normal 2 2" xfId="18" xr:uid="{00000000-0005-0000-0000-00000B000000}"/>
    <cellStyle name="Normal 2 3" xfId="23" xr:uid="{00000000-0005-0000-0000-00000C000000}"/>
    <cellStyle name="Normal 2 4" xfId="34" xr:uid="{00000000-0005-0000-0000-00000D000000}"/>
    <cellStyle name="Normal 2 5" xfId="36" xr:uid="{8A0211B1-18E6-D641-BE6C-0AC75E91BE25}"/>
    <cellStyle name="Normal 22" xfId="24" xr:uid="{00000000-0005-0000-0000-00000E000000}"/>
    <cellStyle name="Normal 29" xfId="25" xr:uid="{00000000-0005-0000-0000-00000F000000}"/>
    <cellStyle name="Normal 3" xfId="10" xr:uid="{00000000-0005-0000-0000-000010000000}"/>
    <cellStyle name="Normal 3 2 2 2" xfId="28" xr:uid="{00000000-0005-0000-0000-000011000000}"/>
    <cellStyle name="Normal 32" xfId="33" xr:uid="{00000000-0005-0000-0000-000012000000}"/>
    <cellStyle name="Normal 34" xfId="27" xr:uid="{00000000-0005-0000-0000-000013000000}"/>
    <cellStyle name="Normal 36" xfId="6" xr:uid="{00000000-0005-0000-0000-000014000000}"/>
    <cellStyle name="Normal 4" xfId="13" xr:uid="{00000000-0005-0000-0000-000015000000}"/>
    <cellStyle name="Normal 5" xfId="14" xr:uid="{00000000-0005-0000-0000-000016000000}"/>
    <cellStyle name="Normal 6" xfId="15" xr:uid="{00000000-0005-0000-0000-000017000000}"/>
    <cellStyle name="Normal 7" xfId="21" xr:uid="{00000000-0005-0000-0000-000018000000}"/>
    <cellStyle name="Normal 8" xfId="22" xr:uid="{00000000-0005-0000-0000-000019000000}"/>
    <cellStyle name="Normal 9" xfId="31" xr:uid="{00000000-0005-0000-0000-00001A000000}"/>
    <cellStyle name="Normal_AppendixTables(NationalAccountsData).xls" xfId="3" xr:uid="{00000000-0005-0000-0000-00001B000000}"/>
    <cellStyle name="Percent" xfId="1" builtinId="5"/>
    <cellStyle name="Percent 17" xfId="29" xr:uid="{00000000-0005-0000-0000-00001C000000}"/>
    <cellStyle name="Percent 2" xfId="8" xr:uid="{00000000-0005-0000-0000-00001D000000}"/>
    <cellStyle name="Percent 2 2" xfId="35" xr:uid="{00000000-0005-0000-0000-00001E000000}"/>
    <cellStyle name="Percent 3" xfId="11" xr:uid="{00000000-0005-0000-0000-00001F000000}"/>
    <cellStyle name="Percent 4" xfId="32" xr:uid="{00000000-0005-0000-0000-000020000000}"/>
    <cellStyle name="Percent 5" xfId="37" xr:uid="{1CB3F3C7-80E4-9941-8BFD-92ABE84E5CD8}"/>
    <cellStyle name="Percent 6" xfId="26" xr:uid="{00000000-0005-0000-0000-000021000000}"/>
    <cellStyle name="Percent 7" xfId="39" xr:uid="{00000000-0005-0000-0000-000057000000}"/>
    <cellStyle name="Procent 2" xfId="12" xr:uid="{00000000-0005-0000-0000-000023000000}"/>
  </cellStyles>
  <dxfs count="1">
    <dxf>
      <font>
        <color rgb="FF9C0006"/>
      </font>
      <fill>
        <patternFill>
          <bgColor rgb="FFFFC7CE"/>
        </patternFill>
      </fill>
    </dxf>
  </dxfs>
  <tableStyles count="0" defaultTableStyle="TableStyleMedium2" defaultPivotStyle="PivotStyleLight16"/>
  <colors>
    <mruColors>
      <color rgb="FFEAA192"/>
      <color rgb="FFFF7C8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chartsheet" Target="chartsheets/sheet6.xml"/><Relationship Id="rId18" Type="http://schemas.openxmlformats.org/officeDocument/2006/relationships/worksheet" Target="worksheets/sheet10.xml"/><Relationship Id="rId26" Type="http://schemas.openxmlformats.org/officeDocument/2006/relationships/chartsheet" Target="chartsheets/sheet12.xml"/><Relationship Id="rId39" Type="http://schemas.openxmlformats.org/officeDocument/2006/relationships/worksheet" Target="worksheets/sheet24.xml"/><Relationship Id="rId21" Type="http://schemas.openxmlformats.org/officeDocument/2006/relationships/chartsheet" Target="chartsheets/sheet10.xml"/><Relationship Id="rId34" Type="http://schemas.openxmlformats.org/officeDocument/2006/relationships/worksheet" Target="worksheets/sheet19.xml"/><Relationship Id="rId42" Type="http://schemas.openxmlformats.org/officeDocument/2006/relationships/worksheet" Target="worksheets/sheet27.xml"/><Relationship Id="rId47" Type="http://schemas.openxmlformats.org/officeDocument/2006/relationships/worksheet" Target="worksheets/sheet32.xml"/><Relationship Id="rId50" Type="http://schemas.openxmlformats.org/officeDocument/2006/relationships/sharedStrings" Target="sharedStrings.xml"/><Relationship Id="rId7" Type="http://schemas.openxmlformats.org/officeDocument/2006/relationships/chartsheet" Target="chartsheets/sheet3.xml"/><Relationship Id="rId2" Type="http://schemas.openxmlformats.org/officeDocument/2006/relationships/worksheet" Target="worksheets/sheet2.xml"/><Relationship Id="rId16" Type="http://schemas.openxmlformats.org/officeDocument/2006/relationships/worksheet" Target="worksheets/sheet8.xml"/><Relationship Id="rId29" Type="http://schemas.openxmlformats.org/officeDocument/2006/relationships/chartsheet" Target="chartsheets/sheet15.xml"/><Relationship Id="rId11" Type="http://schemas.openxmlformats.org/officeDocument/2006/relationships/chartsheet" Target="chartsheets/sheet5.xml"/><Relationship Id="rId24" Type="http://schemas.openxmlformats.org/officeDocument/2006/relationships/chartsheet" Target="chartsheets/sheet11.xml"/><Relationship Id="rId32" Type="http://schemas.openxmlformats.org/officeDocument/2006/relationships/worksheet" Target="worksheets/sheet17.xml"/><Relationship Id="rId37" Type="http://schemas.openxmlformats.org/officeDocument/2006/relationships/worksheet" Target="worksheets/sheet22.xml"/><Relationship Id="rId40" Type="http://schemas.openxmlformats.org/officeDocument/2006/relationships/worksheet" Target="worksheets/sheet25.xml"/><Relationship Id="rId45" Type="http://schemas.openxmlformats.org/officeDocument/2006/relationships/worksheet" Target="worksheets/sheet30.xml"/><Relationship Id="rId5" Type="http://schemas.openxmlformats.org/officeDocument/2006/relationships/chartsheet" Target="chartsheets/sheet2.xml"/><Relationship Id="rId15" Type="http://schemas.openxmlformats.org/officeDocument/2006/relationships/chartsheet" Target="chartsheets/sheet8.xml"/><Relationship Id="rId23" Type="http://schemas.openxmlformats.org/officeDocument/2006/relationships/worksheet" Target="worksheets/sheet13.xml"/><Relationship Id="rId28" Type="http://schemas.openxmlformats.org/officeDocument/2006/relationships/chartsheet" Target="chartsheets/sheet14.xml"/><Relationship Id="rId36" Type="http://schemas.openxmlformats.org/officeDocument/2006/relationships/worksheet" Target="worksheets/sheet21.xml"/><Relationship Id="rId49" Type="http://schemas.openxmlformats.org/officeDocument/2006/relationships/styles" Target="styles.xml"/><Relationship Id="rId10" Type="http://schemas.openxmlformats.org/officeDocument/2006/relationships/chartsheet" Target="chartsheets/sheet4.xml"/><Relationship Id="rId19" Type="http://schemas.openxmlformats.org/officeDocument/2006/relationships/worksheet" Target="worksheets/sheet11.xml"/><Relationship Id="rId31" Type="http://schemas.openxmlformats.org/officeDocument/2006/relationships/worksheet" Target="worksheets/sheet16.xml"/><Relationship Id="rId44" Type="http://schemas.openxmlformats.org/officeDocument/2006/relationships/worksheet" Target="worksheets/sheet29.xml"/><Relationship Id="rId52" Type="http://schemas.openxmlformats.org/officeDocument/2006/relationships/calcChain" Target="calcChain.xml"/><Relationship Id="rId4" Type="http://schemas.openxmlformats.org/officeDocument/2006/relationships/chartsheet" Target="chartsheets/sheet1.xml"/><Relationship Id="rId9" Type="http://schemas.openxmlformats.org/officeDocument/2006/relationships/worksheet" Target="worksheets/sheet6.xml"/><Relationship Id="rId14" Type="http://schemas.openxmlformats.org/officeDocument/2006/relationships/chartsheet" Target="chartsheets/sheet7.xml"/><Relationship Id="rId22" Type="http://schemas.openxmlformats.org/officeDocument/2006/relationships/worksheet" Target="worksheets/sheet12.xml"/><Relationship Id="rId27" Type="http://schemas.openxmlformats.org/officeDocument/2006/relationships/chartsheet" Target="chartsheets/sheet13.xml"/><Relationship Id="rId30" Type="http://schemas.openxmlformats.org/officeDocument/2006/relationships/worksheet" Target="worksheets/sheet15.xml"/><Relationship Id="rId35" Type="http://schemas.openxmlformats.org/officeDocument/2006/relationships/worksheet" Target="worksheets/sheet20.xml"/><Relationship Id="rId43" Type="http://schemas.openxmlformats.org/officeDocument/2006/relationships/worksheet" Target="worksheets/sheet28.xml"/><Relationship Id="rId48" Type="http://schemas.openxmlformats.org/officeDocument/2006/relationships/theme" Target="theme/theme1.xml"/><Relationship Id="rId8" Type="http://schemas.openxmlformats.org/officeDocument/2006/relationships/worksheet" Target="worksheets/sheet5.xml"/><Relationship Id="rId51" Type="http://schemas.microsoft.com/office/2017/10/relationships/person" Target="persons/person.xml"/><Relationship Id="rId3" Type="http://schemas.openxmlformats.org/officeDocument/2006/relationships/worksheet" Target="worksheets/sheet3.xml"/><Relationship Id="rId12" Type="http://schemas.openxmlformats.org/officeDocument/2006/relationships/worksheet" Target="worksheets/sheet7.xml"/><Relationship Id="rId17" Type="http://schemas.openxmlformats.org/officeDocument/2006/relationships/worksheet" Target="worksheets/sheet9.xml"/><Relationship Id="rId25" Type="http://schemas.openxmlformats.org/officeDocument/2006/relationships/worksheet" Target="worksheets/sheet14.xml"/><Relationship Id="rId33" Type="http://schemas.openxmlformats.org/officeDocument/2006/relationships/worksheet" Target="worksheets/sheet18.xml"/><Relationship Id="rId38" Type="http://schemas.openxmlformats.org/officeDocument/2006/relationships/worksheet" Target="worksheets/sheet23.xml"/><Relationship Id="rId46" Type="http://schemas.openxmlformats.org/officeDocument/2006/relationships/worksheet" Target="worksheets/sheet31.xml"/><Relationship Id="rId20" Type="http://schemas.openxmlformats.org/officeDocument/2006/relationships/chartsheet" Target="chartsheets/sheet9.xml"/><Relationship Id="rId41" Type="http://schemas.openxmlformats.org/officeDocument/2006/relationships/worksheet" Target="worksheets/sheet26.xml"/><Relationship Id="rId1" Type="http://schemas.openxmlformats.org/officeDocument/2006/relationships/worksheet" Target="worksheets/sheet1.xml"/><Relationship Id="rId6"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12.xml.rels><?xml version="1.0" encoding="UTF-8" standalone="yes"?>
<Relationships xmlns="http://schemas.openxmlformats.org/package/2006/relationships"><Relationship Id="rId2" Type="http://schemas.openxmlformats.org/officeDocument/2006/relationships/chartUserShapes" Target="../drawings/drawing17.xml"/><Relationship Id="rId1" Type="http://schemas.openxmlformats.org/officeDocument/2006/relationships/themeOverride" Target="../theme/themeOverride1.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19.xml"/><Relationship Id="rId2" Type="http://schemas.microsoft.com/office/2011/relationships/chartColorStyle" Target="colors5.xml"/><Relationship Id="rId1" Type="http://schemas.microsoft.com/office/2011/relationships/chartStyle" Target="style5.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21.xml"/><Relationship Id="rId2" Type="http://schemas.microsoft.com/office/2011/relationships/chartColorStyle" Target="colors6.xml"/><Relationship Id="rId1" Type="http://schemas.microsoft.com/office/2011/relationships/chartStyle" Target="style6.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23.xml"/><Relationship Id="rId2" Type="http://schemas.microsoft.com/office/2011/relationships/chartColorStyle" Target="colors7.xml"/><Relationship Id="rId1" Type="http://schemas.microsoft.com/office/2011/relationships/chartStyle" Target="style7.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25.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29.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20.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5.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7.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200" b="0"/>
            </a:pPr>
            <a:r>
              <a:rPr lang="en-US" sz="2200" b="1"/>
              <a:t>Pre-tax</a:t>
            </a:r>
            <a:r>
              <a:rPr lang="en-US" sz="2200" b="1" baseline="0"/>
              <a:t> </a:t>
            </a:r>
            <a:r>
              <a:rPr lang="en-US" sz="2200" b="1"/>
              <a:t>corporate</a:t>
            </a:r>
            <a:r>
              <a:rPr lang="en-US" sz="2200" b="1" baseline="0"/>
              <a:t> profits (2015)     </a:t>
            </a:r>
          </a:p>
          <a:p>
            <a:pPr>
              <a:defRPr sz="2200" b="0"/>
            </a:pPr>
            <a:r>
              <a:rPr lang="en-US" sz="2200" b="1" baseline="0"/>
              <a:t>  </a:t>
            </a:r>
            <a:r>
              <a:rPr lang="en-US" sz="2200" b="0" baseline="0"/>
              <a:t>(% of compensation of employees)</a:t>
            </a:r>
            <a:endParaRPr lang="en-US" sz="2200" b="0"/>
          </a:p>
        </c:rich>
      </c:tx>
      <c:layout>
        <c:manualLayout>
          <c:xMode val="edge"/>
          <c:yMode val="edge"/>
          <c:x val="0.33005346155500997"/>
          <c:y val="4.15774388034132E-3"/>
        </c:manualLayout>
      </c:layout>
      <c:overlay val="1"/>
    </c:title>
    <c:autoTitleDeleted val="0"/>
    <c:plotArea>
      <c:layout>
        <c:manualLayout>
          <c:layoutTarget val="inner"/>
          <c:xMode val="edge"/>
          <c:yMode val="edge"/>
          <c:x val="0.102983885032014"/>
          <c:y val="9.0193435851866496E-2"/>
          <c:w val="0.89564993372055801"/>
          <c:h val="0.70145389253121604"/>
        </c:manualLayout>
      </c:layout>
      <c:barChart>
        <c:barDir val="col"/>
        <c:grouping val="clustered"/>
        <c:varyColors val="0"/>
        <c:ser>
          <c:idx val="0"/>
          <c:order val="0"/>
          <c:tx>
            <c:v>Foreign firms</c:v>
          </c:tx>
          <c:spPr>
            <a:solidFill>
              <a:srgbClr val="EAA192"/>
            </a:solidFill>
            <a:ln>
              <a:noFill/>
            </a:ln>
          </c:spPr>
          <c:invertIfNegative val="0"/>
          <c:dLbls>
            <c:dLbl>
              <c:idx val="0"/>
              <c:layout>
                <c:manualLayout>
                  <c:x val="-7.0687468155027869E-2"/>
                  <c:y val="3.6669057318546715E-2"/>
                </c:manualLayout>
              </c:layout>
              <c:spPr/>
              <c:txPr>
                <a:bodyPr/>
                <a:lstStyle/>
                <a:p>
                  <a:pPr>
                    <a:defRPr sz="1800"/>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3DA-4DF5-BC5C-0DC8DB4620BF}"/>
                </c:ext>
              </c:extLst>
            </c:dLbl>
            <c:dLbl>
              <c:idx val="1"/>
              <c:delete val="1"/>
              <c:extLst>
                <c:ext xmlns:c15="http://schemas.microsoft.com/office/drawing/2012/chart" uri="{CE6537A1-D6FC-4f65-9D91-7224C49458BB}"/>
                <c:ext xmlns:c16="http://schemas.microsoft.com/office/drawing/2014/chart" uri="{C3380CC4-5D6E-409C-BE32-E72D297353CC}">
                  <c16:uniqueId val="{00000001-93DA-4DF5-BC5C-0DC8DB4620BF}"/>
                </c:ext>
              </c:extLst>
            </c:dLbl>
            <c:dLbl>
              <c:idx val="2"/>
              <c:delete val="1"/>
              <c:extLst>
                <c:ext xmlns:c15="http://schemas.microsoft.com/office/drawing/2012/chart" uri="{CE6537A1-D6FC-4f65-9D91-7224C49458BB}"/>
                <c:ext xmlns:c16="http://schemas.microsoft.com/office/drawing/2014/chart" uri="{C3380CC4-5D6E-409C-BE32-E72D297353CC}">
                  <c16:uniqueId val="{00000002-93DA-4DF5-BC5C-0DC8DB4620BF}"/>
                </c:ext>
              </c:extLst>
            </c:dLbl>
            <c:dLbl>
              <c:idx val="3"/>
              <c:delete val="1"/>
              <c:extLst>
                <c:ext xmlns:c15="http://schemas.microsoft.com/office/drawing/2012/chart" uri="{CE6537A1-D6FC-4f65-9D91-7224C49458BB}"/>
                <c:ext xmlns:c16="http://schemas.microsoft.com/office/drawing/2014/chart" uri="{C3380CC4-5D6E-409C-BE32-E72D297353CC}">
                  <c16:uniqueId val="{00000003-93DA-4DF5-BC5C-0DC8DB4620BF}"/>
                </c:ext>
              </c:extLst>
            </c:dLbl>
            <c:dLbl>
              <c:idx val="4"/>
              <c:delete val="1"/>
              <c:extLst>
                <c:ext xmlns:c15="http://schemas.microsoft.com/office/drawing/2012/chart" uri="{CE6537A1-D6FC-4f65-9D91-7224C49458BB}"/>
                <c:ext xmlns:c16="http://schemas.microsoft.com/office/drawing/2014/chart" uri="{C3380CC4-5D6E-409C-BE32-E72D297353CC}">
                  <c16:uniqueId val="{00000004-93DA-4DF5-BC5C-0DC8DB4620BF}"/>
                </c:ext>
              </c:extLst>
            </c:dLbl>
            <c:dLbl>
              <c:idx val="5"/>
              <c:delete val="1"/>
              <c:extLst>
                <c:ext xmlns:c15="http://schemas.microsoft.com/office/drawing/2012/chart" uri="{CE6537A1-D6FC-4f65-9D91-7224C49458BB}"/>
                <c:ext xmlns:c16="http://schemas.microsoft.com/office/drawing/2014/chart" uri="{C3380CC4-5D6E-409C-BE32-E72D297353CC}">
                  <c16:uniqueId val="{00000005-93DA-4DF5-BC5C-0DC8DB4620BF}"/>
                </c:ext>
              </c:extLst>
            </c:dLbl>
            <c:dLbl>
              <c:idx val="6"/>
              <c:delete val="1"/>
              <c:extLst>
                <c:ext xmlns:c15="http://schemas.microsoft.com/office/drawing/2012/chart" uri="{CE6537A1-D6FC-4f65-9D91-7224C49458BB}"/>
                <c:ext xmlns:c16="http://schemas.microsoft.com/office/drawing/2014/chart" uri="{C3380CC4-5D6E-409C-BE32-E72D297353CC}">
                  <c16:uniqueId val="{00000006-93DA-4DF5-BC5C-0DC8DB4620BF}"/>
                </c:ext>
              </c:extLst>
            </c:dLbl>
            <c:dLbl>
              <c:idx val="7"/>
              <c:delete val="1"/>
              <c:extLst>
                <c:ext xmlns:c15="http://schemas.microsoft.com/office/drawing/2012/chart" uri="{CE6537A1-D6FC-4f65-9D91-7224C49458BB}"/>
                <c:ext xmlns:c16="http://schemas.microsoft.com/office/drawing/2014/chart" uri="{C3380CC4-5D6E-409C-BE32-E72D297353CC}">
                  <c16:uniqueId val="{00000007-93DA-4DF5-BC5C-0DC8DB4620BF}"/>
                </c:ext>
              </c:extLst>
            </c:dLbl>
            <c:dLbl>
              <c:idx val="8"/>
              <c:delete val="1"/>
              <c:extLst>
                <c:ext xmlns:c15="http://schemas.microsoft.com/office/drawing/2012/chart" uri="{CE6537A1-D6FC-4f65-9D91-7224C49458BB}"/>
                <c:ext xmlns:c16="http://schemas.microsoft.com/office/drawing/2014/chart" uri="{C3380CC4-5D6E-409C-BE32-E72D297353CC}">
                  <c16:uniqueId val="{00000008-93DA-4DF5-BC5C-0DC8DB4620BF}"/>
                </c:ext>
              </c:extLst>
            </c:dLbl>
            <c:dLbl>
              <c:idx val="9"/>
              <c:delete val="1"/>
              <c:extLst>
                <c:ext xmlns:c15="http://schemas.microsoft.com/office/drawing/2012/chart" uri="{CE6537A1-D6FC-4f65-9D91-7224C49458BB}"/>
                <c:ext xmlns:c16="http://schemas.microsoft.com/office/drawing/2014/chart" uri="{C3380CC4-5D6E-409C-BE32-E72D297353CC}">
                  <c16:uniqueId val="{00000009-93DA-4DF5-BC5C-0DC8DB4620BF}"/>
                </c:ext>
              </c:extLst>
            </c:dLbl>
            <c:dLbl>
              <c:idx val="10"/>
              <c:delete val="1"/>
              <c:extLst>
                <c:ext xmlns:c15="http://schemas.microsoft.com/office/drawing/2012/chart" uri="{CE6537A1-D6FC-4f65-9D91-7224C49458BB}"/>
                <c:ext xmlns:c16="http://schemas.microsoft.com/office/drawing/2014/chart" uri="{C3380CC4-5D6E-409C-BE32-E72D297353CC}">
                  <c16:uniqueId val="{0000000A-93DA-4DF5-BC5C-0DC8DB4620BF}"/>
                </c:ext>
              </c:extLst>
            </c:dLbl>
            <c:dLbl>
              <c:idx val="11"/>
              <c:delete val="1"/>
              <c:extLst>
                <c:ext xmlns:c15="http://schemas.microsoft.com/office/drawing/2012/chart" uri="{CE6537A1-D6FC-4f65-9D91-7224C49458BB}"/>
                <c:ext xmlns:c16="http://schemas.microsoft.com/office/drawing/2014/chart" uri="{C3380CC4-5D6E-409C-BE32-E72D297353CC}">
                  <c16:uniqueId val="{0000000B-93DA-4DF5-BC5C-0DC8DB4620BF}"/>
                </c:ext>
              </c:extLst>
            </c:dLbl>
            <c:dLbl>
              <c:idx val="12"/>
              <c:delete val="1"/>
              <c:extLst>
                <c:ext xmlns:c15="http://schemas.microsoft.com/office/drawing/2012/chart" uri="{CE6537A1-D6FC-4f65-9D91-7224C49458BB}"/>
                <c:ext xmlns:c16="http://schemas.microsoft.com/office/drawing/2014/chart" uri="{C3380CC4-5D6E-409C-BE32-E72D297353CC}">
                  <c16:uniqueId val="{0000000C-93DA-4DF5-BC5C-0DC8DB4620BF}"/>
                </c:ext>
              </c:extLst>
            </c:dLbl>
            <c:dLbl>
              <c:idx val="13"/>
              <c:delete val="1"/>
              <c:extLst>
                <c:ext xmlns:c15="http://schemas.microsoft.com/office/drawing/2012/chart" uri="{CE6537A1-D6FC-4f65-9D91-7224C49458BB}"/>
                <c:ext xmlns:c16="http://schemas.microsoft.com/office/drawing/2014/chart" uri="{C3380CC4-5D6E-409C-BE32-E72D297353CC}">
                  <c16:uniqueId val="{0000000D-93DA-4DF5-BC5C-0DC8DB4620BF}"/>
                </c:ext>
              </c:extLst>
            </c:dLbl>
            <c:dLbl>
              <c:idx val="14"/>
              <c:delete val="1"/>
              <c:extLst>
                <c:ext xmlns:c15="http://schemas.microsoft.com/office/drawing/2012/chart" uri="{CE6537A1-D6FC-4f65-9D91-7224C49458BB}"/>
                <c:ext xmlns:c16="http://schemas.microsoft.com/office/drawing/2014/chart" uri="{C3380CC4-5D6E-409C-BE32-E72D297353CC}">
                  <c16:uniqueId val="{0000000E-93DA-4DF5-BC5C-0DC8DB4620BF}"/>
                </c:ext>
              </c:extLst>
            </c:dLbl>
            <c:dLbl>
              <c:idx val="15"/>
              <c:delete val="1"/>
              <c:extLst>
                <c:ext xmlns:c15="http://schemas.microsoft.com/office/drawing/2012/chart" uri="{CE6537A1-D6FC-4f65-9D91-7224C49458BB}"/>
                <c:ext xmlns:c16="http://schemas.microsoft.com/office/drawing/2014/chart" uri="{C3380CC4-5D6E-409C-BE32-E72D297353CC}">
                  <c16:uniqueId val="{0000000F-93DA-4DF5-BC5C-0DC8DB4620BF}"/>
                </c:ext>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DataF1!$A$3:$A$18</c:f>
              <c:strCache>
                <c:ptCount val="16"/>
                <c:pt idx="0">
                  <c:v>Puerto Rico</c:v>
                </c:pt>
                <c:pt idx="1">
                  <c:v>Ireland</c:v>
                </c:pt>
                <c:pt idx="2">
                  <c:v>Luxembourg</c:v>
                </c:pt>
                <c:pt idx="3">
                  <c:v>Switzerland</c:v>
                </c:pt>
                <c:pt idx="4">
                  <c:v>Singapore</c:v>
                </c:pt>
                <c:pt idx="5">
                  <c:v>Hong Kong</c:v>
                </c:pt>
                <c:pt idx="6">
                  <c:v>Netherlands</c:v>
                </c:pt>
                <c:pt idx="7">
                  <c:v>Belgium</c:v>
                </c:pt>
                <c:pt idx="8">
                  <c:v>US</c:v>
                </c:pt>
                <c:pt idx="9">
                  <c:v>Australia</c:v>
                </c:pt>
                <c:pt idx="10">
                  <c:v>UK</c:v>
                </c:pt>
                <c:pt idx="11">
                  <c:v>Spain</c:v>
                </c:pt>
                <c:pt idx="12">
                  <c:v>Japan</c:v>
                </c:pt>
                <c:pt idx="13">
                  <c:v>France</c:v>
                </c:pt>
                <c:pt idx="14">
                  <c:v>Germany</c:v>
                </c:pt>
                <c:pt idx="15">
                  <c:v>Italy</c:v>
                </c:pt>
              </c:strCache>
            </c:strRef>
          </c:cat>
          <c:val>
            <c:numRef>
              <c:f>DataF1!$D$3:$D$18</c:f>
              <c:numCache>
                <c:formatCode>0%</c:formatCode>
                <c:ptCount val="16"/>
                <c:pt idx="0">
                  <c:v>16.745534629218685</c:v>
                </c:pt>
                <c:pt idx="1">
                  <c:v>7.9996490577609283</c:v>
                </c:pt>
                <c:pt idx="2">
                  <c:v>4.6076539817790847</c:v>
                </c:pt>
                <c:pt idx="3">
                  <c:v>3.1934639833073937</c:v>
                </c:pt>
                <c:pt idx="4">
                  <c:v>2.1814755318098822</c:v>
                </c:pt>
                <c:pt idx="5">
                  <c:v>2.1348906384735855</c:v>
                </c:pt>
                <c:pt idx="6">
                  <c:v>1.1495705968665206</c:v>
                </c:pt>
                <c:pt idx="7">
                  <c:v>0.67980103327038299</c:v>
                </c:pt>
                <c:pt idx="8">
                  <c:v>0.28343272646330486</c:v>
                </c:pt>
                <c:pt idx="9">
                  <c:v>0.27383940346897767</c:v>
                </c:pt>
                <c:pt idx="10">
                  <c:v>0.25723407405999843</c:v>
                </c:pt>
                <c:pt idx="11">
                  <c:v>0.24643753940062663</c:v>
                </c:pt>
                <c:pt idx="12">
                  <c:v>0.23732566147384185</c:v>
                </c:pt>
                <c:pt idx="13">
                  <c:v>0.2071972615008727</c:v>
                </c:pt>
                <c:pt idx="14">
                  <c:v>0.18304850872360104</c:v>
                </c:pt>
                <c:pt idx="15">
                  <c:v>0.16233602672515596</c:v>
                </c:pt>
              </c:numCache>
            </c:numRef>
          </c:val>
          <c:extLst>
            <c:ext xmlns:c16="http://schemas.microsoft.com/office/drawing/2014/chart" uri="{C3380CC4-5D6E-409C-BE32-E72D297353CC}">
              <c16:uniqueId val="{00000010-93DA-4DF5-BC5C-0DC8DB4620BF}"/>
            </c:ext>
          </c:extLst>
        </c:ser>
        <c:ser>
          <c:idx val="2"/>
          <c:order val="1"/>
          <c:tx>
            <c:v>Local firms</c:v>
          </c:tx>
          <c:spPr>
            <a:solidFill>
              <a:schemeClr val="tx1"/>
            </a:solidFill>
          </c:spPr>
          <c:invertIfNegative val="0"/>
          <c:cat>
            <c:strRef>
              <c:f>DataF1!$A$3:$A$18</c:f>
              <c:strCache>
                <c:ptCount val="16"/>
                <c:pt idx="0">
                  <c:v>Puerto Rico</c:v>
                </c:pt>
                <c:pt idx="1">
                  <c:v>Ireland</c:v>
                </c:pt>
                <c:pt idx="2">
                  <c:v>Luxembourg</c:v>
                </c:pt>
                <c:pt idx="3">
                  <c:v>Switzerland</c:v>
                </c:pt>
                <c:pt idx="4">
                  <c:v>Singapore</c:v>
                </c:pt>
                <c:pt idx="5">
                  <c:v>Hong Kong</c:v>
                </c:pt>
                <c:pt idx="6">
                  <c:v>Netherlands</c:v>
                </c:pt>
                <c:pt idx="7">
                  <c:v>Belgium</c:v>
                </c:pt>
                <c:pt idx="8">
                  <c:v>US</c:v>
                </c:pt>
                <c:pt idx="9">
                  <c:v>Australia</c:v>
                </c:pt>
                <c:pt idx="10">
                  <c:v>UK</c:v>
                </c:pt>
                <c:pt idx="11">
                  <c:v>Spain</c:v>
                </c:pt>
                <c:pt idx="12">
                  <c:v>Japan</c:v>
                </c:pt>
                <c:pt idx="13">
                  <c:v>France</c:v>
                </c:pt>
                <c:pt idx="14">
                  <c:v>Germany</c:v>
                </c:pt>
                <c:pt idx="15">
                  <c:v>Italy</c:v>
                </c:pt>
              </c:strCache>
            </c:strRef>
          </c:cat>
          <c:val>
            <c:numRef>
              <c:f>DataF1!$C$3:$C$18</c:f>
              <c:numCache>
                <c:formatCode>0%</c:formatCode>
                <c:ptCount val="16"/>
                <c:pt idx="0">
                  <c:v>0.47996308817683037</c:v>
                </c:pt>
                <c:pt idx="1">
                  <c:v>0.68416351867003244</c:v>
                </c:pt>
                <c:pt idx="2">
                  <c:v>0.40461450275815142</c:v>
                </c:pt>
                <c:pt idx="3">
                  <c:v>0.11438915202699569</c:v>
                </c:pt>
                <c:pt idx="4">
                  <c:v>0.47996308817683037</c:v>
                </c:pt>
                <c:pt idx="5">
                  <c:v>0.47996308817683037</c:v>
                </c:pt>
                <c:pt idx="6">
                  <c:v>0.41153378760859277</c:v>
                </c:pt>
                <c:pt idx="7">
                  <c:v>0.4031489417707429</c:v>
                </c:pt>
                <c:pt idx="8">
                  <c:v>0.3159171001923794</c:v>
                </c:pt>
                <c:pt idx="9">
                  <c:v>0.38244922547378107</c:v>
                </c:pt>
                <c:pt idx="10">
                  <c:v>0.48210280844721259</c:v>
                </c:pt>
                <c:pt idx="11">
                  <c:v>0.44755015816737814</c:v>
                </c:pt>
                <c:pt idx="12">
                  <c:v>0.43664443770241151</c:v>
                </c:pt>
                <c:pt idx="13">
                  <c:v>0.2171009289647885</c:v>
                </c:pt>
                <c:pt idx="14">
                  <c:v>0.51589201053413136</c:v>
                </c:pt>
                <c:pt idx="15">
                  <c:v>0.48415758018996907</c:v>
                </c:pt>
              </c:numCache>
            </c:numRef>
          </c:val>
          <c:extLst>
            <c:ext xmlns:c16="http://schemas.microsoft.com/office/drawing/2014/chart" uri="{C3380CC4-5D6E-409C-BE32-E72D297353CC}">
              <c16:uniqueId val="{00000011-93DA-4DF5-BC5C-0DC8DB4620BF}"/>
            </c:ext>
          </c:extLst>
        </c:ser>
        <c:dLbls>
          <c:showLegendKey val="0"/>
          <c:showVal val="0"/>
          <c:showCatName val="0"/>
          <c:showSerName val="0"/>
          <c:showPercent val="0"/>
          <c:showBubbleSize val="0"/>
        </c:dLbls>
        <c:gapWidth val="150"/>
        <c:axId val="-2139123768"/>
        <c:axId val="-2139120696"/>
      </c:barChart>
      <c:catAx>
        <c:axId val="-2139123768"/>
        <c:scaling>
          <c:orientation val="minMax"/>
        </c:scaling>
        <c:delete val="0"/>
        <c:axPos val="b"/>
        <c:numFmt formatCode="General" sourceLinked="1"/>
        <c:majorTickMark val="none"/>
        <c:minorTickMark val="none"/>
        <c:tickLblPos val="nextTo"/>
        <c:txPr>
          <a:bodyPr rot="-2700000" vert="horz"/>
          <a:lstStyle/>
          <a:p>
            <a:pPr>
              <a:defRPr sz="1800"/>
            </a:pPr>
            <a:endParaRPr lang="en-US"/>
          </a:p>
        </c:txPr>
        <c:crossAx val="-2139120696"/>
        <c:crosses val="autoZero"/>
        <c:auto val="1"/>
        <c:lblAlgn val="ctr"/>
        <c:lblOffset val="100"/>
        <c:noMultiLvlLbl val="0"/>
      </c:catAx>
      <c:valAx>
        <c:axId val="-2139120696"/>
        <c:scaling>
          <c:orientation val="minMax"/>
          <c:max val="9"/>
          <c:min val="0"/>
        </c:scaling>
        <c:delete val="0"/>
        <c:axPos val="l"/>
        <c:majorGridlines>
          <c:spPr>
            <a:ln>
              <a:noFill/>
            </a:ln>
          </c:spPr>
        </c:majorGridlines>
        <c:numFmt formatCode="0%" sourceLinked="0"/>
        <c:majorTickMark val="none"/>
        <c:minorTickMark val="none"/>
        <c:tickLblPos val="nextTo"/>
        <c:txPr>
          <a:bodyPr/>
          <a:lstStyle/>
          <a:p>
            <a:pPr>
              <a:defRPr sz="1800"/>
            </a:pPr>
            <a:endParaRPr lang="en-US"/>
          </a:p>
        </c:txPr>
        <c:crossAx val="-2139123768"/>
        <c:crosses val="autoZero"/>
        <c:crossBetween val="between"/>
        <c:majorUnit val="2"/>
        <c:minorUnit val="0.2"/>
      </c:valAx>
    </c:plotArea>
    <c:legend>
      <c:legendPos val="r"/>
      <c:layout>
        <c:manualLayout>
          <c:xMode val="edge"/>
          <c:yMode val="edge"/>
          <c:x val="0.67896174863388004"/>
          <c:y val="0.446236780548875"/>
          <c:w val="0.21430970054024701"/>
          <c:h val="0.13680250783699099"/>
        </c:manualLayout>
      </c:layout>
      <c:overlay val="0"/>
      <c:txPr>
        <a:bodyPr/>
        <a:lstStyle/>
        <a:p>
          <a:pPr>
            <a:defRPr sz="1800"/>
          </a:pPr>
          <a:endParaRPr lang="en-US"/>
        </a:p>
      </c:txPr>
    </c:legend>
    <c:plotVisOnly val="1"/>
    <c:dispBlanksAs val="gap"/>
    <c:showDLblsOverMax val="0"/>
  </c:chart>
  <c:spPr>
    <a:ln>
      <a:noFill/>
    </a:ln>
  </c:spPr>
  <c:txPr>
    <a:bodyPr/>
    <a:lstStyle/>
    <a:p>
      <a:pPr>
        <a:defRPr>
          <a:latin typeface="Garamond" panose="02020404030301010803" pitchFamily="18" charset="0"/>
        </a:defRPr>
      </a:pPr>
      <a:endParaRPr lang="en-US"/>
    </a:p>
  </c:txPr>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1800" baseline="0"/>
              <a:t>A. Shifted profits</a:t>
            </a:r>
            <a:endParaRPr lang="en-GB" sz="1800"/>
          </a:p>
        </c:rich>
      </c:tx>
      <c:layout>
        <c:manualLayout>
          <c:xMode val="edge"/>
          <c:yMode val="edge"/>
          <c:x val="0.44179489870375666"/>
          <c:y val="1.4618858935643528E-2"/>
        </c:manualLayout>
      </c:layout>
      <c:overlay val="0"/>
    </c:title>
    <c:autoTitleDeleted val="0"/>
    <c:plotArea>
      <c:layout>
        <c:manualLayout>
          <c:layoutTarget val="inner"/>
          <c:xMode val="edge"/>
          <c:yMode val="edge"/>
          <c:x val="9.6429227084319377E-2"/>
          <c:y val="9.1634983911529896E-2"/>
          <c:w val="0.87049521436014221"/>
          <c:h val="0.79350983194380154"/>
        </c:manualLayout>
      </c:layout>
      <c:lineChart>
        <c:grouping val="standard"/>
        <c:varyColors val="0"/>
        <c:ser>
          <c:idx val="0"/>
          <c:order val="1"/>
          <c:spPr>
            <a:ln>
              <a:solidFill>
                <a:schemeClr val="accent2"/>
              </a:solidFill>
              <a:prstDash val="dash"/>
            </a:ln>
          </c:spPr>
          <c:marker>
            <c:symbol val="none"/>
          </c:marker>
          <c:cat>
            <c:numRef>
              <c:f>'DataF3-F4'!$A$5:$A$52</c:f>
              <c:numCache>
                <c:formatCode>General</c:formatCode>
                <c:ptCount val="48"/>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numCache>
            </c:numRef>
          </c:cat>
          <c:val>
            <c:numRef>
              <c:f>'DataF3-F4'!$AW$5:$AW$49</c:f>
              <c:numCache>
                <c:formatCode>0%</c:formatCode>
                <c:ptCount val="45"/>
                <c:pt idx="0">
                  <c:v>0.11788834663837289</c:v>
                </c:pt>
                <c:pt idx="1">
                  <c:v>0.10410947671102501</c:v>
                </c:pt>
                <c:pt idx="2">
                  <c:v>0.11640369412160087</c:v>
                </c:pt>
                <c:pt idx="3">
                  <c:v>0.13724353231927627</c:v>
                </c:pt>
                <c:pt idx="4">
                  <c:v>0.16236537835797177</c:v>
                </c:pt>
                <c:pt idx="5">
                  <c:v>0.19919277910436584</c:v>
                </c:pt>
                <c:pt idx="6">
                  <c:v>0.19935130328958667</c:v>
                </c:pt>
                <c:pt idx="7">
                  <c:v>0.22282512565958765</c:v>
                </c:pt>
                <c:pt idx="8">
                  <c:v>0.20947684123134774</c:v>
                </c:pt>
                <c:pt idx="9">
                  <c:v>0.2075404480514077</c:v>
                </c:pt>
                <c:pt idx="10">
                  <c:v>0.21712819400978992</c:v>
                </c:pt>
                <c:pt idx="11">
                  <c:v>0.22082569475369118</c:v>
                </c:pt>
                <c:pt idx="12">
                  <c:v>0.24430563792813217</c:v>
                </c:pt>
                <c:pt idx="13">
                  <c:v>0.22741756450464706</c:v>
                </c:pt>
                <c:pt idx="14">
                  <c:v>0.24765493661558782</c:v>
                </c:pt>
                <c:pt idx="15">
                  <c:v>0.27098966188696988</c:v>
                </c:pt>
                <c:pt idx="16">
                  <c:v>0.27637975562700151</c:v>
                </c:pt>
                <c:pt idx="17">
                  <c:v>0.26947037887767189</c:v>
                </c:pt>
                <c:pt idx="18">
                  <c:v>0.26879243497845529</c:v>
                </c:pt>
                <c:pt idx="19">
                  <c:v>0.27093042214105539</c:v>
                </c:pt>
                <c:pt idx="20">
                  <c:v>0.2782646756456133</c:v>
                </c:pt>
                <c:pt idx="21">
                  <c:v>0.28346398624194064</c:v>
                </c:pt>
                <c:pt idx="22">
                  <c:v>0.29693846141812869</c:v>
                </c:pt>
                <c:pt idx="23">
                  <c:v>0.3198457371469392</c:v>
                </c:pt>
                <c:pt idx="24">
                  <c:v>0.31106509407134086</c:v>
                </c:pt>
                <c:pt idx="25">
                  <c:v>0.31614651425634777</c:v>
                </c:pt>
                <c:pt idx="26">
                  <c:v>0.32988667682439199</c:v>
                </c:pt>
                <c:pt idx="27">
                  <c:v>0.33002746458435772</c:v>
                </c:pt>
                <c:pt idx="28">
                  <c:v>0.32523163552008383</c:v>
                </c:pt>
                <c:pt idx="29">
                  <c:v>0.33653740177909897</c:v>
                </c:pt>
                <c:pt idx="30">
                  <c:v>0.32437250313723731</c:v>
                </c:pt>
                <c:pt idx="31">
                  <c:v>0.33340642507908558</c:v>
                </c:pt>
                <c:pt idx="32">
                  <c:v>0.33537413962635138</c:v>
                </c:pt>
                <c:pt idx="33">
                  <c:v>0.31606311186479608</c:v>
                </c:pt>
                <c:pt idx="34">
                  <c:v>0.34724859473558334</c:v>
                </c:pt>
                <c:pt idx="35">
                  <c:v>0.33313900501929422</c:v>
                </c:pt>
                <c:pt idx="36">
                  <c:v>0.33774719947226645</c:v>
                </c:pt>
                <c:pt idx="37">
                  <c:v>0.34805144527154136</c:v>
                </c:pt>
                <c:pt idx="38">
                  <c:v>0.34684355814210932</c:v>
                </c:pt>
                <c:pt idx="39">
                  <c:v>0.36055308829983124</c:v>
                </c:pt>
                <c:pt idx="40">
                  <c:v>0.3616659759601874</c:v>
                </c:pt>
              </c:numCache>
            </c:numRef>
          </c:val>
          <c:smooth val="0"/>
          <c:extLst>
            <c:ext xmlns:c16="http://schemas.microsoft.com/office/drawing/2014/chart" uri="{C3380CC4-5D6E-409C-BE32-E72D297353CC}">
              <c16:uniqueId val="{00000000-37EC-0E40-96AD-D3C48A19270D}"/>
            </c:ext>
          </c:extLst>
        </c:ser>
        <c:dLbls>
          <c:showLegendKey val="0"/>
          <c:showVal val="0"/>
          <c:showCatName val="0"/>
          <c:showSerName val="0"/>
          <c:showPercent val="0"/>
          <c:showBubbleSize val="0"/>
        </c:dLbls>
        <c:marker val="1"/>
        <c:smooth val="0"/>
        <c:axId val="1839106456"/>
        <c:axId val="1839111368"/>
        <c:extLst/>
      </c:lineChart>
      <c:lineChart>
        <c:grouping val="standard"/>
        <c:varyColors val="0"/>
        <c:ser>
          <c:idx val="6"/>
          <c:order val="0"/>
          <c:spPr>
            <a:ln>
              <a:solidFill>
                <a:schemeClr val="tx1"/>
              </a:solidFill>
            </a:ln>
          </c:spPr>
          <c:marker>
            <c:symbol val="none"/>
          </c:marker>
          <c:cat>
            <c:numRef>
              <c:f>'DataF3-F4'!$A$5:$A$52</c:f>
              <c:numCache>
                <c:formatCode>General</c:formatCode>
                <c:ptCount val="48"/>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numCache>
            </c:numRef>
          </c:cat>
          <c:val>
            <c:numRef>
              <c:f>'DataF3-F4'!$AV$5:$AV$53</c:f>
              <c:numCache>
                <c:formatCode>0%</c:formatCode>
                <c:ptCount val="49"/>
                <c:pt idx="0">
                  <c:v>4.2511319169491968E-2</c:v>
                </c:pt>
                <c:pt idx="1">
                  <c:v>3.5493694475956954E-2</c:v>
                </c:pt>
                <c:pt idx="2">
                  <c:v>4.6071241733988792E-2</c:v>
                </c:pt>
                <c:pt idx="3">
                  <c:v>6.5470521614309468E-2</c:v>
                </c:pt>
                <c:pt idx="4">
                  <c:v>8.0811396266185637E-2</c:v>
                </c:pt>
                <c:pt idx="5">
                  <c:v>0.11369910765466566</c:v>
                </c:pt>
                <c:pt idx="6">
                  <c:v>0.11352659281905855</c:v>
                </c:pt>
                <c:pt idx="7">
                  <c:v>0.14189125405963771</c:v>
                </c:pt>
                <c:pt idx="8">
                  <c:v>0.1292041146130623</c:v>
                </c:pt>
                <c:pt idx="9">
                  <c:v>0.11986333098511279</c:v>
                </c:pt>
                <c:pt idx="10">
                  <c:v>0.12853836776026789</c:v>
                </c:pt>
                <c:pt idx="11">
                  <c:v>0.12038994621674363</c:v>
                </c:pt>
                <c:pt idx="12">
                  <c:v>0.14054229175720201</c:v>
                </c:pt>
                <c:pt idx="13">
                  <c:v>9.9590048837215964E-2</c:v>
                </c:pt>
                <c:pt idx="14">
                  <c:v>0.13003655774184286</c:v>
                </c:pt>
                <c:pt idx="15">
                  <c:v>0.16530054030295047</c:v>
                </c:pt>
                <c:pt idx="16">
                  <c:v>0.17759975226951469</c:v>
                </c:pt>
                <c:pt idx="17">
                  <c:v>0.16364573266198018</c:v>
                </c:pt>
                <c:pt idx="18">
                  <c:v>0.15795216329827924</c:v>
                </c:pt>
                <c:pt idx="19">
                  <c:v>0.14630610633906346</c:v>
                </c:pt>
                <c:pt idx="20">
                  <c:v>0.1661721073618872</c:v>
                </c:pt>
                <c:pt idx="21">
                  <c:v>0.15245820000134824</c:v>
                </c:pt>
                <c:pt idx="22">
                  <c:v>0.18380614228139375</c:v>
                </c:pt>
                <c:pt idx="23">
                  <c:v>0.21793760019531033</c:v>
                </c:pt>
                <c:pt idx="24">
                  <c:v>0.19615104926582502</c:v>
                </c:pt>
                <c:pt idx="25">
                  <c:v>0.20546310647111266</c:v>
                </c:pt>
                <c:pt idx="26">
                  <c:v>0.23696501668074377</c:v>
                </c:pt>
                <c:pt idx="27">
                  <c:v>0.23771628999558814</c:v>
                </c:pt>
                <c:pt idx="28">
                  <c:v>0.21722826035095666</c:v>
                </c:pt>
                <c:pt idx="29">
                  <c:v>0.235569788606796</c:v>
                </c:pt>
                <c:pt idx="30">
                  <c:v>0.19431752828201018</c:v>
                </c:pt>
                <c:pt idx="31">
                  <c:v>0.21188898912734477</c:v>
                </c:pt>
                <c:pt idx="32">
                  <c:v>0.21457453220269235</c:v>
                </c:pt>
                <c:pt idx="33">
                  <c:v>0.19542185592672129</c:v>
                </c:pt>
                <c:pt idx="34">
                  <c:v>0.25444837517622421</c:v>
                </c:pt>
                <c:pt idx="35">
                  <c:v>0.21577050016135621</c:v>
                </c:pt>
                <c:pt idx="36">
                  <c:v>0.22814026877552795</c:v>
                </c:pt>
                <c:pt idx="37">
                  <c:v>0.2540845785394798</c:v>
                </c:pt>
                <c:pt idx="38">
                  <c:v>0.24730087839576773</c:v>
                </c:pt>
                <c:pt idx="39">
                  <c:v>0.27752265749131599</c:v>
                </c:pt>
                <c:pt idx="40">
                  <c:v>0.3616659759601874</c:v>
                </c:pt>
                <c:pt idx="41">
                  <c:v>0.37061415671929043</c:v>
                </c:pt>
                <c:pt idx="42">
                  <c:v>0.34013428548722974</c:v>
                </c:pt>
                <c:pt idx="43">
                  <c:v>0.33982396816629923</c:v>
                </c:pt>
                <c:pt idx="44">
                  <c:v>0.3626628996138731</c:v>
                </c:pt>
                <c:pt idx="45">
                  <c:v>0.35864186725686698</c:v>
                </c:pt>
                <c:pt idx="46">
                  <c:v>0.31186039619472955</c:v>
                </c:pt>
                <c:pt idx="47">
                  <c:v>0.31336734618754186</c:v>
                </c:pt>
                <c:pt idx="48">
                  <c:v>0.33778933556790647</c:v>
                </c:pt>
              </c:numCache>
            </c:numRef>
          </c:val>
          <c:smooth val="0"/>
          <c:extLst>
            <c:ext xmlns:c16="http://schemas.microsoft.com/office/drawing/2014/chart" uri="{C3380CC4-5D6E-409C-BE32-E72D297353CC}">
              <c16:uniqueId val="{00000001-37EC-0E40-96AD-D3C48A19270D}"/>
            </c:ext>
          </c:extLst>
        </c:ser>
        <c:ser>
          <c:idx val="7"/>
          <c:order val="2"/>
          <c:spPr>
            <a:ln>
              <a:solidFill>
                <a:schemeClr val="accent1"/>
              </a:solidFill>
              <a:prstDash val="dash"/>
            </a:ln>
          </c:spPr>
          <c:marker>
            <c:symbol val="none"/>
          </c:marker>
          <c:cat>
            <c:numRef>
              <c:f>'DataF3-F4'!$A$5:$A$52</c:f>
              <c:numCache>
                <c:formatCode>General</c:formatCode>
                <c:ptCount val="48"/>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numCache>
            </c:numRef>
          </c:cat>
          <c:val>
            <c:numRef>
              <c:f>'DataF3-F4'!$AX$5:$AX$45</c:f>
              <c:numCache>
                <c:formatCode>0%</c:formatCode>
                <c:ptCount val="41"/>
                <c:pt idx="0">
                  <c:v>3.547880269807429E-2</c:v>
                </c:pt>
                <c:pt idx="1">
                  <c:v>3.0277099607273095E-2</c:v>
                </c:pt>
                <c:pt idx="2">
                  <c:v>3.8942019053170268E-2</c:v>
                </c:pt>
                <c:pt idx="3">
                  <c:v>5.46077973411071E-2</c:v>
                </c:pt>
                <c:pt idx="4">
                  <c:v>6.4733537180258663E-2</c:v>
                </c:pt>
                <c:pt idx="5">
                  <c:v>8.7435793300372711E-2</c:v>
                </c:pt>
                <c:pt idx="6">
                  <c:v>8.7200155016659994E-2</c:v>
                </c:pt>
                <c:pt idx="7">
                  <c:v>0.10816576693444263</c:v>
                </c:pt>
                <c:pt idx="8">
                  <c:v>0.10005028730411376</c:v>
                </c:pt>
                <c:pt idx="9">
                  <c:v>9.0793307630144426E-2</c:v>
                </c:pt>
                <c:pt idx="10">
                  <c:v>9.607165284905711E-2</c:v>
                </c:pt>
                <c:pt idx="11">
                  <c:v>8.6056813993027725E-2</c:v>
                </c:pt>
                <c:pt idx="12">
                  <c:v>9.5708173599131169E-2</c:v>
                </c:pt>
                <c:pt idx="13">
                  <c:v>6.41336630647555E-2</c:v>
                </c:pt>
                <c:pt idx="14">
                  <c:v>8.3425416360311588E-2</c:v>
                </c:pt>
                <c:pt idx="15">
                  <c:v>0.10552459164044249</c:v>
                </c:pt>
                <c:pt idx="16">
                  <c:v>0.11542747071111485</c:v>
                </c:pt>
                <c:pt idx="17">
                  <c:v>0.10480407780401567</c:v>
                </c:pt>
                <c:pt idx="18">
                  <c:v>9.9114435520826424E-2</c:v>
                </c:pt>
                <c:pt idx="19">
                  <c:v>8.5867088496718494E-2</c:v>
                </c:pt>
                <c:pt idx="20">
                  <c:v>0.1009536632313698</c:v>
                </c:pt>
                <c:pt idx="21">
                  <c:v>8.3122536171035905E-2</c:v>
                </c:pt>
                <c:pt idx="22">
                  <c:v>0.10391706286851195</c:v>
                </c:pt>
                <c:pt idx="23">
                  <c:v>0.11777547751835316</c:v>
                </c:pt>
                <c:pt idx="24">
                  <c:v>0.10233747736746115</c:v>
                </c:pt>
                <c:pt idx="25">
                  <c:v>0.10688628422550642</c:v>
                </c:pt>
                <c:pt idx="26">
                  <c:v>0.12852612662170743</c:v>
                </c:pt>
                <c:pt idx="27">
                  <c:v>0.12945245667945285</c:v>
                </c:pt>
                <c:pt idx="28">
                  <c:v>0.10816415872240587</c:v>
                </c:pt>
                <c:pt idx="29">
                  <c:v>0.11259563404210195</c:v>
                </c:pt>
                <c:pt idx="30">
                  <c:v>8.2428937563567173E-2</c:v>
                </c:pt>
                <c:pt idx="31">
                  <c:v>8.6953151893784178E-2</c:v>
                </c:pt>
                <c:pt idx="32">
                  <c:v>8.6349850244253609E-2</c:v>
                </c:pt>
                <c:pt idx="33">
                  <c:v>9.5107993468334873E-2</c:v>
                </c:pt>
                <c:pt idx="34">
                  <c:v>0.11654856224243573</c:v>
                </c:pt>
                <c:pt idx="35">
                  <c:v>9.2169416082514957E-2</c:v>
                </c:pt>
                <c:pt idx="36">
                  <c:v>9.8974539045937893E-2</c:v>
                </c:pt>
                <c:pt idx="37">
                  <c:v>0.11333691810718559</c:v>
                </c:pt>
                <c:pt idx="38">
                  <c:v>0.10491760719979523</c:v>
                </c:pt>
                <c:pt idx="39">
                  <c:v>0.11261590144664714</c:v>
                </c:pt>
                <c:pt idx="40">
                  <c:v>0.3616659759601874</c:v>
                </c:pt>
              </c:numCache>
            </c:numRef>
          </c:val>
          <c:smooth val="0"/>
          <c:extLst>
            <c:ext xmlns:c16="http://schemas.microsoft.com/office/drawing/2014/chart" uri="{C3380CC4-5D6E-409C-BE32-E72D297353CC}">
              <c16:uniqueId val="{00000002-37EC-0E40-96AD-D3C48A19270D}"/>
            </c:ext>
          </c:extLst>
        </c:ser>
        <c:ser>
          <c:idx val="1"/>
          <c:order val="3"/>
          <c:marker>
            <c:symbol val="none"/>
          </c:marker>
          <c:cat>
            <c:numRef>
              <c:f>'DataF3-F4'!$A$5:$A$52</c:f>
              <c:numCache>
                <c:formatCode>General</c:formatCode>
                <c:ptCount val="48"/>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numCache>
            </c:numRef>
          </c:cat>
          <c:val>
            <c:numRef>
              <c:f>'DataF3-F4'!$AY$5:$AY$45</c:f>
              <c:numCache>
                <c:formatCode>0%</c:formatCode>
                <c:ptCount val="41"/>
                <c:pt idx="0">
                  <c:v>4.5948720718397285E-2</c:v>
                </c:pt>
                <c:pt idx="1">
                  <c:v>3.8043497431201306E-2</c:v>
                </c:pt>
                <c:pt idx="2">
                  <c:v>4.9555912006022482E-2</c:v>
                </c:pt>
                <c:pt idx="3">
                  <c:v>7.0780078356024415E-2</c:v>
                </c:pt>
                <c:pt idx="4">
                  <c:v>8.8670042306996932E-2</c:v>
                </c:pt>
                <c:pt idx="5">
                  <c:v>0.12653627025609712</c:v>
                </c:pt>
                <c:pt idx="6">
                  <c:v>0.12639460933162869</c:v>
                </c:pt>
                <c:pt idx="7">
                  <c:v>0.1583758285576711</c:v>
                </c:pt>
                <c:pt idx="8">
                  <c:v>0.14345412192631868</c:v>
                </c:pt>
                <c:pt idx="9">
                  <c:v>0.13407237602798033</c:v>
                </c:pt>
                <c:pt idx="10">
                  <c:v>0.14440767095738724</c:v>
                </c:pt>
                <c:pt idx="11">
                  <c:v>0.137171529646264</c:v>
                </c:pt>
                <c:pt idx="12">
                  <c:v>0.16245661898654001</c:v>
                </c:pt>
                <c:pt idx="13">
                  <c:v>0.11692066382662823</c:v>
                </c:pt>
                <c:pt idx="14">
                  <c:v>0.15281947054870351</c:v>
                </c:pt>
                <c:pt idx="15">
                  <c:v>0.1945182377452386</c:v>
                </c:pt>
                <c:pt idx="16">
                  <c:v>0.2079887457111097</c:v>
                </c:pt>
                <c:pt idx="17">
                  <c:v>0.19240675958185671</c:v>
                </c:pt>
                <c:pt idx="18">
                  <c:v>0.18671127071285659</c:v>
                </c:pt>
                <c:pt idx="19">
                  <c:v>0.17584790327476432</c:v>
                </c:pt>
                <c:pt idx="20">
                  <c:v>0.1980500250009827</c:v>
                </c:pt>
                <c:pt idx="21">
                  <c:v>0.18634856047378495</c:v>
                </c:pt>
                <c:pt idx="22">
                  <c:v>0.22285487347606114</c:v>
                </c:pt>
                <c:pt idx="23">
                  <c:v>0.26689552827564234</c:v>
                </c:pt>
                <c:pt idx="24">
                  <c:v>0.24200588923135002</c:v>
                </c:pt>
                <c:pt idx="25">
                  <c:v>0.2536461605528762</c:v>
                </c:pt>
                <c:pt idx="26">
                  <c:v>0.2899685197888372</c:v>
                </c:pt>
                <c:pt idx="27">
                  <c:v>0.29063422767036329</c:v>
                </c:pt>
                <c:pt idx="28">
                  <c:v>0.27053735865049783</c:v>
                </c:pt>
                <c:pt idx="29">
                  <c:v>0.29567793781540885</c:v>
                </c:pt>
                <c:pt idx="30">
                  <c:v>0.24900719969672591</c:v>
                </c:pt>
                <c:pt idx="31">
                  <c:v>0.27295598302147356</c:v>
                </c:pt>
                <c:pt idx="32">
                  <c:v>0.27724907013846722</c:v>
                </c:pt>
                <c:pt idx="33">
                  <c:v>0.24445395241630413</c:v>
                </c:pt>
                <c:pt idx="34">
                  <c:v>0.32185198987075203</c:v>
                </c:pt>
                <c:pt idx="35">
                  <c:v>0.27618508427015626</c:v>
                </c:pt>
                <c:pt idx="36">
                  <c:v>0.29127477848375388</c:v>
                </c:pt>
                <c:pt idx="37">
                  <c:v>0.32288018363206733</c:v>
                </c:pt>
                <c:pt idx="38">
                  <c:v>0.31689594851560748</c:v>
                </c:pt>
                <c:pt idx="39">
                  <c:v>0.35812691074216191</c:v>
                </c:pt>
                <c:pt idx="40">
                  <c:v>0.3616659759601874</c:v>
                </c:pt>
              </c:numCache>
            </c:numRef>
          </c:val>
          <c:smooth val="0"/>
          <c:extLst>
            <c:ext xmlns:c16="http://schemas.microsoft.com/office/drawing/2014/chart" uri="{C3380CC4-5D6E-409C-BE32-E72D297353CC}">
              <c16:uniqueId val="{00000003-37EC-0E40-96AD-D3C48A19270D}"/>
            </c:ext>
          </c:extLst>
        </c:ser>
        <c:ser>
          <c:idx val="2"/>
          <c:order val="4"/>
          <c:spPr>
            <a:ln>
              <a:solidFill>
                <a:schemeClr val="accent1"/>
              </a:solidFill>
            </a:ln>
          </c:spPr>
          <c:marker>
            <c:symbol val="none"/>
          </c:marker>
          <c:cat>
            <c:numRef>
              <c:f>'DataF3-F4'!$A$5:$A$52</c:f>
              <c:numCache>
                <c:formatCode>General</c:formatCode>
                <c:ptCount val="48"/>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numCache>
            </c:numRef>
          </c:cat>
          <c:val>
            <c:numRef>
              <c:f>'DataF3-F4'!$AZ$5:$AZ$45</c:f>
              <c:numCache>
                <c:formatCode>0%</c:formatCode>
                <c:ptCount val="41"/>
                <c:pt idx="0">
                  <c:v>4.0713761708235791E-2</c:v>
                </c:pt>
                <c:pt idx="1">
                  <c:v>3.4160298519237201E-2</c:v>
                </c:pt>
                <c:pt idx="2">
                  <c:v>4.4248965529596375E-2</c:v>
                </c:pt>
                <c:pt idx="3">
                  <c:v>6.2693937848565751E-2</c:v>
                </c:pt>
                <c:pt idx="4">
                  <c:v>7.6701789743627791E-2</c:v>
                </c:pt>
                <c:pt idx="5">
                  <c:v>0.10698603177823492</c:v>
                </c:pt>
                <c:pt idx="6">
                  <c:v>0.10679738217414433</c:v>
                </c:pt>
                <c:pt idx="7">
                  <c:v>0.13327079774605688</c:v>
                </c:pt>
                <c:pt idx="8">
                  <c:v>0.12175220461521621</c:v>
                </c:pt>
                <c:pt idx="9">
                  <c:v>0.11243284182906238</c:v>
                </c:pt>
                <c:pt idx="10">
                  <c:v>0.12023966190322218</c:v>
                </c:pt>
                <c:pt idx="11">
                  <c:v>0.11161417181964586</c:v>
                </c:pt>
                <c:pt idx="12">
                  <c:v>0.12908239629283558</c:v>
                </c:pt>
                <c:pt idx="13">
                  <c:v>9.0527163445691866E-2</c:v>
                </c:pt>
                <c:pt idx="14">
                  <c:v>0.11812244345450755</c:v>
                </c:pt>
                <c:pt idx="15">
                  <c:v>0.15002141469284055</c:v>
                </c:pt>
                <c:pt idx="16">
                  <c:v>0.16170810821111228</c:v>
                </c:pt>
                <c:pt idx="17">
                  <c:v>0.1486054186929362</c:v>
                </c:pt>
                <c:pt idx="18">
                  <c:v>0.14291285311684152</c:v>
                </c:pt>
                <c:pt idx="19">
                  <c:v>0.13085749588574141</c:v>
                </c:pt>
                <c:pt idx="20">
                  <c:v>0.14950184411617626</c:v>
                </c:pt>
                <c:pt idx="21">
                  <c:v>0.13473554832241044</c:v>
                </c:pt>
                <c:pt idx="22">
                  <c:v>0.16338596817228654</c:v>
                </c:pt>
                <c:pt idx="23">
                  <c:v>0.19233550289699775</c:v>
                </c:pt>
                <c:pt idx="24">
                  <c:v>0.17217168329940558</c:v>
                </c:pt>
                <c:pt idx="25">
                  <c:v>0.18026622238919132</c:v>
                </c:pt>
                <c:pt idx="26">
                  <c:v>0.20924732320527228</c:v>
                </c:pt>
                <c:pt idx="27">
                  <c:v>0.21004334217490805</c:v>
                </c:pt>
                <c:pt idx="28">
                  <c:v>0.18935075868645185</c:v>
                </c:pt>
                <c:pt idx="29">
                  <c:v>0.20413678592875539</c:v>
                </c:pt>
                <c:pt idx="30">
                  <c:v>0.16571806863014654</c:v>
                </c:pt>
                <c:pt idx="31">
                  <c:v>0.17995456745762889</c:v>
                </c:pt>
                <c:pt idx="32">
                  <c:v>0.1817994601913604</c:v>
                </c:pt>
                <c:pt idx="33">
                  <c:v>0.1697809729423195</c:v>
                </c:pt>
                <c:pt idx="34">
                  <c:v>0.21920027605659387</c:v>
                </c:pt>
                <c:pt idx="35">
                  <c:v>0.18417725017633563</c:v>
                </c:pt>
                <c:pt idx="36">
                  <c:v>0.19512465876484589</c:v>
                </c:pt>
                <c:pt idx="37">
                  <c:v>0.21810855086962644</c:v>
                </c:pt>
                <c:pt idx="38">
                  <c:v>0.21090677785770134</c:v>
                </c:pt>
                <c:pt idx="39">
                  <c:v>0.23537140609440452</c:v>
                </c:pt>
                <c:pt idx="40">
                  <c:v>0.3616659759601874</c:v>
                </c:pt>
              </c:numCache>
            </c:numRef>
          </c:val>
          <c:smooth val="0"/>
          <c:extLst>
            <c:ext xmlns:c16="http://schemas.microsoft.com/office/drawing/2014/chart" uri="{C3380CC4-5D6E-409C-BE32-E72D297353CC}">
              <c16:uniqueId val="{00000004-37EC-0E40-96AD-D3C48A19270D}"/>
            </c:ext>
          </c:extLst>
        </c:ser>
        <c:dLbls>
          <c:showLegendKey val="0"/>
          <c:showVal val="0"/>
          <c:showCatName val="0"/>
          <c:showSerName val="0"/>
          <c:showPercent val="0"/>
          <c:showBubbleSize val="0"/>
        </c:dLbls>
        <c:marker val="1"/>
        <c:smooth val="0"/>
        <c:axId val="750701840"/>
        <c:axId val="750689360"/>
      </c:lineChart>
      <c:catAx>
        <c:axId val="1839106456"/>
        <c:scaling>
          <c:orientation val="minMax"/>
        </c:scaling>
        <c:delete val="0"/>
        <c:axPos val="b"/>
        <c:numFmt formatCode="General" sourceLinked="0"/>
        <c:majorTickMark val="none"/>
        <c:minorTickMark val="none"/>
        <c:tickLblPos val="nextTo"/>
        <c:txPr>
          <a:bodyPr/>
          <a:lstStyle/>
          <a:p>
            <a:pPr>
              <a:defRPr sz="1800"/>
            </a:pPr>
            <a:endParaRPr lang="en-US"/>
          </a:p>
        </c:txPr>
        <c:crossAx val="1839111368"/>
        <c:crosses val="autoZero"/>
        <c:auto val="1"/>
        <c:lblAlgn val="ctr"/>
        <c:lblOffset val="100"/>
        <c:tickLblSkip val="5"/>
        <c:tickMarkSkip val="5"/>
        <c:noMultiLvlLbl val="0"/>
      </c:catAx>
      <c:valAx>
        <c:axId val="1839111368"/>
        <c:scaling>
          <c:orientation val="minMax"/>
          <c:max val="0.4"/>
          <c:min val="0"/>
        </c:scaling>
        <c:delete val="0"/>
        <c:axPos val="l"/>
        <c:majorGridlines>
          <c:spPr>
            <a:ln>
              <a:noFill/>
            </a:ln>
          </c:spPr>
        </c:majorGridlines>
        <c:title>
          <c:tx>
            <c:rich>
              <a:bodyPr/>
              <a:lstStyle/>
              <a:p>
                <a:pPr>
                  <a:defRPr sz="1800"/>
                </a:pPr>
                <a:r>
                  <a:rPr lang="en-US" sz="1800" b="0"/>
                  <a:t>% of foreign profits </a:t>
                </a:r>
              </a:p>
            </c:rich>
          </c:tx>
          <c:layout>
            <c:manualLayout>
              <c:xMode val="edge"/>
              <c:yMode val="edge"/>
              <c:x val="8.5937416076744392E-6"/>
              <c:y val="0.35796494580436861"/>
            </c:manualLayout>
          </c:layout>
          <c:overlay val="0"/>
        </c:title>
        <c:numFmt formatCode="0%" sourceLinked="0"/>
        <c:majorTickMark val="none"/>
        <c:minorTickMark val="none"/>
        <c:tickLblPos val="nextTo"/>
        <c:txPr>
          <a:bodyPr/>
          <a:lstStyle/>
          <a:p>
            <a:pPr>
              <a:defRPr sz="1800"/>
            </a:pPr>
            <a:endParaRPr lang="en-US"/>
          </a:p>
        </c:txPr>
        <c:crossAx val="1839106456"/>
        <c:crosses val="autoZero"/>
        <c:crossBetween val="between"/>
        <c:majorUnit val="4.0000000000000008E-2"/>
      </c:valAx>
      <c:valAx>
        <c:axId val="750689360"/>
        <c:scaling>
          <c:orientation val="minMax"/>
          <c:min val="0"/>
        </c:scaling>
        <c:delete val="1"/>
        <c:axPos val="r"/>
        <c:numFmt formatCode="0%" sourceLinked="1"/>
        <c:majorTickMark val="none"/>
        <c:minorTickMark val="none"/>
        <c:tickLblPos val="nextTo"/>
        <c:crossAx val="750701840"/>
        <c:crosses val="max"/>
        <c:crossBetween val="between"/>
        <c:majorUnit val="1.0000000000000002E-2"/>
      </c:valAx>
      <c:catAx>
        <c:axId val="750701840"/>
        <c:scaling>
          <c:orientation val="minMax"/>
        </c:scaling>
        <c:delete val="1"/>
        <c:axPos val="b"/>
        <c:numFmt formatCode="General" sourceLinked="1"/>
        <c:majorTickMark val="out"/>
        <c:minorTickMark val="none"/>
        <c:tickLblPos val="nextTo"/>
        <c:crossAx val="750689360"/>
        <c:crosses val="autoZero"/>
        <c:auto val="1"/>
        <c:lblAlgn val="ctr"/>
        <c:lblOffset val="100"/>
        <c:noMultiLvlLbl val="0"/>
      </c:catAx>
    </c:plotArea>
    <c:plotVisOnly val="1"/>
    <c:dispBlanksAs val="gap"/>
    <c:showDLblsOverMax val="0"/>
  </c:chart>
  <c:spPr>
    <a:noFill/>
    <a:ln>
      <a:noFill/>
    </a:ln>
  </c:spPr>
  <c:txPr>
    <a:bodyPr/>
    <a:lstStyle/>
    <a:p>
      <a:pPr>
        <a:defRPr>
          <a:latin typeface="Garamond" panose="02020404030301010803" pitchFamily="18" charset="0"/>
        </a:defRPr>
      </a:pPr>
      <a:endParaRPr lang="en-US"/>
    </a:p>
  </c:txPr>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a:pPr>
            <a:r>
              <a:rPr lang="en-GB" sz="1800"/>
              <a:t>B. Corporate tax revenue loss</a:t>
            </a:r>
            <a:r>
              <a:rPr lang="en-GB" sz="1800" baseline="0"/>
              <a:t> </a:t>
            </a:r>
            <a:endParaRPr lang="en-GB" sz="1800"/>
          </a:p>
        </c:rich>
      </c:tx>
      <c:layout>
        <c:manualLayout>
          <c:xMode val="edge"/>
          <c:yMode val="edge"/>
          <c:x val="0.40357994801062308"/>
          <c:y val="1.2520557900917436E-2"/>
        </c:manualLayout>
      </c:layout>
      <c:overlay val="0"/>
    </c:title>
    <c:autoTitleDeleted val="0"/>
    <c:plotArea>
      <c:layout>
        <c:manualLayout>
          <c:layoutTarget val="inner"/>
          <c:xMode val="edge"/>
          <c:yMode val="edge"/>
          <c:x val="0.10728740292862157"/>
          <c:y val="8.5381181139666626E-2"/>
          <c:w val="0.87994932142409721"/>
          <c:h val="0.83331226523231949"/>
        </c:manualLayout>
      </c:layout>
      <c:lineChart>
        <c:grouping val="standard"/>
        <c:varyColors val="0"/>
        <c:ser>
          <c:idx val="0"/>
          <c:order val="0"/>
          <c:spPr>
            <a:ln>
              <a:solidFill>
                <a:schemeClr val="tx1"/>
              </a:solidFill>
            </a:ln>
          </c:spPr>
          <c:marker>
            <c:symbol val="none"/>
          </c:marker>
          <c:cat>
            <c:numRef>
              <c:f>'DataF3-F4'!$A$5:$A$52</c:f>
              <c:numCache>
                <c:formatCode>General</c:formatCode>
                <c:ptCount val="48"/>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numCache>
            </c:numRef>
          </c:cat>
          <c:val>
            <c:numRef>
              <c:f>'DataF3-F4'!$BA$5:$BA$53</c:f>
              <c:numCache>
                <c:formatCode>0%</c:formatCode>
                <c:ptCount val="49"/>
                <c:pt idx="0">
                  <c:v>7.0170210017327182E-3</c:v>
                </c:pt>
                <c:pt idx="1">
                  <c:v>6.9803095541385975E-3</c:v>
                </c:pt>
                <c:pt idx="2">
                  <c:v>7.3944783635180745E-3</c:v>
                </c:pt>
                <c:pt idx="3">
                  <c:v>9.8943206262068102E-3</c:v>
                </c:pt>
                <c:pt idx="4">
                  <c:v>1.5903898456036004E-2</c:v>
                </c:pt>
                <c:pt idx="5">
                  <c:v>1.5540346365024365E-2</c:v>
                </c:pt>
                <c:pt idx="6">
                  <c:v>1.2924262242310296E-2</c:v>
                </c:pt>
                <c:pt idx="7">
                  <c:v>1.5699208833893426E-2</c:v>
                </c:pt>
                <c:pt idx="8">
                  <c:v>1.3777179701490153E-2</c:v>
                </c:pt>
                <c:pt idx="9">
                  <c:v>1.3790566747600983E-2</c:v>
                </c:pt>
                <c:pt idx="10">
                  <c:v>1.3826603827250858E-2</c:v>
                </c:pt>
                <c:pt idx="11">
                  <c:v>1.0137322124985155E-2</c:v>
                </c:pt>
                <c:pt idx="12">
                  <c:v>1.2658344660792308E-2</c:v>
                </c:pt>
                <c:pt idx="13">
                  <c:v>1.0259116535999811E-2</c:v>
                </c:pt>
                <c:pt idx="14">
                  <c:v>1.3113569110526819E-2</c:v>
                </c:pt>
                <c:pt idx="15">
                  <c:v>1.5692776421256462E-2</c:v>
                </c:pt>
                <c:pt idx="16">
                  <c:v>1.4024137222373041E-2</c:v>
                </c:pt>
                <c:pt idx="17">
                  <c:v>1.2662795706887452E-2</c:v>
                </c:pt>
                <c:pt idx="18">
                  <c:v>1.315838937117029E-2</c:v>
                </c:pt>
                <c:pt idx="19">
                  <c:v>1.4008287590167368E-2</c:v>
                </c:pt>
                <c:pt idx="20">
                  <c:v>1.6698240284410019E-2</c:v>
                </c:pt>
                <c:pt idx="21">
                  <c:v>1.8450209160617018E-2</c:v>
                </c:pt>
                <c:pt idx="22">
                  <c:v>2.3069504264433049E-2</c:v>
                </c:pt>
                <c:pt idx="23">
                  <c:v>2.5803201083976685E-2</c:v>
                </c:pt>
                <c:pt idx="24">
                  <c:v>2.8875372637709135E-2</c:v>
                </c:pt>
                <c:pt idx="25">
                  <c:v>3.5888630538406005E-2</c:v>
                </c:pt>
                <c:pt idx="26">
                  <c:v>3.6273825449937333E-2</c:v>
                </c:pt>
                <c:pt idx="27">
                  <c:v>3.5666012560009702E-2</c:v>
                </c:pt>
                <c:pt idx="28">
                  <c:v>3.8313725989451652E-2</c:v>
                </c:pt>
                <c:pt idx="29">
                  <c:v>5.0123685844003264E-2</c:v>
                </c:pt>
                <c:pt idx="30">
                  <c:v>5.1406596486638229E-2</c:v>
                </c:pt>
                <c:pt idx="31">
                  <c:v>5.9051032113391841E-2</c:v>
                </c:pt>
                <c:pt idx="32">
                  <c:v>6.2388683969046288E-2</c:v>
                </c:pt>
                <c:pt idx="33">
                  <c:v>4.8290230008007584E-2</c:v>
                </c:pt>
                <c:pt idx="34">
                  <c:v>6.0747203871075114E-2</c:v>
                </c:pt>
                <c:pt idx="35">
                  <c:v>5.8604181466986392E-2</c:v>
                </c:pt>
                <c:pt idx="36">
                  <c:v>6.1362677697475963E-2</c:v>
                </c:pt>
                <c:pt idx="37">
                  <c:v>6.4179654027160485E-2</c:v>
                </c:pt>
                <c:pt idx="38">
                  <c:v>6.4534230215504737E-2</c:v>
                </c:pt>
                <c:pt idx="39">
                  <c:v>7.296197631476245E-2</c:v>
                </c:pt>
                <c:pt idx="40" formatCode="0.0%">
                  <c:v>8.4216532033426189E-2</c:v>
                </c:pt>
                <c:pt idx="41" formatCode="0.0%">
                  <c:v>8.3227481726418084E-2</c:v>
                </c:pt>
                <c:pt idx="42" formatCode="0.0%">
                  <c:v>8.2203019776095926E-2</c:v>
                </c:pt>
                <c:pt idx="43" formatCode="0.0%">
                  <c:v>8.0702968466797517E-2</c:v>
                </c:pt>
                <c:pt idx="44" formatCode="0.0%">
                  <c:v>8.4923534406735696E-2</c:v>
                </c:pt>
                <c:pt idx="45" formatCode="0.0%">
                  <c:v>7.1259265083925744E-2</c:v>
                </c:pt>
                <c:pt idx="46" formatCode="0.0%">
                  <c:v>7.3951564769405786E-2</c:v>
                </c:pt>
                <c:pt idx="47" formatCode="0.0%">
                  <c:v>6.9011573754030997E-2</c:v>
                </c:pt>
                <c:pt idx="48" formatCode="0.0%">
                  <c:v>7.6224908298991118E-2</c:v>
                </c:pt>
              </c:numCache>
            </c:numRef>
          </c:val>
          <c:smooth val="0"/>
          <c:extLst>
            <c:ext xmlns:c16="http://schemas.microsoft.com/office/drawing/2014/chart" uri="{C3380CC4-5D6E-409C-BE32-E72D297353CC}">
              <c16:uniqueId val="{00000000-FCF3-904A-898A-BC1FFB4DD7BD}"/>
            </c:ext>
          </c:extLst>
        </c:ser>
        <c:dLbls>
          <c:showLegendKey val="0"/>
          <c:showVal val="0"/>
          <c:showCatName val="0"/>
          <c:showSerName val="0"/>
          <c:showPercent val="0"/>
          <c:showBubbleSize val="0"/>
        </c:dLbls>
        <c:marker val="1"/>
        <c:smooth val="0"/>
        <c:axId val="1839106456"/>
        <c:axId val="1839111368"/>
        <c:extLst/>
      </c:lineChart>
      <c:lineChart>
        <c:grouping val="standard"/>
        <c:varyColors val="0"/>
        <c:ser>
          <c:idx val="7"/>
          <c:order val="1"/>
          <c:spPr>
            <a:ln>
              <a:prstDash val="dash"/>
            </a:ln>
          </c:spPr>
          <c:marker>
            <c:symbol val="none"/>
          </c:marker>
          <c:cat>
            <c:numRef>
              <c:f>'Wright-Zucman'!$A$37:$A$81</c:f>
              <c:numCache>
                <c:formatCode>General</c:formatCode>
                <c:ptCount val="45"/>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numCache>
            </c:numRef>
          </c:cat>
          <c:val>
            <c:numRef>
              <c:f>'DataF3-F4'!$BB$5:$BB$45</c:f>
              <c:numCache>
                <c:formatCode>0%</c:formatCode>
                <c:ptCount val="41"/>
                <c:pt idx="0">
                  <c:v>1.9458935182012957E-2</c:v>
                </c:pt>
                <c:pt idx="1">
                  <c:v>2.0474520494185453E-2</c:v>
                </c:pt>
                <c:pt idx="2">
                  <c:v>1.8682904241774417E-2</c:v>
                </c:pt>
                <c:pt idx="3">
                  <c:v>2.0741113392065937E-2</c:v>
                </c:pt>
                <c:pt idx="4">
                  <c:v>3.1953939784376058E-2</c:v>
                </c:pt>
                <c:pt idx="5">
                  <c:v>2.7225585534897619E-2</c:v>
                </c:pt>
                <c:pt idx="6">
                  <c:v>2.2694845833763296E-2</c:v>
                </c:pt>
                <c:pt idx="7">
                  <c:v>2.4653938005919002E-2</c:v>
                </c:pt>
                <c:pt idx="8">
                  <c:v>2.2336750602623846E-2</c:v>
                </c:pt>
                <c:pt idx="9">
                  <c:v>2.3878031572770408E-2</c:v>
                </c:pt>
                <c:pt idx="10">
                  <c:v>2.3356026458177977E-2</c:v>
                </c:pt>
                <c:pt idx="11">
                  <c:v>1.8594419812777301E-2</c:v>
                </c:pt>
                <c:pt idx="12">
                  <c:v>2.2004088084827726E-2</c:v>
                </c:pt>
                <c:pt idx="13">
                  <c:v>2.3427072522074786E-2</c:v>
                </c:pt>
                <c:pt idx="14">
                  <c:v>2.4974823874675912E-2</c:v>
                </c:pt>
                <c:pt idx="15">
                  <c:v>2.5726353759463156E-2</c:v>
                </c:pt>
                <c:pt idx="16">
                  <c:v>2.1824285050336279E-2</c:v>
                </c:pt>
                <c:pt idx="17">
                  <c:v>2.0851434994847786E-2</c:v>
                </c:pt>
                <c:pt idx="18">
                  <c:v>2.2392067608421409E-2</c:v>
                </c:pt>
                <c:pt idx="19">
                  <c:v>2.5940621107651073E-2</c:v>
                </c:pt>
                <c:pt idx="20">
                  <c:v>2.7962156166646678E-2</c:v>
                </c:pt>
                <c:pt idx="21">
                  <c:v>3.4304286916806169E-2</c:v>
                </c:pt>
                <c:pt idx="22">
                  <c:v>3.7268738775184766E-2</c:v>
                </c:pt>
                <c:pt idx="23">
                  <c:v>3.7868838897276325E-2</c:v>
                </c:pt>
                <c:pt idx="24">
                  <c:v>4.5791855508870577E-2</c:v>
                </c:pt>
                <c:pt idx="25">
                  <c:v>5.5221911325214902E-2</c:v>
                </c:pt>
                <c:pt idx="26">
                  <c:v>5.0497967594557103E-2</c:v>
                </c:pt>
                <c:pt idx="27">
                  <c:v>4.9516016328676159E-2</c:v>
                </c:pt>
                <c:pt idx="28">
                  <c:v>5.736286681247562E-2</c:v>
                </c:pt>
                <c:pt idx="29">
                  <c:v>7.1607208637814349E-2</c:v>
                </c:pt>
                <c:pt idx="30">
                  <c:v>8.5812569393826033E-2</c:v>
                </c:pt>
                <c:pt idx="31">
                  <c:v>9.2916548402257076E-2</c:v>
                </c:pt>
                <c:pt idx="32">
                  <c:v>9.751181090202421E-2</c:v>
                </c:pt>
                <c:pt idx="33">
                  <c:v>7.8101603818156437E-2</c:v>
                </c:pt>
                <c:pt idx="34">
                  <c:v>8.2902400786554101E-2</c:v>
                </c:pt>
                <c:pt idx="35">
                  <c:v>9.048196435231963E-2</c:v>
                </c:pt>
                <c:pt idx="36">
                  <c:v>9.0843552765485919E-2</c:v>
                </c:pt>
                <c:pt idx="37">
                  <c:v>8.7914904043300074E-2</c:v>
                </c:pt>
                <c:pt idx="38">
                  <c:v>9.0510321577130126E-2</c:v>
                </c:pt>
                <c:pt idx="39">
                  <c:v>9.4791056436788076E-2</c:v>
                </c:pt>
                <c:pt idx="40">
                  <c:v>8.4216532033426189E-2</c:v>
                </c:pt>
              </c:numCache>
            </c:numRef>
          </c:val>
          <c:smooth val="0"/>
          <c:extLst>
            <c:ext xmlns:c16="http://schemas.microsoft.com/office/drawing/2014/chart" uri="{C3380CC4-5D6E-409C-BE32-E72D297353CC}">
              <c16:uniqueId val="{00000001-FCF3-904A-898A-BC1FFB4DD7BD}"/>
            </c:ext>
          </c:extLst>
        </c:ser>
        <c:ser>
          <c:idx val="6"/>
          <c:order val="2"/>
          <c:spPr>
            <a:ln>
              <a:solidFill>
                <a:srgbClr val="0070C0"/>
              </a:solidFill>
              <a:prstDash val="dash"/>
            </a:ln>
          </c:spPr>
          <c:marker>
            <c:symbol val="none"/>
          </c:marker>
          <c:cat>
            <c:numRef>
              <c:f>'Wright-Zucman'!$A$37:$A$81</c:f>
              <c:numCache>
                <c:formatCode>General</c:formatCode>
                <c:ptCount val="45"/>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numCache>
            </c:numRef>
          </c:cat>
          <c:val>
            <c:numRef>
              <c:f>'DataF3-F4'!$BC$5:$BC$45</c:f>
              <c:numCache>
                <c:formatCode>0%</c:formatCode>
                <c:ptCount val="41"/>
                <c:pt idx="0">
                  <c:v>5.8562168502966708E-3</c:v>
                </c:pt>
                <c:pt idx="1">
                  <c:v>5.9543964295803642E-3</c:v>
                </c:pt>
                <c:pt idx="2">
                  <c:v>6.2502313044438375E-3</c:v>
                </c:pt>
                <c:pt idx="3">
                  <c:v>8.2526768118148935E-3</c:v>
                </c:pt>
                <c:pt idx="4">
                  <c:v>1.2739732879057442E-2</c:v>
                </c:pt>
                <c:pt idx="5">
                  <c:v>1.1950687570173826E-2</c:v>
                </c:pt>
                <c:pt idx="6" formatCode="0.00%">
                  <c:v>9.927168983232499E-3</c:v>
                </c:pt>
                <c:pt idx="7" formatCode="0.00%">
                  <c:v>1.1967735256383954E-2</c:v>
                </c:pt>
                <c:pt idx="8" formatCode="0.00%">
                  <c:v>1.0668474386458427E-2</c:v>
                </c:pt>
                <c:pt idx="9" formatCode="0.00%">
                  <c:v>1.0445990102381586E-2</c:v>
                </c:pt>
                <c:pt idx="10" formatCode="0.00%">
                  <c:v>1.0334227095916877E-2</c:v>
                </c:pt>
                <c:pt idx="11" formatCode="0.00%">
                  <c:v>7.246333036204331E-3</c:v>
                </c:pt>
                <c:pt idx="12" formatCode="0.00%">
                  <c:v>8.6202311996286512E-3</c:v>
                </c:pt>
                <c:pt idx="13" formatCode="0.00%">
                  <c:v>6.6066311940194706E-3</c:v>
                </c:pt>
                <c:pt idx="14" formatCode="0.00%">
                  <c:v>8.4130569280933404E-3</c:v>
                </c:pt>
                <c:pt idx="15" formatCode="0.00%">
                  <c:v>1.0017957718244038E-2</c:v>
                </c:pt>
                <c:pt idx="16" formatCode="0.00%">
                  <c:v>9.1147125364655374E-3</c:v>
                </c:pt>
                <c:pt idx="17" formatCode="0.00%">
                  <c:v>8.1096683970502109E-3</c:v>
                </c:pt>
                <c:pt idx="18" formatCode="0.00%">
                  <c:v>8.2568437661973675E-3</c:v>
                </c:pt>
                <c:pt idx="19" formatCode="0.00%">
                  <c:v>8.2214673077607957E-3</c:v>
                </c:pt>
                <c:pt idx="20" formatCode="0.00%">
                  <c:v>1.0144593776846214E-2</c:v>
                </c:pt>
                <c:pt idx="21" formatCode="0.00%">
                  <c:v>1.0059335465740797E-2</c:v>
                </c:pt>
                <c:pt idx="22" formatCode="0.00%">
                  <c:v>1.3042627929823908E-2</c:v>
                </c:pt>
                <c:pt idx="23" formatCode="0.00%">
                  <c:v>1.394428646752088E-2</c:v>
                </c:pt>
                <c:pt idx="24" formatCode="0.00%">
                  <c:v>1.5065087874110162E-2</c:v>
                </c:pt>
                <c:pt idx="25" formatCode="0.00%">
                  <c:v>1.8670030012086777E-2</c:v>
                </c:pt>
                <c:pt idx="26" formatCode="0.00%">
                  <c:v>1.9674356781167916E-2</c:v>
                </c:pt>
                <c:pt idx="27" formatCode="0.00%">
                  <c:v>1.9422534929933351E-2</c:v>
                </c:pt>
                <c:pt idx="28" formatCode="0.00%">
                  <c:v>1.9077499090009931E-2</c:v>
                </c:pt>
                <c:pt idx="29" formatCode="0.00%">
                  <c:v>2.3957690931042681E-2</c:v>
                </c:pt>
                <c:pt idx="30" formatCode="0.00%">
                  <c:v>2.1806530628585036E-2</c:v>
                </c:pt>
                <c:pt idx="31" formatCode="0.00%">
                  <c:v>2.4232846576820288E-2</c:v>
                </c:pt>
                <c:pt idx="32" formatCode="0.00%">
                  <c:v>2.5106677210761812E-2</c:v>
                </c:pt>
                <c:pt idx="33" formatCode="0.00%">
                  <c:v>2.3501910052006483E-2</c:v>
                </c:pt>
                <c:pt idx="34" formatCode="0.00%">
                  <c:v>2.7824894800442375E-2</c:v>
                </c:pt>
                <c:pt idx="35" formatCode="0.00%">
                  <c:v>2.5033603675046187E-2</c:v>
                </c:pt>
                <c:pt idx="36" formatCode="0.00%">
                  <c:v>2.6621090491077786E-2</c:v>
                </c:pt>
                <c:pt idx="37" formatCode="0.00%">
                  <c:v>2.862796409933854E-2</c:v>
                </c:pt>
                <c:pt idx="38" formatCode="0.00%">
                  <c:v>2.7378701849396093E-2</c:v>
                </c:pt>
                <c:pt idx="39" formatCode="0.00%">
                  <c:v>2.960723570569369E-2</c:v>
                </c:pt>
                <c:pt idx="40" formatCode="0.00%">
                  <c:v>8.4216532033426189E-2</c:v>
                </c:pt>
              </c:numCache>
            </c:numRef>
          </c:val>
          <c:smooth val="0"/>
          <c:extLst>
            <c:ext xmlns:c16="http://schemas.microsoft.com/office/drawing/2014/chart" uri="{C3380CC4-5D6E-409C-BE32-E72D297353CC}">
              <c16:uniqueId val="{00000002-FCF3-904A-898A-BC1FFB4DD7BD}"/>
            </c:ext>
          </c:extLst>
        </c:ser>
        <c:ser>
          <c:idx val="1"/>
          <c:order val="3"/>
          <c:marker>
            <c:symbol val="none"/>
          </c:marker>
          <c:val>
            <c:numRef>
              <c:f>'DataF3-F4'!$BD$5:$BD$45</c:f>
              <c:numCache>
                <c:formatCode>0%</c:formatCode>
                <c:ptCount val="41"/>
                <c:pt idx="0">
                  <c:v>7.5844068022977362E-3</c:v>
                </c:pt>
                <c:pt idx="1">
                  <c:v>7.4817623950571288E-3</c:v>
                </c:pt>
                <c:pt idx="2">
                  <c:v>7.9537712751206295E-3</c:v>
                </c:pt>
                <c:pt idx="3">
                  <c:v>1.0696734529292064E-2</c:v>
                </c:pt>
                <c:pt idx="4">
                  <c:v>1.7450500970158007E-2</c:v>
                </c:pt>
                <c:pt idx="5">
                  <c:v>1.7294924367309995E-2</c:v>
                </c:pt>
                <c:pt idx="6">
                  <c:v>1.4389202005030946E-2</c:v>
                </c:pt>
                <c:pt idx="7">
                  <c:v>1.7523104036579612E-2</c:v>
                </c:pt>
                <c:pt idx="8">
                  <c:v>1.5296673969070033E-2</c:v>
                </c:pt>
                <c:pt idx="9">
                  <c:v>1.5425351818839087E-2</c:v>
                </c:pt>
                <c:pt idx="10">
                  <c:v>1.553363163649085E-2</c:v>
                </c:pt>
                <c:pt idx="11">
                  <c:v>1.1550399564907634E-2</c:v>
                </c:pt>
                <c:pt idx="12">
                  <c:v>1.4632121405215796E-2</c:v>
                </c:pt>
                <c:pt idx="13">
                  <c:v>1.2044403328132443E-2</c:v>
                </c:pt>
                <c:pt idx="14">
                  <c:v>1.5411117637034281E-2</c:v>
                </c:pt>
                <c:pt idx="15">
                  <c:v>1.8466553159465708E-2</c:v>
                </c:pt>
                <c:pt idx="16">
                  <c:v>1.6423799432644475E-2</c:v>
                </c:pt>
                <c:pt idx="17">
                  <c:v>1.4888304446299273E-2</c:v>
                </c:pt>
                <c:pt idx="18">
                  <c:v>1.5554200390318528E-2</c:v>
                </c:pt>
                <c:pt idx="19">
                  <c:v>1.6836809227169819E-2</c:v>
                </c:pt>
                <c:pt idx="20">
                  <c:v>1.9901576493807683E-2</c:v>
                </c:pt>
                <c:pt idx="21">
                  <c:v>2.2551557853174288E-2</c:v>
                </c:pt>
                <c:pt idx="22">
                  <c:v>2.7970509528103548E-2</c:v>
                </c:pt>
                <c:pt idx="23">
                  <c:v>3.1599682562067494E-2</c:v>
                </c:pt>
                <c:pt idx="24">
                  <c:v>3.5625658176343486E-2</c:v>
                </c:pt>
                <c:pt idx="25">
                  <c:v>4.4304855990519323E-2</c:v>
                </c:pt>
                <c:pt idx="26">
                  <c:v>4.4387427393841612E-2</c:v>
                </c:pt>
                <c:pt idx="27">
                  <c:v>4.3605610766734901E-2</c:v>
                </c:pt>
                <c:pt idx="28">
                  <c:v>4.7716140673864836E-2</c:v>
                </c:pt>
                <c:pt idx="29">
                  <c:v>6.2913279982604403E-2</c:v>
                </c:pt>
                <c:pt idx="30">
                  <c:v>6.5874719333090706E-2</c:v>
                </c:pt>
                <c:pt idx="31">
                  <c:v>7.6069703222079149E-2</c:v>
                </c:pt>
                <c:pt idx="32">
                  <c:v>8.061163848299302E-2</c:v>
                </c:pt>
                <c:pt idx="33">
                  <c:v>6.0406434748917603E-2</c:v>
                </c:pt>
                <c:pt idx="34">
                  <c:v>7.6839195500654503E-2</c:v>
                </c:pt>
                <c:pt idx="35">
                  <c:v>7.5013038320527345E-2</c:v>
                </c:pt>
                <c:pt idx="36">
                  <c:v>7.8343908549911967E-2</c:v>
                </c:pt>
                <c:pt idx="37">
                  <c:v>8.1556852434128649E-2</c:v>
                </c:pt>
                <c:pt idx="38">
                  <c:v>8.2695363754991591E-2</c:v>
                </c:pt>
                <c:pt idx="39">
                  <c:v>9.4153203257165738E-2</c:v>
                </c:pt>
                <c:pt idx="40">
                  <c:v>8.4216532033426189E-2</c:v>
                </c:pt>
              </c:numCache>
            </c:numRef>
          </c:val>
          <c:smooth val="0"/>
          <c:extLst>
            <c:ext xmlns:c16="http://schemas.microsoft.com/office/drawing/2014/chart" uri="{C3380CC4-5D6E-409C-BE32-E72D297353CC}">
              <c16:uniqueId val="{00000003-FCF3-904A-898A-BC1FFB4DD7BD}"/>
            </c:ext>
          </c:extLst>
        </c:ser>
        <c:ser>
          <c:idx val="2"/>
          <c:order val="4"/>
          <c:spPr>
            <a:ln>
              <a:solidFill>
                <a:schemeClr val="accent1"/>
              </a:solidFill>
            </a:ln>
          </c:spPr>
          <c:marker>
            <c:symbol val="none"/>
          </c:marker>
          <c:val>
            <c:numRef>
              <c:f>'DataF3-F4'!$BE$5:$BE$45</c:f>
              <c:numCache>
                <c:formatCode>0%</c:formatCode>
                <c:ptCount val="41"/>
                <c:pt idx="0">
                  <c:v>6.720311826297203E-3</c:v>
                </c:pt>
                <c:pt idx="1">
                  <c:v>6.7180794123187461E-3</c:v>
                </c:pt>
                <c:pt idx="2">
                  <c:v>7.1020012897822339E-3</c:v>
                </c:pt>
                <c:pt idx="3">
                  <c:v>9.474705670553479E-3</c:v>
                </c:pt>
                <c:pt idx="4">
                  <c:v>1.5095116924607722E-2</c:v>
                </c:pt>
                <c:pt idx="5">
                  <c:v>1.462280596874191E-2</c:v>
                </c:pt>
                <c:pt idx="6">
                  <c:v>1.2158185494131722E-2</c:v>
                </c:pt>
                <c:pt idx="7">
                  <c:v>1.4745419646481786E-2</c:v>
                </c:pt>
                <c:pt idx="8">
                  <c:v>1.2982574177764229E-2</c:v>
                </c:pt>
                <c:pt idx="9">
                  <c:v>1.2935670960610338E-2</c:v>
                </c:pt>
                <c:pt idx="10">
                  <c:v>1.2933929366203861E-2</c:v>
                </c:pt>
                <c:pt idx="11">
                  <c:v>9.3983663005559812E-3</c:v>
                </c:pt>
                <c:pt idx="12">
                  <c:v>1.1626176302422221E-2</c:v>
                </c:pt>
                <c:pt idx="13">
                  <c:v>9.3255172610759562E-3</c:v>
                </c:pt>
                <c:pt idx="14">
                  <c:v>1.1912087282563811E-2</c:v>
                </c:pt>
                <c:pt idx="15">
                  <c:v>1.4242255438854875E-2</c:v>
                </c:pt>
                <c:pt idx="16">
                  <c:v>1.2769255984555007E-2</c:v>
                </c:pt>
                <c:pt idx="17">
                  <c:v>1.1498986421674743E-2</c:v>
                </c:pt>
                <c:pt idx="18">
                  <c:v>1.1905522078257949E-2</c:v>
                </c:pt>
                <c:pt idx="19">
                  <c:v>1.2529138267465311E-2</c:v>
                </c:pt>
                <c:pt idx="20">
                  <c:v>1.5023085135326946E-2</c:v>
                </c:pt>
                <c:pt idx="21">
                  <c:v>1.6305446659457545E-2</c:v>
                </c:pt>
                <c:pt idx="22">
                  <c:v>2.0506568728963726E-2</c:v>
                </c:pt>
                <c:pt idx="23">
                  <c:v>2.2771984514794185E-2</c:v>
                </c:pt>
                <c:pt idx="24">
                  <c:v>2.5345373025226822E-2</c:v>
                </c:pt>
                <c:pt idx="25">
                  <c:v>3.1487443001303052E-2</c:v>
                </c:pt>
                <c:pt idx="26">
                  <c:v>3.2030892087504759E-2</c:v>
                </c:pt>
                <c:pt idx="27">
                  <c:v>3.1514072848334129E-2</c:v>
                </c:pt>
                <c:pt idx="28">
                  <c:v>3.3396819881937385E-2</c:v>
                </c:pt>
                <c:pt idx="29">
                  <c:v>4.3435485456823533E-2</c:v>
                </c:pt>
                <c:pt idx="30">
                  <c:v>4.3840624980837871E-2</c:v>
                </c:pt>
                <c:pt idx="31">
                  <c:v>5.0151274899449733E-2</c:v>
                </c:pt>
                <c:pt idx="32">
                  <c:v>5.2859157846877412E-2</c:v>
                </c:pt>
                <c:pt idx="33">
                  <c:v>4.1954172400462043E-2</c:v>
                </c:pt>
                <c:pt idx="34">
                  <c:v>5.2332045150548435E-2</c:v>
                </c:pt>
                <c:pt idx="35">
                  <c:v>5.002332099778678E-2</c:v>
                </c:pt>
                <c:pt idx="36">
                  <c:v>5.2482499520494878E-2</c:v>
                </c:pt>
                <c:pt idx="37">
                  <c:v>5.5092408266733589E-2</c:v>
                </c:pt>
                <c:pt idx="38">
                  <c:v>5.5037032802193839E-2</c:v>
                </c:pt>
                <c:pt idx="39">
                  <c:v>6.1880219481429709E-2</c:v>
                </c:pt>
                <c:pt idx="40">
                  <c:v>8.4216532033426189E-2</c:v>
                </c:pt>
              </c:numCache>
            </c:numRef>
          </c:val>
          <c:smooth val="0"/>
          <c:extLst>
            <c:ext xmlns:c16="http://schemas.microsoft.com/office/drawing/2014/chart" uri="{C3380CC4-5D6E-409C-BE32-E72D297353CC}">
              <c16:uniqueId val="{00000004-FCF3-904A-898A-BC1FFB4DD7BD}"/>
            </c:ext>
          </c:extLst>
        </c:ser>
        <c:dLbls>
          <c:showLegendKey val="0"/>
          <c:showVal val="0"/>
          <c:showCatName val="0"/>
          <c:showSerName val="0"/>
          <c:showPercent val="0"/>
          <c:showBubbleSize val="0"/>
        </c:dLbls>
        <c:marker val="1"/>
        <c:smooth val="0"/>
        <c:axId val="750701840"/>
        <c:axId val="750689360"/>
      </c:lineChart>
      <c:catAx>
        <c:axId val="1839106456"/>
        <c:scaling>
          <c:orientation val="minMax"/>
        </c:scaling>
        <c:delete val="0"/>
        <c:axPos val="b"/>
        <c:numFmt formatCode="General" sourceLinked="0"/>
        <c:majorTickMark val="none"/>
        <c:minorTickMark val="none"/>
        <c:tickLblPos val="nextTo"/>
        <c:txPr>
          <a:bodyPr rot="0" vert="horz"/>
          <a:lstStyle/>
          <a:p>
            <a:pPr>
              <a:defRPr sz="1800"/>
            </a:pPr>
            <a:endParaRPr lang="en-US"/>
          </a:p>
        </c:txPr>
        <c:crossAx val="1839111368"/>
        <c:crosses val="autoZero"/>
        <c:auto val="1"/>
        <c:lblAlgn val="ctr"/>
        <c:lblOffset val="100"/>
        <c:tickLblSkip val="5"/>
        <c:noMultiLvlLbl val="0"/>
      </c:catAx>
      <c:valAx>
        <c:axId val="1839111368"/>
        <c:scaling>
          <c:orientation val="minMax"/>
          <c:max val="0.1"/>
          <c:min val="0"/>
        </c:scaling>
        <c:delete val="0"/>
        <c:axPos val="l"/>
        <c:majorGridlines>
          <c:spPr>
            <a:ln>
              <a:noFill/>
            </a:ln>
          </c:spPr>
        </c:majorGridlines>
        <c:title>
          <c:tx>
            <c:rich>
              <a:bodyPr/>
              <a:lstStyle/>
              <a:p>
                <a:pPr>
                  <a:defRPr sz="1800"/>
                </a:pPr>
                <a:r>
                  <a:rPr lang="en-US" sz="1800" b="0"/>
                  <a:t>% of corporate tax receipts</a:t>
                </a:r>
              </a:p>
            </c:rich>
          </c:tx>
          <c:layout>
            <c:manualLayout>
              <c:xMode val="edge"/>
              <c:yMode val="edge"/>
              <c:x val="2.1880678652844656E-5"/>
              <c:y val="0.29921005535384543"/>
            </c:manualLayout>
          </c:layout>
          <c:overlay val="0"/>
        </c:title>
        <c:numFmt formatCode="0%" sourceLinked="0"/>
        <c:majorTickMark val="none"/>
        <c:minorTickMark val="none"/>
        <c:tickLblPos val="nextTo"/>
        <c:txPr>
          <a:bodyPr/>
          <a:lstStyle/>
          <a:p>
            <a:pPr>
              <a:defRPr sz="1800"/>
            </a:pPr>
            <a:endParaRPr lang="en-US"/>
          </a:p>
        </c:txPr>
        <c:crossAx val="1839106456"/>
        <c:crosses val="autoZero"/>
        <c:crossBetween val="between"/>
        <c:majorUnit val="0.02"/>
      </c:valAx>
      <c:valAx>
        <c:axId val="750689360"/>
        <c:scaling>
          <c:orientation val="minMax"/>
          <c:min val="0"/>
        </c:scaling>
        <c:delete val="1"/>
        <c:axPos val="r"/>
        <c:numFmt formatCode="0%" sourceLinked="1"/>
        <c:majorTickMark val="none"/>
        <c:minorTickMark val="none"/>
        <c:tickLblPos val="nextTo"/>
        <c:crossAx val="750701840"/>
        <c:crosses val="max"/>
        <c:crossBetween val="between"/>
        <c:majorUnit val="1.0000000000000002E-2"/>
      </c:valAx>
      <c:catAx>
        <c:axId val="750701840"/>
        <c:scaling>
          <c:orientation val="minMax"/>
        </c:scaling>
        <c:delete val="1"/>
        <c:axPos val="b"/>
        <c:numFmt formatCode="General" sourceLinked="1"/>
        <c:majorTickMark val="out"/>
        <c:minorTickMark val="none"/>
        <c:tickLblPos val="nextTo"/>
        <c:crossAx val="750689360"/>
        <c:crosses val="autoZero"/>
        <c:auto val="1"/>
        <c:lblAlgn val="ctr"/>
        <c:lblOffset val="100"/>
        <c:noMultiLvlLbl val="0"/>
      </c:catAx>
    </c:plotArea>
    <c:plotVisOnly val="1"/>
    <c:dispBlanksAs val="gap"/>
    <c:showDLblsOverMax val="0"/>
  </c:chart>
  <c:spPr>
    <a:noFill/>
    <a:ln>
      <a:noFill/>
    </a:ln>
  </c:spPr>
  <c:txPr>
    <a:bodyPr/>
    <a:lstStyle/>
    <a:p>
      <a:pPr>
        <a:defRPr>
          <a:latin typeface="Garamond" panose="02020404030301010803" pitchFamily="18" charset="0"/>
        </a:defRPr>
      </a:pPr>
      <a:endParaRPr lang="en-US"/>
    </a:p>
  </c:txPr>
  <c:userShapes r:id="rId1"/>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103071081590121"/>
          <c:y val="3.9577777678845703E-2"/>
          <c:w val="0.84533489691487429"/>
          <c:h val="0.87438719616569671"/>
        </c:manualLayout>
      </c:layout>
      <c:areaChart>
        <c:grouping val="stacked"/>
        <c:varyColors val="0"/>
        <c:ser>
          <c:idx val="4"/>
          <c:order val="0"/>
          <c:tx>
            <c:v>Shifted profits</c:v>
          </c:tx>
          <c:spPr>
            <a:solidFill>
              <a:srgbClr val="0070C0"/>
            </a:solidFill>
            <a:ln w="25400">
              <a:noFill/>
            </a:ln>
          </c:spPr>
          <c:cat>
            <c:numRef>
              <c:f>'DataF3-F4'!$A$5:$A$50</c:f>
              <c:numCache>
                <c:formatCode>General</c:formatCode>
                <c:ptCount val="46"/>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numCache>
            </c:numRef>
          </c:cat>
          <c:val>
            <c:numRef>
              <c:f>'DataF3-F4'!$AE$5:$AE$53</c:f>
              <c:numCache>
                <c:formatCode>0%</c:formatCode>
                <c:ptCount val="49"/>
                <c:pt idx="0">
                  <c:v>4.5948720718397285E-2</c:v>
                </c:pt>
                <c:pt idx="1">
                  <c:v>3.8043497431201306E-2</c:v>
                </c:pt>
                <c:pt idx="2">
                  <c:v>4.9555912006022482E-2</c:v>
                </c:pt>
                <c:pt idx="3">
                  <c:v>7.0780078356024415E-2</c:v>
                </c:pt>
                <c:pt idx="4">
                  <c:v>8.8670042306996932E-2</c:v>
                </c:pt>
                <c:pt idx="5">
                  <c:v>0.12653627025609712</c:v>
                </c:pt>
                <c:pt idx="6">
                  <c:v>0.12639460933162869</c:v>
                </c:pt>
                <c:pt idx="7">
                  <c:v>0.1583758285576711</c:v>
                </c:pt>
                <c:pt idx="8">
                  <c:v>0.14345412192631868</c:v>
                </c:pt>
                <c:pt idx="9">
                  <c:v>0.13407237602798033</c:v>
                </c:pt>
                <c:pt idx="10">
                  <c:v>0.14440767095738724</c:v>
                </c:pt>
                <c:pt idx="11">
                  <c:v>0.137171529646264</c:v>
                </c:pt>
                <c:pt idx="12">
                  <c:v>0.16245661898654001</c:v>
                </c:pt>
                <c:pt idx="13">
                  <c:v>0.11692066382662823</c:v>
                </c:pt>
                <c:pt idx="14">
                  <c:v>0.15281947054870351</c:v>
                </c:pt>
                <c:pt idx="15">
                  <c:v>0.1945182377452386</c:v>
                </c:pt>
                <c:pt idx="16">
                  <c:v>0.2079887457111097</c:v>
                </c:pt>
                <c:pt idx="17">
                  <c:v>0.19240675958185671</c:v>
                </c:pt>
                <c:pt idx="18">
                  <c:v>0.18671127071285659</c:v>
                </c:pt>
                <c:pt idx="19">
                  <c:v>0.17584790327476432</c:v>
                </c:pt>
                <c:pt idx="20">
                  <c:v>0.1980500250009827</c:v>
                </c:pt>
                <c:pt idx="21">
                  <c:v>0.18634856047378498</c:v>
                </c:pt>
                <c:pt idx="22">
                  <c:v>0.22285487347606114</c:v>
                </c:pt>
                <c:pt idx="23">
                  <c:v>0.26689552827564239</c:v>
                </c:pt>
                <c:pt idx="24">
                  <c:v>0.24200588923135002</c:v>
                </c:pt>
                <c:pt idx="25">
                  <c:v>0.2536461605528762</c:v>
                </c:pt>
                <c:pt idx="26">
                  <c:v>0.28996851978883714</c:v>
                </c:pt>
                <c:pt idx="27">
                  <c:v>0.29063422767036329</c:v>
                </c:pt>
                <c:pt idx="28">
                  <c:v>0.27053735865049783</c:v>
                </c:pt>
                <c:pt idx="29">
                  <c:v>0.29567793781540885</c:v>
                </c:pt>
                <c:pt idx="30">
                  <c:v>0.24900719969672591</c:v>
                </c:pt>
                <c:pt idx="31">
                  <c:v>0.27295598302147356</c:v>
                </c:pt>
                <c:pt idx="32">
                  <c:v>0.27724907013846722</c:v>
                </c:pt>
                <c:pt idx="33">
                  <c:v>0.24445395241630413</c:v>
                </c:pt>
                <c:pt idx="34">
                  <c:v>0.32185198987075203</c:v>
                </c:pt>
                <c:pt idx="35">
                  <c:v>0.27618508427015626</c:v>
                </c:pt>
                <c:pt idx="36">
                  <c:v>0.29127477848375388</c:v>
                </c:pt>
                <c:pt idx="37">
                  <c:v>0.32288018363206733</c:v>
                </c:pt>
                <c:pt idx="38">
                  <c:v>0.31689594851560748</c:v>
                </c:pt>
                <c:pt idx="39">
                  <c:v>0.35812691074216191</c:v>
                </c:pt>
                <c:pt idx="40">
                  <c:v>0.46249753222435425</c:v>
                </c:pt>
                <c:pt idx="41">
                  <c:v>0.52131770313113146</c:v>
                </c:pt>
                <c:pt idx="42">
                  <c:v>0.48234678751243809</c:v>
                </c:pt>
                <c:pt idx="43">
                  <c:v>0.50612988203620357</c:v>
                </c:pt>
                <c:pt idx="44">
                  <c:v>0.47732783265801126</c:v>
                </c:pt>
                <c:pt idx="45">
                  <c:v>0.50837430724697552</c:v>
                </c:pt>
                <c:pt idx="46">
                  <c:v>0.43488622670982136</c:v>
                </c:pt>
                <c:pt idx="47">
                  <c:v>0.39124733852523791</c:v>
                </c:pt>
                <c:pt idx="48">
                  <c:v>0.40643526930019541</c:v>
                </c:pt>
              </c:numCache>
            </c:numRef>
          </c:val>
          <c:extLst>
            <c:ext xmlns:c16="http://schemas.microsoft.com/office/drawing/2014/chart" uri="{C3380CC4-5D6E-409C-BE32-E72D297353CC}">
              <c16:uniqueId val="{00000003-EA98-41FA-93F9-248380846303}"/>
            </c:ext>
          </c:extLst>
        </c:ser>
        <c:ser>
          <c:idx val="1"/>
          <c:order val="1"/>
          <c:tx>
            <c:v>All profits</c:v>
          </c:tx>
          <c:spPr>
            <a:solidFill>
              <a:srgbClr val="FF0000"/>
            </a:solidFill>
            <a:ln w="25400">
              <a:noFill/>
            </a:ln>
          </c:spPr>
          <c:cat>
            <c:numRef>
              <c:f>'DataF3-F4'!$A$5:$A$50</c:f>
              <c:numCache>
                <c:formatCode>General</c:formatCode>
                <c:ptCount val="46"/>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numCache>
            </c:numRef>
          </c:cat>
          <c:val>
            <c:numRef>
              <c:f>'DataF3-F4'!$AF$5:$AF$53</c:f>
              <c:numCache>
                <c:formatCode>0%</c:formatCode>
                <c:ptCount val="49"/>
                <c:pt idx="0">
                  <c:v>1.6781271914545093E-2</c:v>
                </c:pt>
                <c:pt idx="1">
                  <c:v>1.7436602989300595E-2</c:v>
                </c:pt>
                <c:pt idx="2">
                  <c:v>2.0836008457077643E-2</c:v>
                </c:pt>
                <c:pt idx="3">
                  <c:v>2.4593078072855934E-2</c:v>
                </c:pt>
                <c:pt idx="4">
                  <c:v>2.0389368017116938E-2</c:v>
                </c:pt>
                <c:pt idx="5">
                  <c:v>3.0339105733918015E-2</c:v>
                </c:pt>
                <c:pt idx="6">
                  <c:v>2.8685301408596597E-2</c:v>
                </c:pt>
                <c:pt idx="7">
                  <c:v>2.7306177337529491E-2</c:v>
                </c:pt>
                <c:pt idx="8">
                  <c:v>3.1228108174436719E-2</c:v>
                </c:pt>
                <c:pt idx="9">
                  <c:v>3.2450638783842356E-2</c:v>
                </c:pt>
                <c:pt idx="10">
                  <c:v>3.1064440845484487E-2</c:v>
                </c:pt>
                <c:pt idx="11">
                  <c:v>4.7222985615926943E-2</c:v>
                </c:pt>
                <c:pt idx="12">
                  <c:v>5.1986118075692811E-2</c:v>
                </c:pt>
                <c:pt idx="13">
                  <c:v>5.8987001570190808E-2</c:v>
                </c:pt>
                <c:pt idx="14">
                  <c:v>5.8162634313312533E-2</c:v>
                </c:pt>
                <c:pt idx="15">
                  <c:v>4.9943871853507238E-2</c:v>
                </c:pt>
                <c:pt idx="16">
                  <c:v>5.1581208936355205E-2</c:v>
                </c:pt>
                <c:pt idx="17">
                  <c:v>5.0824427059358385E-2</c:v>
                </c:pt>
                <c:pt idx="18">
                  <c:v>5.4381923508598995E-2</c:v>
                </c:pt>
                <c:pt idx="19">
                  <c:v>6.1637409395278231E-2</c:v>
                </c:pt>
                <c:pt idx="20">
                  <c:v>6.3015917045767228E-2</c:v>
                </c:pt>
                <c:pt idx="21">
                  <c:v>6.0704455305854221E-2</c:v>
                </c:pt>
                <c:pt idx="22">
                  <c:v>5.7634881071395139E-2</c:v>
                </c:pt>
                <c:pt idx="23">
                  <c:v>5.9976523208009558E-2</c:v>
                </c:pt>
                <c:pt idx="24">
                  <c:v>5.7550180975747878E-2</c:v>
                </c:pt>
                <c:pt idx="25">
                  <c:v>4.6789097577715044E-2</c:v>
                </c:pt>
                <c:pt idx="26">
                  <c:v>4.3797328509772249E-2</c:v>
                </c:pt>
                <c:pt idx="27">
                  <c:v>4.7954647565609965E-2</c:v>
                </c:pt>
                <c:pt idx="28">
                  <c:v>4.89765907901763E-2</c:v>
                </c:pt>
                <c:pt idx="29">
                  <c:v>4.5322895577544431E-2</c:v>
                </c:pt>
                <c:pt idx="30">
                  <c:v>4.7339771805461173E-2</c:v>
                </c:pt>
                <c:pt idx="31">
                  <c:v>4.5961660371313384E-2</c:v>
                </c:pt>
                <c:pt idx="32">
                  <c:v>4.6656801447250151E-2</c:v>
                </c:pt>
                <c:pt idx="33">
                  <c:v>4.6427301040305846E-2</c:v>
                </c:pt>
                <c:pt idx="34">
                  <c:v>5.0818735242750324E-2</c:v>
                </c:pt>
                <c:pt idx="35">
                  <c:v>5.2414687525723092E-2</c:v>
                </c:pt>
                <c:pt idx="36">
                  <c:v>4.9444792643847157E-2</c:v>
                </c:pt>
                <c:pt idx="37">
                  <c:v>4.8335356831147813E-2</c:v>
                </c:pt>
                <c:pt idx="38">
                  <c:v>5.1497423670671061E-2</c:v>
                </c:pt>
                <c:pt idx="39">
                  <c:v>5.5650738190471338E-2</c:v>
                </c:pt>
                <c:pt idx="40">
                  <c:v>5.6762264115361727E-2</c:v>
                </c:pt>
                <c:pt idx="41">
                  <c:v>5.4269737254574735E-2</c:v>
                </c:pt>
                <c:pt idx="42">
                  <c:v>5.6871382378414159E-2</c:v>
                </c:pt>
                <c:pt idx="43">
                  <c:v>5.1718292536774846E-2</c:v>
                </c:pt>
                <c:pt idx="44">
                  <c:v>5.7117446838360619E-2</c:v>
                </c:pt>
                <c:pt idx="45">
                  <c:v>6.3125097623436544E-2</c:v>
                </c:pt>
                <c:pt idx="46">
                  <c:v>6.2682581765006684E-2</c:v>
                </c:pt>
                <c:pt idx="47">
                  <c:v>6.3158160794901108E-2</c:v>
                </c:pt>
                <c:pt idx="48">
                  <c:v>6.4467159001709629E-2</c:v>
                </c:pt>
              </c:numCache>
            </c:numRef>
          </c:val>
          <c:extLst>
            <c:ext xmlns:c16="http://schemas.microsoft.com/office/drawing/2014/chart" uri="{C3380CC4-5D6E-409C-BE32-E72D297353CC}">
              <c16:uniqueId val="{00000004-EA98-41FA-93F9-248380846303}"/>
            </c:ext>
          </c:extLst>
        </c:ser>
        <c:dLbls>
          <c:showLegendKey val="0"/>
          <c:showVal val="0"/>
          <c:showCatName val="0"/>
          <c:showSerName val="0"/>
          <c:showPercent val="0"/>
          <c:showBubbleSize val="0"/>
        </c:dLbls>
        <c:axId val="-2045299224"/>
        <c:axId val="-2045296072"/>
      </c:areaChart>
      <c:catAx>
        <c:axId val="-2045299224"/>
        <c:scaling>
          <c:orientation val="minMax"/>
        </c:scaling>
        <c:delete val="0"/>
        <c:axPos val="b"/>
        <c:numFmt formatCode="General" sourceLinked="1"/>
        <c:majorTickMark val="out"/>
        <c:minorTickMark val="none"/>
        <c:tickLblPos val="nextTo"/>
        <c:txPr>
          <a:bodyPr rot="0" vert="horz"/>
          <a:lstStyle/>
          <a:p>
            <a:pPr>
              <a:defRPr sz="1800"/>
            </a:pPr>
            <a:endParaRPr lang="en-US"/>
          </a:p>
        </c:txPr>
        <c:crossAx val="-2045296072"/>
        <c:crosses val="autoZero"/>
        <c:auto val="1"/>
        <c:lblAlgn val="ctr"/>
        <c:lblOffset val="100"/>
        <c:tickLblSkip val="5"/>
        <c:tickMarkSkip val="5"/>
        <c:noMultiLvlLbl val="0"/>
      </c:catAx>
      <c:valAx>
        <c:axId val="-2045296072"/>
        <c:scaling>
          <c:orientation val="minMax"/>
          <c:max val="0.6"/>
          <c:min val="0"/>
        </c:scaling>
        <c:delete val="0"/>
        <c:axPos val="l"/>
        <c:title>
          <c:tx>
            <c:rich>
              <a:bodyPr/>
              <a:lstStyle/>
              <a:p>
                <a:pPr>
                  <a:defRPr/>
                </a:pPr>
                <a:r>
                  <a:rPr lang="en-US" b="0"/>
                  <a:t>% o foreign profits of US multinationals</a:t>
                </a:r>
              </a:p>
            </c:rich>
          </c:tx>
          <c:layout>
            <c:manualLayout>
              <c:xMode val="edge"/>
              <c:yMode val="edge"/>
              <c:x val="4.1508130572810225E-3"/>
              <c:y val="0.14044796302636084"/>
            </c:manualLayout>
          </c:layout>
          <c:overlay val="0"/>
        </c:title>
        <c:numFmt formatCode="0%" sourceLinked="0"/>
        <c:majorTickMark val="none"/>
        <c:minorTickMark val="none"/>
        <c:tickLblPos val="nextTo"/>
        <c:crossAx val="-2045299224"/>
        <c:crosses val="autoZero"/>
        <c:crossBetween val="midCat"/>
        <c:majorUnit val="5.000000000000001E-2"/>
      </c:valAx>
    </c:plotArea>
    <c:plotVisOnly val="1"/>
    <c:dispBlanksAs val="zero"/>
    <c:showDLblsOverMax val="0"/>
  </c:chart>
  <c:spPr>
    <a:ln>
      <a:noFill/>
    </a:ln>
  </c:spPr>
  <c:txPr>
    <a:bodyPr/>
    <a:lstStyle/>
    <a:p>
      <a:pPr>
        <a:defRPr sz="1800">
          <a:latin typeface="Garamond" panose="02020404030301010803" pitchFamily="18" charset="0"/>
        </a:defRPr>
      </a:pPr>
      <a:endParaRPr lang="en-US"/>
    </a:p>
  </c:txPr>
  <c:userShapes r:id="rId2"/>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ubbleChart>
        <c:varyColors val="0"/>
        <c:ser>
          <c:idx val="0"/>
          <c:order val="0"/>
          <c:tx>
            <c:strRef>
              <c:f>'data-FigureA3'!$F$1</c:f>
              <c:strCache>
                <c:ptCount val="1"/>
                <c:pt idx="0">
                  <c:v>Tax loss as share of CIT</c:v>
                </c:pt>
              </c:strCache>
            </c:strRef>
          </c:tx>
          <c:spPr>
            <a:solidFill>
              <a:schemeClr val="accent1">
                <a:lumMod val="40000"/>
                <a:lumOff val="60000"/>
              </a:schemeClr>
            </a:solidFill>
            <a:ln>
              <a:solidFill>
                <a:schemeClr val="accent1">
                  <a:lumMod val="60000"/>
                  <a:lumOff val="40000"/>
                </a:schemeClr>
              </a:solidFill>
            </a:ln>
            <a:effectLst/>
          </c:spPr>
          <c:invertIfNegative val="0"/>
          <c:xVal>
            <c:numRef>
              <c:f>'data-FigureA3'!$E$2:$E$44</c:f>
              <c:numCache>
                <c:formatCode>0.0%</c:formatCode>
                <c:ptCount val="43"/>
                <c:pt idx="0">
                  <c:v>-0.13229500000000002</c:v>
                </c:pt>
                <c:pt idx="1">
                  <c:v>-0.1</c:v>
                </c:pt>
                <c:pt idx="2">
                  <c:v>-7.5049999999999992E-2</c:v>
                </c:pt>
                <c:pt idx="3">
                  <c:v>-0.05</c:v>
                </c:pt>
                <c:pt idx="4">
                  <c:v>-4.6099999999999995E-2</c:v>
                </c:pt>
                <c:pt idx="5">
                  <c:v>-0.04</c:v>
                </c:pt>
                <c:pt idx="6">
                  <c:v>-3.5000000000000003E-2</c:v>
                </c:pt>
                <c:pt idx="7">
                  <c:v>-3.4827500000000032E-2</c:v>
                </c:pt>
                <c:pt idx="8">
                  <c:v>-0.03</c:v>
                </c:pt>
                <c:pt idx="9">
                  <c:v>-2.3700000000000009E-2</c:v>
                </c:pt>
                <c:pt idx="10">
                  <c:v>-1.4999999999999999E-2</c:v>
                </c:pt>
                <c:pt idx="11">
                  <c:v>-1.3999999999999986E-2</c:v>
                </c:pt>
                <c:pt idx="12">
                  <c:v>-0.01</c:v>
                </c:pt>
                <c:pt idx="13">
                  <c:v>-0.01</c:v>
                </c:pt>
                <c:pt idx="14">
                  <c:v>-0.01</c:v>
                </c:pt>
                <c:pt idx="15">
                  <c:v>-0.01</c:v>
                </c:pt>
                <c:pt idx="16">
                  <c:v>-2.8999999999999916E-3</c:v>
                </c:pt>
                <c:pt idx="17">
                  <c:v>-2.3400000000000174E-3</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0.02</c:v>
                </c:pt>
                <c:pt idx="36">
                  <c:v>0.02</c:v>
                </c:pt>
                <c:pt idx="37">
                  <c:v>2.3000000000000007E-2</c:v>
                </c:pt>
                <c:pt idx="38">
                  <c:v>4.4999999999999998E-2</c:v>
                </c:pt>
                <c:pt idx="39">
                  <c:v>0.05</c:v>
                </c:pt>
                <c:pt idx="40">
                  <c:v>0.05</c:v>
                </c:pt>
                <c:pt idx="41">
                  <c:v>0.05</c:v>
                </c:pt>
                <c:pt idx="42">
                  <c:v>0.1</c:v>
                </c:pt>
              </c:numCache>
            </c:numRef>
          </c:xVal>
          <c:yVal>
            <c:numRef>
              <c:f>'data-FigureA3'!$F$2:$F$44</c:f>
              <c:numCache>
                <c:formatCode>0.0%</c:formatCode>
                <c:ptCount val="43"/>
                <c:pt idx="0">
                  <c:v>-6.6271925418468769E-2</c:v>
                </c:pt>
                <c:pt idx="1">
                  <c:v>-7.4923681822995358E-2</c:v>
                </c:pt>
                <c:pt idx="2">
                  <c:v>3.7602394054409433E-2</c:v>
                </c:pt>
                <c:pt idx="3">
                  <c:v>-5.2701669766777398E-2</c:v>
                </c:pt>
                <c:pt idx="4">
                  <c:v>-5.0036142599710468E-2</c:v>
                </c:pt>
                <c:pt idx="5">
                  <c:v>0.29095277441591338</c:v>
                </c:pt>
                <c:pt idx="6">
                  <c:v>4.7670169206105943E-2</c:v>
                </c:pt>
                <c:pt idx="7">
                  <c:v>-3.5155193785570527E-2</c:v>
                </c:pt>
                <c:pt idx="8">
                  <c:v>-1.805516204844218E-2</c:v>
                </c:pt>
                <c:pt idx="9">
                  <c:v>5.7872012086531109E-3</c:v>
                </c:pt>
                <c:pt idx="10">
                  <c:v>0.14257486023726279</c:v>
                </c:pt>
                <c:pt idx="11">
                  <c:v>3.6383835806823084E-2</c:v>
                </c:pt>
                <c:pt idx="12">
                  <c:v>-6.7423779517412186E-2</c:v>
                </c:pt>
                <c:pt idx="13">
                  <c:v>5.8750599696014982E-3</c:v>
                </c:pt>
                <c:pt idx="14">
                  <c:v>1.1657102467371894E-2</c:v>
                </c:pt>
                <c:pt idx="15">
                  <c:v>2.3504401835378913E-2</c:v>
                </c:pt>
                <c:pt idx="16">
                  <c:v>-4.2438190144514873E-2</c:v>
                </c:pt>
                <c:pt idx="17">
                  <c:v>5.6042043614559112E-2</c:v>
                </c:pt>
                <c:pt idx="18">
                  <c:v>-0.13373701274394989</c:v>
                </c:pt>
                <c:pt idx="19">
                  <c:v>-0.11881615029436016</c:v>
                </c:pt>
                <c:pt idx="20">
                  <c:v>-8.8524483144283295E-2</c:v>
                </c:pt>
                <c:pt idx="21">
                  <c:v>-4.6954964746391006E-2</c:v>
                </c:pt>
                <c:pt idx="22">
                  <c:v>-4.4960487001764304E-2</c:v>
                </c:pt>
                <c:pt idx="23">
                  <c:v>-3.8074567914009094E-2</c:v>
                </c:pt>
                <c:pt idx="24">
                  <c:v>-2.8343549228017101E-2</c:v>
                </c:pt>
                <c:pt idx="25">
                  <c:v>-8.0580149565953746E-3</c:v>
                </c:pt>
                <c:pt idx="26">
                  <c:v>-7.6099979312877486E-3</c:v>
                </c:pt>
                <c:pt idx="27">
                  <c:v>-6.5133124589920044E-3</c:v>
                </c:pt>
                <c:pt idx="28">
                  <c:v>4.1656494140625E-3</c:v>
                </c:pt>
                <c:pt idx="29">
                  <c:v>7.937302802608126E-3</c:v>
                </c:pt>
                <c:pt idx="30">
                  <c:v>1.0031759008952888E-2</c:v>
                </c:pt>
                <c:pt idx="31">
                  <c:v>1.2301306730119407E-2</c:v>
                </c:pt>
                <c:pt idx="32">
                  <c:v>1.5074004843810419E-2</c:v>
                </c:pt>
                <c:pt idx="33">
                  <c:v>4.5149135626169082E-2</c:v>
                </c:pt>
                <c:pt idx="34">
                  <c:v>0.18440561156353161</c:v>
                </c:pt>
                <c:pt idx="35">
                  <c:v>3.8040578984810343E-2</c:v>
                </c:pt>
                <c:pt idx="36">
                  <c:v>6.371894889876889E-2</c:v>
                </c:pt>
                <c:pt idx="37">
                  <c:v>7.6792565757069012E-3</c:v>
                </c:pt>
                <c:pt idx="38">
                  <c:v>-3.9527185294139261E-2</c:v>
                </c:pt>
                <c:pt idx="39">
                  <c:v>-3.7533785823759963E-2</c:v>
                </c:pt>
                <c:pt idx="40">
                  <c:v>5.0823499070448197E-2</c:v>
                </c:pt>
                <c:pt idx="41">
                  <c:v>0.21523021244397639</c:v>
                </c:pt>
                <c:pt idx="42">
                  <c:v>-6.0429666635153714E-3</c:v>
                </c:pt>
              </c:numCache>
            </c:numRef>
          </c:yVal>
          <c:bubbleSize>
            <c:numRef>
              <c:f>'data-FigureA3'!$G$2:$G$44</c:f>
              <c:numCache>
                <c:formatCode>General</c:formatCode>
                <c:ptCount val="43"/>
                <c:pt idx="0">
                  <c:v>176033.78125</c:v>
                </c:pt>
                <c:pt idx="1">
                  <c:v>7013.32275390625</c:v>
                </c:pt>
                <c:pt idx="2">
                  <c:v>68760.9296875</c:v>
                </c:pt>
                <c:pt idx="3">
                  <c:v>7963.798828125</c:v>
                </c:pt>
                <c:pt idx="4">
                  <c:v>19624.54296875</c:v>
                </c:pt>
                <c:pt idx="5">
                  <c:v>11565.1279296875</c:v>
                </c:pt>
                <c:pt idx="6">
                  <c:v>5475.953125</c:v>
                </c:pt>
                <c:pt idx="7">
                  <c:v>35560.76953125</c:v>
                </c:pt>
                <c:pt idx="8">
                  <c:v>23262.337890625</c:v>
                </c:pt>
                <c:pt idx="9">
                  <c:v>15531.7099609375</c:v>
                </c:pt>
                <c:pt idx="10">
                  <c:v>15392.607421875</c:v>
                </c:pt>
                <c:pt idx="11">
                  <c:v>16416.58984375</c:v>
                </c:pt>
                <c:pt idx="12">
                  <c:v>4484.00244140625</c:v>
                </c:pt>
                <c:pt idx="13">
                  <c:v>7844.314453125</c:v>
                </c:pt>
                <c:pt idx="14">
                  <c:v>1380.08544921875</c:v>
                </c:pt>
                <c:pt idx="15">
                  <c:v>5742.095703125</c:v>
                </c:pt>
                <c:pt idx="16">
                  <c:v>23557.56640625</c:v>
                </c:pt>
                <c:pt idx="17">
                  <c:v>114494.7109375</c:v>
                </c:pt>
                <c:pt idx="18">
                  <c:v>837.62054443359375</c:v>
                </c:pt>
                <c:pt idx="19">
                  <c:v>532.6114501953125</c:v>
                </c:pt>
                <c:pt idx="20">
                  <c:v>1794.69580078125</c:v>
                </c:pt>
                <c:pt idx="21">
                  <c:v>4181.83984375</c:v>
                </c:pt>
                <c:pt idx="22">
                  <c:v>1229.0068359375</c:v>
                </c:pt>
                <c:pt idx="23">
                  <c:v>3370.518798828125</c:v>
                </c:pt>
                <c:pt idx="24">
                  <c:v>17913.814453125</c:v>
                </c:pt>
                <c:pt idx="25">
                  <c:v>22442.501953125</c:v>
                </c:pt>
                <c:pt idx="26">
                  <c:v>74011.6953125</c:v>
                </c:pt>
                <c:pt idx="27">
                  <c:v>7645.1015625</c:v>
                </c:pt>
                <c:pt idx="28">
                  <c:v>818.9248046875</c:v>
                </c:pt>
                <c:pt idx="29">
                  <c:v>9835.697265625</c:v>
                </c:pt>
                <c:pt idx="30">
                  <c:v>4822.70166015625</c:v>
                </c:pt>
                <c:pt idx="31">
                  <c:v>24106.958984375</c:v>
                </c:pt>
                <c:pt idx="32">
                  <c:v>2695.849609375</c:v>
                </c:pt>
                <c:pt idx="33">
                  <c:v>6431.09765625</c:v>
                </c:pt>
                <c:pt idx="34">
                  <c:v>1116.1583251953125</c:v>
                </c:pt>
                <c:pt idx="35">
                  <c:v>844.85540771484375</c:v>
                </c:pt>
                <c:pt idx="36">
                  <c:v>4823.94921875</c:v>
                </c:pt>
                <c:pt idx="37">
                  <c:v>8986.86328125</c:v>
                </c:pt>
                <c:pt idx="38">
                  <c:v>5149.791015625</c:v>
                </c:pt>
                <c:pt idx="39">
                  <c:v>5767.99072265625</c:v>
                </c:pt>
                <c:pt idx="40">
                  <c:v>102872.9921875</c:v>
                </c:pt>
                <c:pt idx="41">
                  <c:v>835.45074462890625</c:v>
                </c:pt>
                <c:pt idx="42">
                  <c:v>1089.800048828125</c:v>
                </c:pt>
              </c:numCache>
            </c:numRef>
          </c:bubbleSize>
          <c:bubble3D val="0"/>
          <c:extLst>
            <c:ext xmlns:c16="http://schemas.microsoft.com/office/drawing/2014/chart" uri="{C3380CC4-5D6E-409C-BE32-E72D297353CC}">
              <c16:uniqueId val="{00000000-0A8E-418E-9A90-5FF21C9319D8}"/>
            </c:ext>
          </c:extLst>
        </c:ser>
        <c:ser>
          <c:idx val="1"/>
          <c:order val="1"/>
          <c:tx>
            <c:v>trend</c:v>
          </c:tx>
          <c:spPr>
            <a:solidFill>
              <a:schemeClr val="accent2">
                <a:alpha val="75000"/>
              </a:schemeClr>
            </a:solidFill>
            <a:ln>
              <a:noFill/>
            </a:ln>
            <a:effectLst/>
          </c:spPr>
          <c:invertIfNegative val="0"/>
          <c:trendline>
            <c:spPr>
              <a:ln w="19050" cap="rnd">
                <a:noFill/>
                <a:prstDash val="sysDot"/>
              </a:ln>
              <a:effectLst/>
            </c:spPr>
            <c:trendlineType val="linear"/>
            <c:dispRSqr val="0"/>
            <c:dispEq val="0"/>
          </c:trendline>
          <c:trendline>
            <c:spPr>
              <a:ln w="25400" cap="rnd">
                <a:solidFill>
                  <a:schemeClr val="accent1">
                    <a:lumMod val="75000"/>
                  </a:schemeClr>
                </a:solidFill>
                <a:prstDash val="sysDash"/>
              </a:ln>
              <a:effectLst/>
            </c:spPr>
            <c:trendlineType val="linear"/>
            <c:dispRSqr val="0"/>
            <c:dispEq val="0"/>
          </c:trendline>
          <c:trendline>
            <c:spPr>
              <a:ln w="19050" cap="rnd">
                <a:noFill/>
                <a:prstDash val="sysDot"/>
              </a:ln>
              <a:effectLst/>
            </c:spPr>
            <c:trendlineType val="linear"/>
            <c:dispRSqr val="0"/>
            <c:dispEq val="0"/>
          </c:trendline>
          <c:trendline>
            <c:spPr>
              <a:ln w="19050" cap="rnd">
                <a:noFill/>
                <a:prstDash val="sysDot"/>
              </a:ln>
              <a:effectLst/>
            </c:spPr>
            <c:trendlineType val="linear"/>
            <c:dispRSqr val="0"/>
            <c:dispEq val="0"/>
          </c:trendline>
          <c:xVal>
            <c:numRef>
              <c:f>'data-FigureA3'!$N$58:$N$59</c:f>
              <c:numCache>
                <c:formatCode>0.0%</c:formatCode>
                <c:ptCount val="2"/>
                <c:pt idx="0">
                  <c:v>-0.13229500000000002</c:v>
                </c:pt>
                <c:pt idx="1">
                  <c:v>0.1</c:v>
                </c:pt>
              </c:numCache>
            </c:numRef>
          </c:xVal>
          <c:yVal>
            <c:numRef>
              <c:f>'data-FigureA3'!$O$58:$O$59</c:f>
              <c:numCache>
                <c:formatCode>General</c:formatCode>
                <c:ptCount val="2"/>
                <c:pt idx="0">
                  <c:v>-5.0811639545108755E-2</c:v>
                </c:pt>
                <c:pt idx="1">
                  <c:v>7.6515429169851212E-2</c:v>
                </c:pt>
              </c:numCache>
            </c:numRef>
          </c:yVal>
          <c:bubbleSize>
            <c:numLit>
              <c:formatCode>General</c:formatCode>
              <c:ptCount val="43"/>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numLit>
          </c:bubbleSize>
          <c:bubble3D val="0"/>
          <c:extLst>
            <c:ext xmlns:c16="http://schemas.microsoft.com/office/drawing/2014/chart" uri="{C3380CC4-5D6E-409C-BE32-E72D297353CC}">
              <c16:uniqueId val="{00000002-01E8-4EC0-B666-747F2B5AAB34}"/>
            </c:ext>
          </c:extLst>
        </c:ser>
        <c:dLbls>
          <c:showLegendKey val="0"/>
          <c:showVal val="0"/>
          <c:showCatName val="0"/>
          <c:showSerName val="0"/>
          <c:showPercent val="0"/>
          <c:showBubbleSize val="0"/>
        </c:dLbls>
        <c:bubbleScale val="50"/>
        <c:showNegBubbles val="0"/>
        <c:axId val="1884835951"/>
        <c:axId val="1842516735"/>
      </c:bubbleChart>
      <c:valAx>
        <c:axId val="1884835951"/>
        <c:scaling>
          <c:orientation val="minMax"/>
          <c:min val="-0.15000000000000002"/>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800" b="0" i="0" baseline="0">
                    <a:effectLst/>
                    <a:latin typeface="Garamond" panose="02020404030301010803" pitchFamily="18" charset="0"/>
                  </a:rPr>
                  <a:t>Difference in corporate tax rate, 2023-2015</a:t>
                </a:r>
                <a:endParaRPr lang="en-US">
                  <a:effectLst/>
                  <a:latin typeface="Garamond" panose="02020404030301010803" pitchFamily="18" charset="0"/>
                </a:endParaRPr>
              </a:p>
            </c:rich>
          </c:tx>
          <c:layout>
            <c:manualLayout>
              <c:xMode val="edge"/>
              <c:yMode val="edge"/>
              <c:x val="0.34373736478709183"/>
              <c:y val="0.94302613183859296"/>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0.00;&quot;&quot;"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Garamond" panose="02020404030301010803" pitchFamily="18" charset="0"/>
                <a:ea typeface="+mn-ea"/>
                <a:cs typeface="+mn-cs"/>
              </a:defRPr>
            </a:pPr>
            <a:endParaRPr lang="en-US"/>
          </a:p>
        </c:txPr>
        <c:crossAx val="1842516735"/>
        <c:crosses val="autoZero"/>
        <c:crossBetween val="midCat"/>
      </c:valAx>
      <c:valAx>
        <c:axId val="184251673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r>
                  <a:rPr lang="en-US" sz="1800" b="0" i="0" baseline="0">
                    <a:effectLst/>
                    <a:latin typeface="Garamond" panose="02020404030301010803" pitchFamily="18" charset="0"/>
                  </a:rPr>
                  <a:t>Difference in tax revenue loss,  2023-2015</a:t>
                </a:r>
                <a:endParaRPr lang="en-US">
                  <a:effectLst/>
                  <a:latin typeface="Garamond" panose="02020404030301010803" pitchFamily="18" charset="0"/>
                </a:endParaRPr>
              </a:p>
            </c:rich>
          </c:tx>
          <c:layout>
            <c:manualLayout>
              <c:xMode val="edge"/>
              <c:yMode val="edge"/>
              <c:x val="0"/>
              <c:y val="0.15883621356685143"/>
            </c:manualLayout>
          </c:layout>
          <c:overlay val="0"/>
          <c:spPr>
            <a:noFill/>
            <a:ln>
              <a:noFill/>
            </a:ln>
            <a:effectLst/>
          </c:spPr>
          <c:txPr>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endParaRPr lang="en-US"/>
            </a:p>
          </c:txPr>
        </c:title>
        <c:numFmt formatCode="0.00;\-0.00;&quot;&quot;"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Garamond" panose="02020404030301010803" pitchFamily="18" charset="0"/>
                <a:ea typeface="+mn-ea"/>
                <a:cs typeface="+mn-cs"/>
              </a:defRPr>
            </a:pPr>
            <a:endParaRPr lang="en-US"/>
          </a:p>
        </c:txPr>
        <c:crossAx val="1884835951"/>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userShapes r:id="rId3"/>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3275743521226875E-2"/>
          <c:y val="1.6630157792925541E-2"/>
          <c:w val="0.91537766185750402"/>
          <c:h val="0.89600169248911743"/>
        </c:manualLayout>
      </c:layout>
      <c:scatterChart>
        <c:scatterStyle val="lineMarker"/>
        <c:varyColors val="0"/>
        <c:ser>
          <c:idx val="0"/>
          <c:order val="0"/>
          <c:tx>
            <c:strRef>
              <c:f>'data-FigureA3'!$F$1</c:f>
              <c:strCache>
                <c:ptCount val="1"/>
                <c:pt idx="0">
                  <c:v>Tax loss as share of CIT</c:v>
                </c:pt>
              </c:strCache>
            </c:strRef>
          </c:tx>
          <c:spPr>
            <a:ln w="19050" cap="rnd">
              <a:noFill/>
              <a:round/>
            </a:ln>
            <a:effectLst/>
          </c:spPr>
          <c:marker>
            <c:symbol val="circle"/>
            <c:size val="5"/>
            <c:spPr>
              <a:solidFill>
                <a:schemeClr val="accent1"/>
              </a:solidFill>
              <a:ln w="9525">
                <a:solidFill>
                  <a:schemeClr val="accent1"/>
                </a:solidFill>
              </a:ln>
              <a:effectLst/>
            </c:spPr>
          </c:marker>
          <c:dLbls>
            <c:delete val="1"/>
          </c:dLbls>
          <c:trendline>
            <c:spPr>
              <a:ln w="31750" cap="rnd">
                <a:solidFill>
                  <a:schemeClr val="accent1"/>
                </a:solidFill>
                <a:prstDash val="dash"/>
              </a:ln>
              <a:effectLst/>
            </c:spPr>
            <c:trendlineType val="linear"/>
            <c:dispRSqr val="0"/>
            <c:dispEq val="0"/>
          </c:trendline>
          <c:trendline>
            <c:spPr>
              <a:ln w="28575" cap="rnd">
                <a:solidFill>
                  <a:schemeClr val="accent1"/>
                </a:solidFill>
                <a:prstDash val="dash"/>
              </a:ln>
              <a:effectLst/>
            </c:spPr>
            <c:trendlineType val="log"/>
            <c:dispRSqr val="0"/>
            <c:dispEq val="0"/>
          </c:trendline>
          <c:trendline>
            <c:spPr>
              <a:ln w="19050" cap="rnd">
                <a:solidFill>
                  <a:schemeClr val="accent1"/>
                </a:solidFill>
                <a:prstDash val="sysDot"/>
              </a:ln>
              <a:effectLst/>
            </c:spPr>
            <c:trendlineType val="log"/>
            <c:dispRSqr val="0"/>
            <c:dispEq val="0"/>
          </c:trendline>
          <c:xVal>
            <c:numRef>
              <c:f>'data-FigureA3'!$E$2:$E$44</c:f>
              <c:numCache>
                <c:formatCode>0.0%</c:formatCode>
                <c:ptCount val="43"/>
                <c:pt idx="0">
                  <c:v>-0.13229500000000002</c:v>
                </c:pt>
                <c:pt idx="1">
                  <c:v>-0.1</c:v>
                </c:pt>
                <c:pt idx="2">
                  <c:v>-7.5049999999999992E-2</c:v>
                </c:pt>
                <c:pt idx="3">
                  <c:v>-0.05</c:v>
                </c:pt>
                <c:pt idx="4">
                  <c:v>-4.6099999999999995E-2</c:v>
                </c:pt>
                <c:pt idx="5">
                  <c:v>-0.04</c:v>
                </c:pt>
                <c:pt idx="6">
                  <c:v>-3.5000000000000003E-2</c:v>
                </c:pt>
                <c:pt idx="7">
                  <c:v>-3.4827500000000032E-2</c:v>
                </c:pt>
                <c:pt idx="8">
                  <c:v>-0.03</c:v>
                </c:pt>
                <c:pt idx="9">
                  <c:v>-2.3700000000000009E-2</c:v>
                </c:pt>
                <c:pt idx="10">
                  <c:v>-1.4999999999999999E-2</c:v>
                </c:pt>
                <c:pt idx="11">
                  <c:v>-1.3999999999999986E-2</c:v>
                </c:pt>
                <c:pt idx="12">
                  <c:v>-0.01</c:v>
                </c:pt>
                <c:pt idx="13">
                  <c:v>-0.01</c:v>
                </c:pt>
                <c:pt idx="14">
                  <c:v>-0.01</c:v>
                </c:pt>
                <c:pt idx="15">
                  <c:v>-0.01</c:v>
                </c:pt>
                <c:pt idx="16">
                  <c:v>-2.8999999999999916E-3</c:v>
                </c:pt>
                <c:pt idx="17">
                  <c:v>-2.3400000000000174E-3</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0.02</c:v>
                </c:pt>
                <c:pt idx="36">
                  <c:v>0.02</c:v>
                </c:pt>
                <c:pt idx="37">
                  <c:v>2.3000000000000007E-2</c:v>
                </c:pt>
                <c:pt idx="38">
                  <c:v>4.4999999999999998E-2</c:v>
                </c:pt>
                <c:pt idx="39">
                  <c:v>0.05</c:v>
                </c:pt>
                <c:pt idx="40">
                  <c:v>0.05</c:v>
                </c:pt>
                <c:pt idx="41">
                  <c:v>0.05</c:v>
                </c:pt>
                <c:pt idx="42">
                  <c:v>0.1</c:v>
                </c:pt>
              </c:numCache>
            </c:numRef>
          </c:xVal>
          <c:yVal>
            <c:numRef>
              <c:f>'data-FigureA3'!$F$2:$F$44</c:f>
              <c:numCache>
                <c:formatCode>0.0%</c:formatCode>
                <c:ptCount val="43"/>
                <c:pt idx="0">
                  <c:v>-6.6271925418468769E-2</c:v>
                </c:pt>
                <c:pt idx="1">
                  <c:v>-7.4923681822995358E-2</c:v>
                </c:pt>
                <c:pt idx="2">
                  <c:v>3.7602394054409433E-2</c:v>
                </c:pt>
                <c:pt idx="3">
                  <c:v>-5.2701669766777398E-2</c:v>
                </c:pt>
                <c:pt idx="4">
                  <c:v>-5.0036142599710468E-2</c:v>
                </c:pt>
                <c:pt idx="5">
                  <c:v>0.29095277441591338</c:v>
                </c:pt>
                <c:pt idx="6">
                  <c:v>4.7670169206105943E-2</c:v>
                </c:pt>
                <c:pt idx="7">
                  <c:v>-3.5155193785570527E-2</c:v>
                </c:pt>
                <c:pt idx="8">
                  <c:v>-1.805516204844218E-2</c:v>
                </c:pt>
                <c:pt idx="9">
                  <c:v>5.7872012086531109E-3</c:v>
                </c:pt>
                <c:pt idx="10">
                  <c:v>0.14257486023726279</c:v>
                </c:pt>
                <c:pt idx="11">
                  <c:v>3.6383835806823084E-2</c:v>
                </c:pt>
                <c:pt idx="12">
                  <c:v>-6.7423779517412186E-2</c:v>
                </c:pt>
                <c:pt idx="13">
                  <c:v>5.8750599696014982E-3</c:v>
                </c:pt>
                <c:pt idx="14">
                  <c:v>1.1657102467371894E-2</c:v>
                </c:pt>
                <c:pt idx="15">
                  <c:v>2.3504401835378913E-2</c:v>
                </c:pt>
                <c:pt idx="16">
                  <c:v>-4.2438190144514873E-2</c:v>
                </c:pt>
                <c:pt idx="17">
                  <c:v>5.6042043614559112E-2</c:v>
                </c:pt>
                <c:pt idx="18">
                  <c:v>-0.13373701274394989</c:v>
                </c:pt>
                <c:pt idx="19">
                  <c:v>-0.11881615029436016</c:v>
                </c:pt>
                <c:pt idx="20">
                  <c:v>-8.8524483144283295E-2</c:v>
                </c:pt>
                <c:pt idx="21">
                  <c:v>-4.6954964746391006E-2</c:v>
                </c:pt>
                <c:pt idx="22">
                  <c:v>-4.4960487001764304E-2</c:v>
                </c:pt>
                <c:pt idx="23">
                  <c:v>-3.8074567914009094E-2</c:v>
                </c:pt>
                <c:pt idx="24">
                  <c:v>-2.8343549228017101E-2</c:v>
                </c:pt>
                <c:pt idx="25">
                  <c:v>-8.0580149565953746E-3</c:v>
                </c:pt>
                <c:pt idx="26">
                  <c:v>-7.6099979312877486E-3</c:v>
                </c:pt>
                <c:pt idx="27">
                  <c:v>-6.5133124589920044E-3</c:v>
                </c:pt>
                <c:pt idx="28">
                  <c:v>4.1656494140625E-3</c:v>
                </c:pt>
                <c:pt idx="29">
                  <c:v>7.937302802608126E-3</c:v>
                </c:pt>
                <c:pt idx="30">
                  <c:v>1.0031759008952888E-2</c:v>
                </c:pt>
                <c:pt idx="31">
                  <c:v>1.2301306730119407E-2</c:v>
                </c:pt>
                <c:pt idx="32">
                  <c:v>1.5074004843810419E-2</c:v>
                </c:pt>
                <c:pt idx="33">
                  <c:v>4.5149135626169082E-2</c:v>
                </c:pt>
                <c:pt idx="34">
                  <c:v>0.18440561156353161</c:v>
                </c:pt>
                <c:pt idx="35">
                  <c:v>3.8040578984810343E-2</c:v>
                </c:pt>
                <c:pt idx="36">
                  <c:v>6.371894889876889E-2</c:v>
                </c:pt>
                <c:pt idx="37">
                  <c:v>7.6792565757069012E-3</c:v>
                </c:pt>
                <c:pt idx="38">
                  <c:v>-3.9527185294139261E-2</c:v>
                </c:pt>
                <c:pt idx="39">
                  <c:v>-3.7533785823759963E-2</c:v>
                </c:pt>
                <c:pt idx="40">
                  <c:v>5.0823499070448197E-2</c:v>
                </c:pt>
                <c:pt idx="41">
                  <c:v>0.21523021244397639</c:v>
                </c:pt>
                <c:pt idx="42">
                  <c:v>-6.0429666635153714E-3</c:v>
                </c:pt>
              </c:numCache>
            </c:numRef>
          </c:yVal>
          <c:smooth val="0"/>
          <c:extLst>
            <c:ext xmlns:c16="http://schemas.microsoft.com/office/drawing/2014/chart" uri="{C3380CC4-5D6E-409C-BE32-E72D297353CC}">
              <c16:uniqueId val="{00000003-6672-49CE-8561-8F9DBB99A339}"/>
            </c:ext>
          </c:extLst>
        </c:ser>
        <c:dLbls>
          <c:showLegendKey val="0"/>
          <c:showVal val="1"/>
          <c:showCatName val="0"/>
          <c:showSerName val="0"/>
          <c:showPercent val="0"/>
          <c:showBubbleSize val="0"/>
        </c:dLbls>
        <c:axId val="1403529664"/>
        <c:axId val="1515394736"/>
      </c:scatterChart>
      <c:valAx>
        <c:axId val="1403529664"/>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800" b="0" i="0" u="none" strike="noStrike" kern="1200" baseline="0">
                    <a:solidFill>
                      <a:schemeClr val="tx1">
                        <a:lumMod val="65000"/>
                        <a:lumOff val="35000"/>
                      </a:schemeClr>
                    </a:solidFill>
                    <a:latin typeface="Garamond" panose="02020404030301010803" pitchFamily="18" charset="0"/>
                    <a:ea typeface="+mn-ea"/>
                    <a:cs typeface="+mn-cs"/>
                  </a:defRPr>
                </a:pPr>
                <a:r>
                  <a:rPr lang="en-US" sz="1800" b="0">
                    <a:latin typeface="Garamond" panose="02020404030301010803" pitchFamily="18" charset="0"/>
                  </a:rPr>
                  <a:t>Difference in corporate tax rate, 2023-2015</a:t>
                </a:r>
              </a:p>
            </c:rich>
          </c:tx>
          <c:layout>
            <c:manualLayout>
              <c:xMode val="edge"/>
              <c:yMode val="edge"/>
              <c:x val="0.33937076576829894"/>
              <c:y val="0.95883814212859708"/>
            </c:manualLayout>
          </c:layout>
          <c:overlay val="0"/>
          <c:spPr>
            <a:noFill/>
            <a:ln>
              <a:noFill/>
            </a:ln>
            <a:effectLst/>
          </c:spPr>
          <c:txPr>
            <a:bodyPr rot="0" spcFirstLastPara="1" vertOverflow="ellipsis" vert="horz" wrap="square" anchor="ctr" anchorCtr="1"/>
            <a:lstStyle/>
            <a:p>
              <a:pPr>
                <a:defRPr sz="1800" b="0" i="0" u="none" strike="noStrike" kern="1200" baseline="0">
                  <a:solidFill>
                    <a:schemeClr val="tx1">
                      <a:lumMod val="65000"/>
                      <a:lumOff val="35000"/>
                    </a:schemeClr>
                  </a:solidFill>
                  <a:latin typeface="Garamond" panose="02020404030301010803" pitchFamily="18" charset="0"/>
                  <a:ea typeface="+mn-ea"/>
                  <a:cs typeface="+mn-cs"/>
                </a:defRPr>
              </a:pPr>
              <a:endParaRPr lang="en-US"/>
            </a:p>
          </c:txPr>
        </c:title>
        <c:numFmt formatCode="0.00;\-0.00;&quot;&quot;"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Garamond" panose="02020404030301010803" pitchFamily="18" charset="0"/>
                <a:ea typeface="+mn-ea"/>
                <a:cs typeface="+mn-cs"/>
              </a:defRPr>
            </a:pPr>
            <a:endParaRPr lang="en-US"/>
          </a:p>
        </c:txPr>
        <c:crossAx val="1515394736"/>
        <c:crosses val="autoZero"/>
        <c:crossBetween val="midCat"/>
      </c:valAx>
      <c:valAx>
        <c:axId val="151539473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lgn="ctr" rtl="0">
                  <a:defRPr lang="en-US" sz="1800" b="0" i="0" u="none" strike="noStrike" kern="1200" baseline="0">
                    <a:solidFill>
                      <a:sysClr val="windowText" lastClr="000000">
                        <a:lumMod val="65000"/>
                        <a:lumOff val="35000"/>
                      </a:sysClr>
                    </a:solidFill>
                    <a:latin typeface="Garamond" panose="02020404030301010803" pitchFamily="18" charset="0"/>
                    <a:ea typeface="+mn-ea"/>
                    <a:cs typeface="+mn-cs"/>
                  </a:defRPr>
                </a:pPr>
                <a:r>
                  <a:rPr lang="en-US" sz="1800" b="0" i="0" u="none" strike="noStrike" kern="1200" baseline="0">
                    <a:solidFill>
                      <a:sysClr val="windowText" lastClr="000000">
                        <a:lumMod val="65000"/>
                        <a:lumOff val="35000"/>
                      </a:sysClr>
                    </a:solidFill>
                    <a:latin typeface="Garamond" panose="02020404030301010803" pitchFamily="18" charset="0"/>
                    <a:ea typeface="+mn-ea"/>
                    <a:cs typeface="+mn-cs"/>
                  </a:rPr>
                  <a:t>Difference in tax revenue loss,  2023-2015</a:t>
                </a:r>
              </a:p>
            </c:rich>
          </c:tx>
          <c:layout>
            <c:manualLayout>
              <c:xMode val="edge"/>
              <c:yMode val="edge"/>
              <c:x val="1.3025959445343882E-5"/>
              <c:y val="0.20527585955376773"/>
            </c:manualLayout>
          </c:layout>
          <c:overlay val="0"/>
          <c:spPr>
            <a:noFill/>
            <a:ln>
              <a:noFill/>
            </a:ln>
            <a:effectLst/>
          </c:spPr>
          <c:txPr>
            <a:bodyPr rot="-5400000" spcFirstLastPara="1" vertOverflow="ellipsis" vert="horz" wrap="square" anchor="ctr" anchorCtr="1"/>
            <a:lstStyle/>
            <a:p>
              <a:pPr algn="ctr" rtl="0">
                <a:defRPr lang="en-US" sz="1800" b="0" i="0" u="none" strike="noStrike" kern="1200" baseline="0">
                  <a:solidFill>
                    <a:sysClr val="windowText" lastClr="000000">
                      <a:lumMod val="65000"/>
                      <a:lumOff val="35000"/>
                    </a:sysClr>
                  </a:solidFill>
                  <a:latin typeface="Garamond" panose="02020404030301010803" pitchFamily="18" charset="0"/>
                  <a:ea typeface="+mn-ea"/>
                  <a:cs typeface="+mn-cs"/>
                </a:defRPr>
              </a:pPr>
              <a:endParaRPr lang="en-US"/>
            </a:p>
          </c:txPr>
        </c:title>
        <c:numFmt formatCode="0.00;\-0.00;&quot;&quot;"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Garamond" panose="02020404030301010803" pitchFamily="18" charset="0"/>
                <a:ea typeface="+mn-ea"/>
                <a:cs typeface="+mn-cs"/>
              </a:defRPr>
            </a:pPr>
            <a:endParaRPr lang="en-US"/>
          </a:p>
        </c:txPr>
        <c:crossAx val="1403529664"/>
        <c:crosses val="autoZero"/>
        <c:crossBetween val="midCat"/>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800" b="0"/>
      </a:pPr>
      <a:endParaRPr lang="en-US"/>
    </a:p>
  </c:txPr>
  <c:userShapes r:id="rId3"/>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1"/>
          <c:order val="0"/>
          <c:tx>
            <c:v>Global multinationals profits</c:v>
          </c:tx>
          <c:spPr>
            <a:ln w="25400" cap="rnd">
              <a:noFill/>
              <a:round/>
            </a:ln>
            <a:effectLst/>
          </c:spPr>
          <c:marker>
            <c:symbol val="circle"/>
            <c:size val="5"/>
            <c:spPr>
              <a:solidFill>
                <a:srgbClr val="00B050"/>
              </a:solidFill>
              <a:ln w="9525">
                <a:solidFill>
                  <a:srgbClr val="00B050"/>
                </a:solidFill>
              </a:ln>
              <a:effectLst/>
            </c:spPr>
          </c:marker>
          <c:trendline>
            <c:spPr>
              <a:ln w="28575" cap="rnd">
                <a:solidFill>
                  <a:srgbClr val="00B050"/>
                </a:solidFill>
                <a:prstDash val="sysDash"/>
              </a:ln>
              <a:effectLst/>
            </c:spPr>
            <c:trendlineType val="linear"/>
            <c:dispRSqr val="0"/>
            <c:dispEq val="0"/>
          </c:trendline>
          <c:xVal>
            <c:numRef>
              <c:f>Data_FigureA4!$A$5:$A$45</c:f>
              <c:numCache>
                <c:formatCode>General</c:formatCode>
                <c:ptCount val="41"/>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numCache>
            </c:numRef>
          </c:xVal>
          <c:yVal>
            <c:numRef>
              <c:f>Data_FigureA4!$C$5:$C$45</c:f>
              <c:numCache>
                <c:formatCode>0%</c:formatCode>
                <c:ptCount val="41"/>
                <c:pt idx="0">
                  <c:v>4.2511319169491968E-2</c:v>
                </c:pt>
                <c:pt idx="1">
                  <c:v>3.5493694475956954E-2</c:v>
                </c:pt>
                <c:pt idx="2">
                  <c:v>4.6071241733988792E-2</c:v>
                </c:pt>
                <c:pt idx="3">
                  <c:v>6.5470521614309468E-2</c:v>
                </c:pt>
                <c:pt idx="4">
                  <c:v>8.0811396266185637E-2</c:v>
                </c:pt>
                <c:pt idx="5">
                  <c:v>0.11369910765466566</c:v>
                </c:pt>
                <c:pt idx="6">
                  <c:v>0.11352659281905855</c:v>
                </c:pt>
                <c:pt idx="7">
                  <c:v>0.14189125405963771</c:v>
                </c:pt>
                <c:pt idx="8">
                  <c:v>0.1292041146130623</c:v>
                </c:pt>
                <c:pt idx="9">
                  <c:v>0.11986333098511279</c:v>
                </c:pt>
                <c:pt idx="10">
                  <c:v>0.12853836776026789</c:v>
                </c:pt>
                <c:pt idx="11">
                  <c:v>0.12038994621674363</c:v>
                </c:pt>
                <c:pt idx="12">
                  <c:v>0.14054229175720201</c:v>
                </c:pt>
                <c:pt idx="13">
                  <c:v>9.9590048837215964E-2</c:v>
                </c:pt>
                <c:pt idx="14">
                  <c:v>0.13003655774184286</c:v>
                </c:pt>
                <c:pt idx="15">
                  <c:v>0.16530054030295047</c:v>
                </c:pt>
                <c:pt idx="16">
                  <c:v>0.17759975226951469</c:v>
                </c:pt>
                <c:pt idx="17">
                  <c:v>0.16364573266198018</c:v>
                </c:pt>
                <c:pt idx="18">
                  <c:v>0.15795216329827924</c:v>
                </c:pt>
                <c:pt idx="19">
                  <c:v>0.14630610633906346</c:v>
                </c:pt>
                <c:pt idx="20">
                  <c:v>0.1661721073618872</c:v>
                </c:pt>
                <c:pt idx="21">
                  <c:v>0.15245820000134824</c:v>
                </c:pt>
                <c:pt idx="22">
                  <c:v>0.18380614228139375</c:v>
                </c:pt>
                <c:pt idx="23">
                  <c:v>0.21793760019531033</c:v>
                </c:pt>
                <c:pt idx="24">
                  <c:v>0.19615104926582502</c:v>
                </c:pt>
                <c:pt idx="25">
                  <c:v>0.20546310647111266</c:v>
                </c:pt>
                <c:pt idx="26">
                  <c:v>0.23696501668074377</c:v>
                </c:pt>
                <c:pt idx="27">
                  <c:v>0.23771628999558814</c:v>
                </c:pt>
                <c:pt idx="28">
                  <c:v>0.21722826035095666</c:v>
                </c:pt>
                <c:pt idx="29">
                  <c:v>0.235569788606796</c:v>
                </c:pt>
                <c:pt idx="30">
                  <c:v>0.19431752828201018</c:v>
                </c:pt>
                <c:pt idx="31">
                  <c:v>0.21188898912734477</c:v>
                </c:pt>
                <c:pt idx="32">
                  <c:v>0.21457453220269235</c:v>
                </c:pt>
                <c:pt idx="33">
                  <c:v>0.19542185592672129</c:v>
                </c:pt>
                <c:pt idx="34">
                  <c:v>0.25444837517622421</c:v>
                </c:pt>
                <c:pt idx="35">
                  <c:v>0.21577050016135621</c:v>
                </c:pt>
                <c:pt idx="36">
                  <c:v>0.22814026877552795</c:v>
                </c:pt>
                <c:pt idx="37">
                  <c:v>0.2540845785394798</c:v>
                </c:pt>
                <c:pt idx="38">
                  <c:v>0.24730087839576773</c:v>
                </c:pt>
                <c:pt idx="39">
                  <c:v>0.27752265749131599</c:v>
                </c:pt>
                <c:pt idx="40">
                  <c:v>0.3616659759601874</c:v>
                </c:pt>
              </c:numCache>
            </c:numRef>
          </c:yVal>
          <c:smooth val="0"/>
          <c:extLst>
            <c:ext xmlns:c16="http://schemas.microsoft.com/office/drawing/2014/chart" uri="{C3380CC4-5D6E-409C-BE32-E72D297353CC}">
              <c16:uniqueId val="{00000001-3D70-439D-948F-168C0C28D34F}"/>
            </c:ext>
          </c:extLst>
        </c:ser>
        <c:ser>
          <c:idx val="0"/>
          <c:order val="1"/>
          <c:tx>
            <c:v>US multinationals profits</c:v>
          </c:tx>
          <c:spPr>
            <a:ln w="25400" cap="rnd">
              <a:noFill/>
              <a:round/>
            </a:ln>
            <a:effectLst/>
          </c:spPr>
          <c:marker>
            <c:symbol val="circle"/>
            <c:size val="5"/>
            <c:spPr>
              <a:solidFill>
                <a:schemeClr val="accent1"/>
              </a:solidFill>
              <a:ln w="9525">
                <a:solidFill>
                  <a:schemeClr val="accent1"/>
                </a:solidFill>
              </a:ln>
              <a:effectLst/>
            </c:spPr>
          </c:marker>
          <c:trendline>
            <c:spPr>
              <a:ln w="28575" cap="rnd">
                <a:solidFill>
                  <a:schemeClr val="accent1"/>
                </a:solidFill>
                <a:prstDash val="sysDash"/>
              </a:ln>
              <a:effectLst/>
            </c:spPr>
            <c:trendlineType val="linear"/>
            <c:dispRSqr val="0"/>
            <c:dispEq val="0"/>
          </c:trendline>
          <c:xVal>
            <c:numRef>
              <c:f>Data_FigureA4!$A$5:$A$45</c:f>
              <c:numCache>
                <c:formatCode>General</c:formatCode>
                <c:ptCount val="41"/>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numCache>
            </c:numRef>
          </c:xVal>
          <c:yVal>
            <c:numRef>
              <c:f>Data_FigureA4!$B$5:$B$45</c:f>
              <c:numCache>
                <c:formatCode>0%</c:formatCode>
                <c:ptCount val="41"/>
                <c:pt idx="0">
                  <c:v>4.5948720718397285E-2</c:v>
                </c:pt>
                <c:pt idx="1">
                  <c:v>3.8043497431201306E-2</c:v>
                </c:pt>
                <c:pt idx="2">
                  <c:v>4.9555912006022482E-2</c:v>
                </c:pt>
                <c:pt idx="3">
                  <c:v>7.0780078356024415E-2</c:v>
                </c:pt>
                <c:pt idx="4">
                  <c:v>8.8670042306996932E-2</c:v>
                </c:pt>
                <c:pt idx="5">
                  <c:v>0.12653627025609712</c:v>
                </c:pt>
                <c:pt idx="6">
                  <c:v>0.12639460933162869</c:v>
                </c:pt>
                <c:pt idx="7">
                  <c:v>0.1583758285576711</c:v>
                </c:pt>
                <c:pt idx="8">
                  <c:v>0.14345412192631868</c:v>
                </c:pt>
                <c:pt idx="9">
                  <c:v>0.13407237602798033</c:v>
                </c:pt>
                <c:pt idx="10">
                  <c:v>0.14440767095738724</c:v>
                </c:pt>
                <c:pt idx="11">
                  <c:v>0.137171529646264</c:v>
                </c:pt>
                <c:pt idx="12">
                  <c:v>0.16245661898654001</c:v>
                </c:pt>
                <c:pt idx="13">
                  <c:v>0.11692066382662823</c:v>
                </c:pt>
                <c:pt idx="14">
                  <c:v>0.15281947054870351</c:v>
                </c:pt>
                <c:pt idx="15">
                  <c:v>0.1945182377452386</c:v>
                </c:pt>
                <c:pt idx="16">
                  <c:v>0.2079887457111097</c:v>
                </c:pt>
                <c:pt idx="17">
                  <c:v>0.19240675958185671</c:v>
                </c:pt>
                <c:pt idx="18">
                  <c:v>0.18671127071285659</c:v>
                </c:pt>
                <c:pt idx="19">
                  <c:v>0.17584790327476432</c:v>
                </c:pt>
                <c:pt idx="20">
                  <c:v>0.1980500250009827</c:v>
                </c:pt>
                <c:pt idx="21">
                  <c:v>0.18634856047378498</c:v>
                </c:pt>
                <c:pt idx="22">
                  <c:v>0.22285487347606114</c:v>
                </c:pt>
                <c:pt idx="23">
                  <c:v>0.26689552827564239</c:v>
                </c:pt>
                <c:pt idx="24">
                  <c:v>0.24200588923135002</c:v>
                </c:pt>
                <c:pt idx="25">
                  <c:v>0.2536461605528762</c:v>
                </c:pt>
                <c:pt idx="26">
                  <c:v>0.28996851978883714</c:v>
                </c:pt>
                <c:pt idx="27">
                  <c:v>0.29063422767036329</c:v>
                </c:pt>
                <c:pt idx="28">
                  <c:v>0.27053735865049783</c:v>
                </c:pt>
                <c:pt idx="29">
                  <c:v>0.29567793781540885</c:v>
                </c:pt>
                <c:pt idx="30">
                  <c:v>0.24900719969672591</c:v>
                </c:pt>
                <c:pt idx="31">
                  <c:v>0.27295598302147356</c:v>
                </c:pt>
                <c:pt idx="32">
                  <c:v>0.27724907013846722</c:v>
                </c:pt>
                <c:pt idx="33">
                  <c:v>0.24445395241630413</c:v>
                </c:pt>
                <c:pt idx="34">
                  <c:v>0.32185198987075203</c:v>
                </c:pt>
                <c:pt idx="35">
                  <c:v>0.27618508427015626</c:v>
                </c:pt>
                <c:pt idx="36">
                  <c:v>0.29127477848375388</c:v>
                </c:pt>
                <c:pt idx="37">
                  <c:v>0.32288018363206733</c:v>
                </c:pt>
                <c:pt idx="38">
                  <c:v>0.31689594851560748</c:v>
                </c:pt>
                <c:pt idx="39">
                  <c:v>0.35812691074216191</c:v>
                </c:pt>
                <c:pt idx="40">
                  <c:v>0.46249753222435425</c:v>
                </c:pt>
              </c:numCache>
            </c:numRef>
          </c:yVal>
          <c:smooth val="0"/>
          <c:extLst>
            <c:ext xmlns:c16="http://schemas.microsoft.com/office/drawing/2014/chart" uri="{C3380CC4-5D6E-409C-BE32-E72D297353CC}">
              <c16:uniqueId val="{00000000-3D70-439D-948F-168C0C28D34F}"/>
            </c:ext>
          </c:extLst>
        </c:ser>
        <c:ser>
          <c:idx val="2"/>
          <c:order val="2"/>
          <c:spPr>
            <a:ln w="19050" cap="rnd">
              <a:noFill/>
              <a:round/>
            </a:ln>
            <a:effectLst/>
          </c:spPr>
          <c:marker>
            <c:symbol val="circle"/>
            <c:size val="5"/>
            <c:spPr>
              <a:solidFill>
                <a:schemeClr val="accent3"/>
              </a:solidFill>
              <a:ln w="9525">
                <a:solidFill>
                  <a:schemeClr val="accent3"/>
                </a:solidFill>
              </a:ln>
              <a:effectLst/>
            </c:spPr>
          </c:marker>
          <c:xVal>
            <c:numRef>
              <c:f>Data_FigureA4!$A$5:$A$45</c:f>
              <c:numCache>
                <c:formatCode>General</c:formatCode>
                <c:ptCount val="41"/>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numCache>
            </c:numRef>
          </c:xVal>
          <c:yVal>
            <c:numRef>
              <c:f>Data_FigureA4!$A$3</c:f>
              <c:numCache>
                <c:formatCode>General</c:formatCode>
                <c:ptCount val="1"/>
              </c:numCache>
            </c:numRef>
          </c:yVal>
          <c:smooth val="0"/>
          <c:extLst>
            <c:ext xmlns:c16="http://schemas.microsoft.com/office/drawing/2014/chart" uri="{C3380CC4-5D6E-409C-BE32-E72D297353CC}">
              <c16:uniqueId val="{00000002-3D70-439D-948F-168C0C28D34F}"/>
            </c:ext>
          </c:extLst>
        </c:ser>
        <c:ser>
          <c:idx val="3"/>
          <c:order val="3"/>
          <c:spPr>
            <a:ln w="19050" cap="rnd">
              <a:noFill/>
              <a:round/>
            </a:ln>
            <a:effectLst/>
          </c:spPr>
          <c:marker>
            <c:symbol val="circle"/>
            <c:size val="5"/>
            <c:spPr>
              <a:solidFill>
                <a:schemeClr val="accent4"/>
              </a:solidFill>
              <a:ln w="9525">
                <a:solidFill>
                  <a:schemeClr val="accent4"/>
                </a:solidFill>
              </a:ln>
              <a:effectLst/>
            </c:spPr>
          </c:marker>
          <c:xVal>
            <c:numRef>
              <c:f>Data_FigureA4!$A$5:$A$45</c:f>
              <c:numCache>
                <c:formatCode>General</c:formatCode>
                <c:ptCount val="41"/>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numCache>
            </c:numRef>
          </c:xVal>
          <c:yVal>
            <c:numRef>
              <c:f>Data_FigureA4!$B$3</c:f>
              <c:numCache>
                <c:formatCode>General</c:formatCode>
                <c:ptCount val="1"/>
                <c:pt idx="0">
                  <c:v>0</c:v>
                </c:pt>
              </c:numCache>
            </c:numRef>
          </c:yVal>
          <c:smooth val="0"/>
          <c:extLst>
            <c:ext xmlns:c16="http://schemas.microsoft.com/office/drawing/2014/chart" uri="{C3380CC4-5D6E-409C-BE32-E72D297353CC}">
              <c16:uniqueId val="{00000003-3D70-439D-948F-168C0C28D34F}"/>
            </c:ext>
          </c:extLst>
        </c:ser>
        <c:ser>
          <c:idx val="4"/>
          <c:order val="4"/>
          <c:spPr>
            <a:ln w="19050" cap="rnd">
              <a:noFill/>
              <a:round/>
            </a:ln>
            <a:effectLst/>
          </c:spPr>
          <c:marker>
            <c:symbol val="circle"/>
            <c:size val="5"/>
            <c:spPr>
              <a:solidFill>
                <a:schemeClr val="accent5"/>
              </a:solidFill>
              <a:ln w="9525">
                <a:solidFill>
                  <a:schemeClr val="accent5"/>
                </a:solidFill>
              </a:ln>
              <a:effectLst/>
            </c:spPr>
          </c:marker>
          <c:xVal>
            <c:numRef>
              <c:f>Data_FigureA4!$A$5:$A$45</c:f>
              <c:numCache>
                <c:formatCode>General</c:formatCode>
                <c:ptCount val="41"/>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numCache>
            </c:numRef>
          </c:xVal>
          <c:yVal>
            <c:numRef>
              <c:f>Data_FigureA4!$C$3</c:f>
              <c:numCache>
                <c:formatCode>General</c:formatCode>
                <c:ptCount val="1"/>
                <c:pt idx="0">
                  <c:v>0</c:v>
                </c:pt>
              </c:numCache>
            </c:numRef>
          </c:yVal>
          <c:smooth val="0"/>
          <c:extLst>
            <c:ext xmlns:c16="http://schemas.microsoft.com/office/drawing/2014/chart" uri="{C3380CC4-5D6E-409C-BE32-E72D297353CC}">
              <c16:uniqueId val="{00000004-3D70-439D-948F-168C0C28D34F}"/>
            </c:ext>
          </c:extLst>
        </c:ser>
        <c:ser>
          <c:idx val="5"/>
          <c:order val="5"/>
          <c:tx>
            <c:v>abc</c:v>
          </c:tx>
          <c:spPr>
            <a:ln w="19050" cap="rnd">
              <a:noFill/>
              <a:round/>
            </a:ln>
            <a:effectLst/>
          </c:spPr>
          <c:marker>
            <c:symbol val="circle"/>
            <c:size val="5"/>
            <c:spPr>
              <a:solidFill>
                <a:schemeClr val="accent1"/>
              </a:solidFill>
              <a:ln w="9525">
                <a:solidFill>
                  <a:schemeClr val="accent1"/>
                </a:solidFill>
              </a:ln>
              <a:effectLst/>
            </c:spPr>
          </c:marker>
          <c:trendline>
            <c:spPr>
              <a:ln w="28575" cap="rnd">
                <a:solidFill>
                  <a:schemeClr val="accent6"/>
                </a:solidFill>
                <a:prstDash val="sysDash"/>
              </a:ln>
              <a:effectLst/>
            </c:spPr>
            <c:trendlineType val="linear"/>
            <c:dispRSqr val="0"/>
            <c:dispEq val="0"/>
          </c:trendline>
          <c:xVal>
            <c:numRef>
              <c:f>Data_FigureA4!$A$45:$A$53</c:f>
              <c:numCache>
                <c:formatCode>General</c:formatCode>
                <c:ptCount val="9"/>
                <c:pt idx="0">
                  <c:v>2015</c:v>
                </c:pt>
                <c:pt idx="1">
                  <c:v>2016</c:v>
                </c:pt>
                <c:pt idx="2">
                  <c:v>2017</c:v>
                </c:pt>
                <c:pt idx="3">
                  <c:v>2018</c:v>
                </c:pt>
                <c:pt idx="4">
                  <c:v>2019</c:v>
                </c:pt>
                <c:pt idx="5">
                  <c:v>2020</c:v>
                </c:pt>
                <c:pt idx="6">
                  <c:v>2021</c:v>
                </c:pt>
                <c:pt idx="7">
                  <c:v>2022</c:v>
                </c:pt>
                <c:pt idx="8">
                  <c:v>2023</c:v>
                </c:pt>
              </c:numCache>
            </c:numRef>
          </c:xVal>
          <c:yVal>
            <c:numRef>
              <c:f>Data_FigureA4!$B$45:$B$53</c:f>
              <c:numCache>
                <c:formatCode>0%</c:formatCode>
                <c:ptCount val="9"/>
                <c:pt idx="0">
                  <c:v>0.46249753222435425</c:v>
                </c:pt>
                <c:pt idx="1">
                  <c:v>0.52131770313113146</c:v>
                </c:pt>
                <c:pt idx="2">
                  <c:v>0.48234678751243809</c:v>
                </c:pt>
                <c:pt idx="3">
                  <c:v>0.50612988203620357</c:v>
                </c:pt>
                <c:pt idx="4">
                  <c:v>0.47732783265801126</c:v>
                </c:pt>
                <c:pt idx="5">
                  <c:v>0.50837430724697552</c:v>
                </c:pt>
                <c:pt idx="6">
                  <c:v>0.43488622670982136</c:v>
                </c:pt>
                <c:pt idx="7">
                  <c:v>0.39124733852523791</c:v>
                </c:pt>
                <c:pt idx="8">
                  <c:v>0.40643526930019541</c:v>
                </c:pt>
              </c:numCache>
            </c:numRef>
          </c:yVal>
          <c:smooth val="0"/>
          <c:extLst>
            <c:ext xmlns:c16="http://schemas.microsoft.com/office/drawing/2014/chart" uri="{C3380CC4-5D6E-409C-BE32-E72D297353CC}">
              <c16:uniqueId val="{00000005-3D70-439D-948F-168C0C28D34F}"/>
            </c:ext>
          </c:extLst>
        </c:ser>
        <c:ser>
          <c:idx val="6"/>
          <c:order val="6"/>
          <c:tx>
            <c:v>def</c:v>
          </c:tx>
          <c:spPr>
            <a:ln w="19050" cap="rnd">
              <a:noFill/>
              <a:round/>
            </a:ln>
            <a:effectLst/>
          </c:spPr>
          <c:marker>
            <c:symbol val="circle"/>
            <c:size val="5"/>
            <c:spPr>
              <a:solidFill>
                <a:srgbClr val="00B050"/>
              </a:solidFill>
              <a:ln w="9525">
                <a:solidFill>
                  <a:srgbClr val="00B050"/>
                </a:solidFill>
              </a:ln>
              <a:effectLst/>
            </c:spPr>
          </c:marker>
          <c:trendline>
            <c:spPr>
              <a:ln w="28575" cap="rnd">
                <a:solidFill>
                  <a:srgbClr val="00B050"/>
                </a:solidFill>
                <a:prstDash val="sysDash"/>
              </a:ln>
              <a:effectLst/>
            </c:spPr>
            <c:trendlineType val="linear"/>
            <c:dispRSqr val="0"/>
            <c:dispEq val="0"/>
          </c:trendline>
          <c:xVal>
            <c:numRef>
              <c:f>Data_FigureA4!$A$45:$A$53</c:f>
              <c:numCache>
                <c:formatCode>General</c:formatCode>
                <c:ptCount val="9"/>
                <c:pt idx="0">
                  <c:v>2015</c:v>
                </c:pt>
                <c:pt idx="1">
                  <c:v>2016</c:v>
                </c:pt>
                <c:pt idx="2">
                  <c:v>2017</c:v>
                </c:pt>
                <c:pt idx="3">
                  <c:v>2018</c:v>
                </c:pt>
                <c:pt idx="4">
                  <c:v>2019</c:v>
                </c:pt>
                <c:pt idx="5">
                  <c:v>2020</c:v>
                </c:pt>
                <c:pt idx="6">
                  <c:v>2021</c:v>
                </c:pt>
                <c:pt idx="7">
                  <c:v>2022</c:v>
                </c:pt>
                <c:pt idx="8">
                  <c:v>2023</c:v>
                </c:pt>
              </c:numCache>
            </c:numRef>
          </c:xVal>
          <c:yVal>
            <c:numRef>
              <c:f>Data_FigureA4!$C$45:$C$53</c:f>
              <c:numCache>
                <c:formatCode>0%</c:formatCode>
                <c:ptCount val="9"/>
                <c:pt idx="0">
                  <c:v>0.3616659759601874</c:v>
                </c:pt>
                <c:pt idx="1">
                  <c:v>0.37061415671929043</c:v>
                </c:pt>
                <c:pt idx="2">
                  <c:v>0.34013428548722974</c:v>
                </c:pt>
                <c:pt idx="3">
                  <c:v>0.33982396816629923</c:v>
                </c:pt>
                <c:pt idx="4">
                  <c:v>0.3626628996138731</c:v>
                </c:pt>
                <c:pt idx="5">
                  <c:v>0.35864186725686698</c:v>
                </c:pt>
                <c:pt idx="6">
                  <c:v>0.31186039619472955</c:v>
                </c:pt>
                <c:pt idx="7">
                  <c:v>0.31336734618754186</c:v>
                </c:pt>
                <c:pt idx="8">
                  <c:v>0.33778933556790647</c:v>
                </c:pt>
              </c:numCache>
            </c:numRef>
          </c:yVal>
          <c:smooth val="0"/>
          <c:extLst>
            <c:ext xmlns:c16="http://schemas.microsoft.com/office/drawing/2014/chart" uri="{C3380CC4-5D6E-409C-BE32-E72D297353CC}">
              <c16:uniqueId val="{00000006-3D70-439D-948F-168C0C28D34F}"/>
            </c:ext>
          </c:extLst>
        </c:ser>
        <c:ser>
          <c:idx val="7"/>
          <c:order val="7"/>
          <c:spPr>
            <a:ln w="25400" cap="rnd">
              <a:noFill/>
              <a:round/>
            </a:ln>
            <a:effectLst/>
          </c:spPr>
          <c:marker>
            <c:symbol val="circle"/>
            <c:size val="5"/>
            <c:spPr>
              <a:solidFill>
                <a:schemeClr val="accent2">
                  <a:lumMod val="60000"/>
                </a:schemeClr>
              </a:solidFill>
              <a:ln w="9525">
                <a:solidFill>
                  <a:schemeClr val="accent2">
                    <a:lumMod val="60000"/>
                  </a:schemeClr>
                </a:solidFill>
              </a:ln>
              <a:effectLst/>
            </c:spPr>
          </c:marker>
          <c:yVal>
            <c:numLit>
              <c:formatCode>General</c:formatCode>
              <c:ptCount val="1"/>
              <c:pt idx="0">
                <c:v>1</c:v>
              </c:pt>
            </c:numLit>
          </c:yVal>
          <c:smooth val="0"/>
          <c:extLst>
            <c:ext xmlns:c16="http://schemas.microsoft.com/office/drawing/2014/chart" uri="{C3380CC4-5D6E-409C-BE32-E72D297353CC}">
              <c16:uniqueId val="{0000000C-3D70-439D-948F-168C0C28D34F}"/>
            </c:ext>
          </c:extLst>
        </c:ser>
        <c:ser>
          <c:idx val="8"/>
          <c:order val="8"/>
          <c:tx>
            <c:v>helper</c:v>
          </c:tx>
          <c:spPr>
            <a:ln w="25400" cap="rnd">
              <a:noFill/>
              <a:round/>
            </a:ln>
            <a:effectLst/>
          </c:spPr>
          <c:marker>
            <c:symbol val="circle"/>
            <c:size val="5"/>
            <c:spPr>
              <a:noFill/>
              <a:ln w="9525">
                <a:noFill/>
              </a:ln>
              <a:effectLst/>
            </c:spPr>
          </c:marker>
          <c:errBars>
            <c:errDir val="y"/>
            <c:errBarType val="both"/>
            <c:errValType val="fixedVal"/>
            <c:noEndCap val="0"/>
            <c:val val="1"/>
            <c:spPr>
              <a:noFill/>
              <a:ln w="22225" cap="flat" cmpd="sng" algn="ctr">
                <a:solidFill>
                  <a:schemeClr val="bg1">
                    <a:lumMod val="65000"/>
                  </a:schemeClr>
                </a:solidFill>
                <a:prstDash val="dash"/>
                <a:round/>
              </a:ln>
              <a:effectLst/>
            </c:spPr>
          </c:errBars>
          <c:xVal>
            <c:numLit>
              <c:formatCode>General</c:formatCode>
              <c:ptCount val="1"/>
              <c:pt idx="0">
                <c:v>2015</c:v>
              </c:pt>
            </c:numLit>
          </c:xVal>
          <c:yVal>
            <c:numRef>
              <c:f>Data_FigureA4!$D$45</c:f>
              <c:numCache>
                <c:formatCode>0%</c:formatCode>
                <c:ptCount val="1"/>
                <c:pt idx="0">
                  <c:v>0.6</c:v>
                </c:pt>
              </c:numCache>
            </c:numRef>
          </c:yVal>
          <c:smooth val="0"/>
          <c:extLst>
            <c:ext xmlns:c16="http://schemas.microsoft.com/office/drawing/2014/chart" uri="{C3380CC4-5D6E-409C-BE32-E72D297353CC}">
              <c16:uniqueId val="{0000000D-3D70-439D-948F-168C0C28D34F}"/>
            </c:ext>
          </c:extLst>
        </c:ser>
        <c:dLbls>
          <c:showLegendKey val="0"/>
          <c:showVal val="0"/>
          <c:showCatName val="0"/>
          <c:showSerName val="0"/>
          <c:showPercent val="0"/>
          <c:showBubbleSize val="0"/>
        </c:dLbls>
        <c:axId val="375488912"/>
        <c:axId val="1927404736"/>
      </c:scatterChart>
      <c:valAx>
        <c:axId val="375488912"/>
        <c:scaling>
          <c:orientation val="minMax"/>
          <c:max val="2023"/>
          <c:min val="1975"/>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Garamond" panose="02020404030301010803" pitchFamily="18" charset="0"/>
                <a:ea typeface="+mn-ea"/>
                <a:cs typeface="+mn-cs"/>
              </a:defRPr>
            </a:pPr>
            <a:endParaRPr lang="en-US"/>
          </a:p>
        </c:txPr>
        <c:crossAx val="1927404736"/>
        <c:crosses val="autoZero"/>
        <c:crossBetween val="midCat"/>
      </c:valAx>
      <c:valAx>
        <c:axId val="1927404736"/>
        <c:scaling>
          <c:orientation val="minMax"/>
          <c:max val="0.60000000000000009"/>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2000" b="0" i="0" u="none" strike="noStrike" kern="1200" baseline="0">
                    <a:solidFill>
                      <a:schemeClr val="tx1">
                        <a:lumMod val="65000"/>
                        <a:lumOff val="35000"/>
                      </a:schemeClr>
                    </a:solidFill>
                    <a:latin typeface="Garamond" panose="02020404030301010803" pitchFamily="18" charset="0"/>
                    <a:ea typeface="+mn-ea"/>
                    <a:cs typeface="+mn-cs"/>
                  </a:defRPr>
                </a:pPr>
                <a:r>
                  <a:rPr lang="en-US"/>
                  <a:t>Shifted profits as a share of</a:t>
                </a:r>
                <a:r>
                  <a:rPr lang="en-US" baseline="0"/>
                  <a:t> foreign profits (%)</a:t>
                </a:r>
                <a:endParaRPr lang="en-US"/>
              </a:p>
            </c:rich>
          </c:tx>
          <c:overlay val="0"/>
          <c:spPr>
            <a:noFill/>
            <a:ln>
              <a:noFill/>
            </a:ln>
            <a:effectLst/>
          </c:spPr>
          <c:txPr>
            <a:bodyPr rot="-5400000" spcFirstLastPara="1" vertOverflow="ellipsis" vert="horz" wrap="square" anchor="ctr" anchorCtr="1"/>
            <a:lstStyle/>
            <a:p>
              <a:pPr>
                <a:defRPr sz="2000" b="0" i="0" u="none" strike="noStrike" kern="1200" baseline="0">
                  <a:solidFill>
                    <a:schemeClr val="tx1">
                      <a:lumMod val="65000"/>
                      <a:lumOff val="35000"/>
                    </a:schemeClr>
                  </a:solidFill>
                  <a:latin typeface="Garamond" panose="02020404030301010803" pitchFamily="18" charset="0"/>
                  <a:ea typeface="+mn-ea"/>
                  <a:cs typeface="+mn-cs"/>
                </a:defRPr>
              </a:pPr>
              <a:endParaRPr lang="en-US"/>
            </a:p>
          </c:txPr>
        </c:title>
        <c:numFmt formatCode="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Garamond" panose="02020404030301010803" pitchFamily="18" charset="0"/>
                <a:ea typeface="+mn-ea"/>
                <a:cs typeface="+mn-cs"/>
              </a:defRPr>
            </a:pPr>
            <a:endParaRPr lang="en-US"/>
          </a:p>
        </c:txPr>
        <c:crossAx val="375488912"/>
        <c:crosses val="autoZero"/>
        <c:crossBetween val="midCat"/>
      </c:valAx>
      <c:spPr>
        <a:noFill/>
        <a:ln>
          <a:noFill/>
        </a:ln>
        <a:effectLst/>
      </c:spPr>
    </c:plotArea>
    <c:legend>
      <c:legendPos val="b"/>
      <c:legendEntry>
        <c:idx val="2"/>
        <c:delete val="1"/>
      </c:legendEntry>
      <c:legendEntry>
        <c:idx val="3"/>
        <c:delete val="1"/>
      </c:legendEntry>
      <c:legendEntry>
        <c:idx val="4"/>
        <c:delete val="1"/>
      </c:legendEntry>
      <c:legendEntry>
        <c:idx val="5"/>
        <c:delete val="1"/>
      </c:legendEntry>
      <c:legendEntry>
        <c:idx val="6"/>
        <c:delete val="1"/>
      </c:legendEntry>
      <c:legendEntry>
        <c:idx val="7"/>
        <c:delete val="1"/>
      </c:legendEntry>
      <c:legendEntry>
        <c:idx val="8"/>
        <c:delete val="1"/>
      </c:legendEntry>
      <c:legendEntry>
        <c:idx val="9"/>
        <c:delete val="1"/>
      </c:legendEntry>
      <c:legendEntry>
        <c:idx val="10"/>
        <c:delete val="1"/>
      </c:legendEntry>
      <c:legendEntry>
        <c:idx val="11"/>
        <c:delete val="1"/>
      </c:legendEntry>
      <c:legendEntry>
        <c:idx val="12"/>
        <c:delete val="1"/>
      </c:legendEntry>
      <c:overlay val="0"/>
      <c:spPr>
        <a:noFill/>
        <a:ln>
          <a:noFill/>
        </a:ln>
        <a:effectLst/>
      </c:spPr>
      <c:txPr>
        <a:bodyPr rot="0" spcFirstLastPara="1" vertOverflow="ellipsis" vert="horz" wrap="square" anchor="ctr" anchorCtr="1"/>
        <a:lstStyle/>
        <a:p>
          <a:pPr>
            <a:defRPr sz="1800" b="0" i="0" u="none" strike="noStrike" kern="1200" baseline="0">
              <a:solidFill>
                <a:schemeClr val="tx1">
                  <a:lumMod val="65000"/>
                  <a:lumOff val="35000"/>
                </a:schemeClr>
              </a:solidFill>
              <a:latin typeface="Garamond" panose="02020404030301010803" pitchFamily="18" charset="0"/>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2000">
          <a:latin typeface="Garamond" panose="02020404030301010803" pitchFamily="18" charset="0"/>
        </a:defRPr>
      </a:pPr>
      <a:endParaRPr lang="en-US"/>
    </a:p>
  </c:txPr>
  <c:userShapes r:id="rId3"/>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1800" baseline="0"/>
              <a:t>A. Shifted profits</a:t>
            </a:r>
            <a:endParaRPr lang="en-GB" sz="1800"/>
          </a:p>
        </c:rich>
      </c:tx>
      <c:layout>
        <c:manualLayout>
          <c:xMode val="edge"/>
          <c:yMode val="edge"/>
          <c:x val="0.44179489870375666"/>
          <c:y val="1.4618858935643528E-2"/>
        </c:manualLayout>
      </c:layout>
      <c:overlay val="0"/>
    </c:title>
    <c:autoTitleDeleted val="0"/>
    <c:plotArea>
      <c:layout>
        <c:manualLayout>
          <c:layoutTarget val="inner"/>
          <c:xMode val="edge"/>
          <c:yMode val="edge"/>
          <c:x val="0.11861371867780032"/>
          <c:y val="8.5358762991508685E-2"/>
          <c:w val="0.87049519189488556"/>
          <c:h val="0.79350983194380154"/>
        </c:manualLayout>
      </c:layout>
      <c:lineChart>
        <c:grouping val="standard"/>
        <c:varyColors val="0"/>
        <c:ser>
          <c:idx val="0"/>
          <c:order val="1"/>
          <c:spPr>
            <a:ln>
              <a:solidFill>
                <a:schemeClr val="accent2"/>
              </a:solidFill>
              <a:prstDash val="dash"/>
            </a:ln>
          </c:spPr>
          <c:marker>
            <c:symbol val="none"/>
          </c:marker>
          <c:cat>
            <c:numRef>
              <c:f>'Wright-Zucman'!$A$37:$A$84</c:f>
              <c:numCache>
                <c:formatCode>General</c:formatCode>
                <c:ptCount val="48"/>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numCache>
            </c:numRef>
          </c:cat>
          <c:val>
            <c:numRef>
              <c:f>'DataF3-F4'!$AW$5:$AW$49</c:f>
              <c:numCache>
                <c:formatCode>0%</c:formatCode>
                <c:ptCount val="45"/>
                <c:pt idx="0">
                  <c:v>0.11788834663837289</c:v>
                </c:pt>
                <c:pt idx="1">
                  <c:v>0.10410947671102501</c:v>
                </c:pt>
                <c:pt idx="2">
                  <c:v>0.11640369412160087</c:v>
                </c:pt>
                <c:pt idx="3">
                  <c:v>0.13724353231927627</c:v>
                </c:pt>
                <c:pt idx="4">
                  <c:v>0.16236537835797177</c:v>
                </c:pt>
                <c:pt idx="5">
                  <c:v>0.19919277910436584</c:v>
                </c:pt>
                <c:pt idx="6">
                  <c:v>0.19935130328958667</c:v>
                </c:pt>
                <c:pt idx="7">
                  <c:v>0.22282512565958765</c:v>
                </c:pt>
                <c:pt idx="8">
                  <c:v>0.20947684123134774</c:v>
                </c:pt>
                <c:pt idx="9">
                  <c:v>0.2075404480514077</c:v>
                </c:pt>
                <c:pt idx="10">
                  <c:v>0.21712819400978992</c:v>
                </c:pt>
                <c:pt idx="11">
                  <c:v>0.22082569475369118</c:v>
                </c:pt>
                <c:pt idx="12">
                  <c:v>0.24430563792813217</c:v>
                </c:pt>
                <c:pt idx="13">
                  <c:v>0.22741756450464706</c:v>
                </c:pt>
                <c:pt idx="14">
                  <c:v>0.24765493661558782</c:v>
                </c:pt>
                <c:pt idx="15">
                  <c:v>0.27098966188696988</c:v>
                </c:pt>
                <c:pt idx="16">
                  <c:v>0.27637975562700151</c:v>
                </c:pt>
                <c:pt idx="17">
                  <c:v>0.26947037887767189</c:v>
                </c:pt>
                <c:pt idx="18">
                  <c:v>0.26879243497845529</c:v>
                </c:pt>
                <c:pt idx="19">
                  <c:v>0.27093042214105539</c:v>
                </c:pt>
                <c:pt idx="20">
                  <c:v>0.2782646756456133</c:v>
                </c:pt>
                <c:pt idx="21">
                  <c:v>0.28346398624194064</c:v>
                </c:pt>
                <c:pt idx="22">
                  <c:v>0.29693846141812869</c:v>
                </c:pt>
                <c:pt idx="23">
                  <c:v>0.3198457371469392</c:v>
                </c:pt>
                <c:pt idx="24">
                  <c:v>0.31106509407134086</c:v>
                </c:pt>
                <c:pt idx="25">
                  <c:v>0.31614651425634777</c:v>
                </c:pt>
                <c:pt idx="26">
                  <c:v>0.32988667682439199</c:v>
                </c:pt>
                <c:pt idx="27">
                  <c:v>0.33002746458435772</c:v>
                </c:pt>
                <c:pt idx="28">
                  <c:v>0.32523163552008383</c:v>
                </c:pt>
                <c:pt idx="29">
                  <c:v>0.33653740177909897</c:v>
                </c:pt>
                <c:pt idx="30">
                  <c:v>0.32437250313723731</c:v>
                </c:pt>
                <c:pt idx="31">
                  <c:v>0.33340642507908558</c:v>
                </c:pt>
                <c:pt idx="32">
                  <c:v>0.33537413962635138</c:v>
                </c:pt>
                <c:pt idx="33">
                  <c:v>0.31606311186479608</c:v>
                </c:pt>
                <c:pt idx="34">
                  <c:v>0.34724859473558334</c:v>
                </c:pt>
                <c:pt idx="35">
                  <c:v>0.33313900501929422</c:v>
                </c:pt>
                <c:pt idx="36">
                  <c:v>0.33774719947226645</c:v>
                </c:pt>
                <c:pt idx="37">
                  <c:v>0.34805144527154136</c:v>
                </c:pt>
                <c:pt idx="38">
                  <c:v>0.34684355814210932</c:v>
                </c:pt>
                <c:pt idx="39">
                  <c:v>0.36055308829983124</c:v>
                </c:pt>
                <c:pt idx="40">
                  <c:v>0.3616659759601874</c:v>
                </c:pt>
              </c:numCache>
            </c:numRef>
          </c:val>
          <c:smooth val="0"/>
          <c:extLst>
            <c:ext xmlns:c16="http://schemas.microsoft.com/office/drawing/2014/chart" uri="{C3380CC4-5D6E-409C-BE32-E72D297353CC}">
              <c16:uniqueId val="{00000000-C6C7-4DDE-868F-A4786F33B141}"/>
            </c:ext>
          </c:extLst>
        </c:ser>
        <c:dLbls>
          <c:showLegendKey val="0"/>
          <c:showVal val="0"/>
          <c:showCatName val="0"/>
          <c:showSerName val="0"/>
          <c:showPercent val="0"/>
          <c:showBubbleSize val="0"/>
        </c:dLbls>
        <c:marker val="1"/>
        <c:smooth val="0"/>
        <c:axId val="1839106456"/>
        <c:axId val="1839111368"/>
        <c:extLst/>
      </c:lineChart>
      <c:lineChart>
        <c:grouping val="standard"/>
        <c:varyColors val="0"/>
        <c:ser>
          <c:idx val="6"/>
          <c:order val="0"/>
          <c:spPr>
            <a:ln>
              <a:solidFill>
                <a:schemeClr val="tx1"/>
              </a:solidFill>
            </a:ln>
          </c:spPr>
          <c:marker>
            <c:symbol val="none"/>
          </c:marker>
          <c:cat>
            <c:numRef>
              <c:f>'Wright-Zucman'!$A$37:$A$84</c:f>
              <c:numCache>
                <c:formatCode>General</c:formatCode>
                <c:ptCount val="48"/>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numCache>
            </c:numRef>
          </c:cat>
          <c:val>
            <c:numRef>
              <c:f>'DataF3-F4'!$AV$5:$AV$53</c:f>
              <c:numCache>
                <c:formatCode>0%</c:formatCode>
                <c:ptCount val="49"/>
                <c:pt idx="0">
                  <c:v>4.2511319169491968E-2</c:v>
                </c:pt>
                <c:pt idx="1">
                  <c:v>3.5493694475956954E-2</c:v>
                </c:pt>
                <c:pt idx="2">
                  <c:v>4.6071241733988792E-2</c:v>
                </c:pt>
                <c:pt idx="3">
                  <c:v>6.5470521614309468E-2</c:v>
                </c:pt>
                <c:pt idx="4">
                  <c:v>8.0811396266185637E-2</c:v>
                </c:pt>
                <c:pt idx="5">
                  <c:v>0.11369910765466566</c:v>
                </c:pt>
                <c:pt idx="6">
                  <c:v>0.11352659281905855</c:v>
                </c:pt>
                <c:pt idx="7">
                  <c:v>0.14189125405963771</c:v>
                </c:pt>
                <c:pt idx="8">
                  <c:v>0.1292041146130623</c:v>
                </c:pt>
                <c:pt idx="9">
                  <c:v>0.11986333098511279</c:v>
                </c:pt>
                <c:pt idx="10">
                  <c:v>0.12853836776026789</c:v>
                </c:pt>
                <c:pt idx="11">
                  <c:v>0.12038994621674363</c:v>
                </c:pt>
                <c:pt idx="12">
                  <c:v>0.14054229175720201</c:v>
                </c:pt>
                <c:pt idx="13">
                  <c:v>9.9590048837215964E-2</c:v>
                </c:pt>
                <c:pt idx="14">
                  <c:v>0.13003655774184286</c:v>
                </c:pt>
                <c:pt idx="15">
                  <c:v>0.16530054030295047</c:v>
                </c:pt>
                <c:pt idx="16">
                  <c:v>0.17759975226951469</c:v>
                </c:pt>
                <c:pt idx="17">
                  <c:v>0.16364573266198018</c:v>
                </c:pt>
                <c:pt idx="18">
                  <c:v>0.15795216329827924</c:v>
                </c:pt>
                <c:pt idx="19">
                  <c:v>0.14630610633906346</c:v>
                </c:pt>
                <c:pt idx="20">
                  <c:v>0.1661721073618872</c:v>
                </c:pt>
                <c:pt idx="21">
                  <c:v>0.15245820000134824</c:v>
                </c:pt>
                <c:pt idx="22">
                  <c:v>0.18380614228139375</c:v>
                </c:pt>
                <c:pt idx="23">
                  <c:v>0.21793760019531033</c:v>
                </c:pt>
                <c:pt idx="24">
                  <c:v>0.19615104926582502</c:v>
                </c:pt>
                <c:pt idx="25">
                  <c:v>0.20546310647111266</c:v>
                </c:pt>
                <c:pt idx="26">
                  <c:v>0.23696501668074377</c:v>
                </c:pt>
                <c:pt idx="27">
                  <c:v>0.23771628999558814</c:v>
                </c:pt>
                <c:pt idx="28">
                  <c:v>0.21722826035095666</c:v>
                </c:pt>
                <c:pt idx="29">
                  <c:v>0.235569788606796</c:v>
                </c:pt>
                <c:pt idx="30">
                  <c:v>0.19431752828201018</c:v>
                </c:pt>
                <c:pt idx="31">
                  <c:v>0.21188898912734477</c:v>
                </c:pt>
                <c:pt idx="32">
                  <c:v>0.21457453220269235</c:v>
                </c:pt>
                <c:pt idx="33">
                  <c:v>0.19542185592672129</c:v>
                </c:pt>
                <c:pt idx="34">
                  <c:v>0.25444837517622421</c:v>
                </c:pt>
                <c:pt idx="35">
                  <c:v>0.21577050016135621</c:v>
                </c:pt>
                <c:pt idx="36">
                  <c:v>0.22814026877552795</c:v>
                </c:pt>
                <c:pt idx="37">
                  <c:v>0.2540845785394798</c:v>
                </c:pt>
                <c:pt idx="38">
                  <c:v>0.24730087839576773</c:v>
                </c:pt>
                <c:pt idx="39">
                  <c:v>0.27752265749131599</c:v>
                </c:pt>
                <c:pt idx="40">
                  <c:v>0.3616659759601874</c:v>
                </c:pt>
                <c:pt idx="41">
                  <c:v>0.37061415671929043</c:v>
                </c:pt>
                <c:pt idx="42">
                  <c:v>0.34013428548722974</c:v>
                </c:pt>
                <c:pt idx="43">
                  <c:v>0.33982396816629923</c:v>
                </c:pt>
                <c:pt idx="44">
                  <c:v>0.3626628996138731</c:v>
                </c:pt>
                <c:pt idx="45">
                  <c:v>0.35864186725686698</c:v>
                </c:pt>
                <c:pt idx="46">
                  <c:v>0.31186039619472955</c:v>
                </c:pt>
                <c:pt idx="47">
                  <c:v>0.31336734618754186</c:v>
                </c:pt>
                <c:pt idx="48">
                  <c:v>0.33778933556790647</c:v>
                </c:pt>
              </c:numCache>
            </c:numRef>
          </c:val>
          <c:smooth val="0"/>
          <c:extLst>
            <c:ext xmlns:c16="http://schemas.microsoft.com/office/drawing/2014/chart" uri="{C3380CC4-5D6E-409C-BE32-E72D297353CC}">
              <c16:uniqueId val="{00000032-C6C7-4DDE-868F-A4786F33B141}"/>
            </c:ext>
          </c:extLst>
        </c:ser>
        <c:ser>
          <c:idx val="7"/>
          <c:order val="2"/>
          <c:spPr>
            <a:ln>
              <a:solidFill>
                <a:schemeClr val="accent1"/>
              </a:solidFill>
              <a:prstDash val="dash"/>
            </a:ln>
          </c:spPr>
          <c:marker>
            <c:symbol val="none"/>
          </c:marker>
          <c:cat>
            <c:numRef>
              <c:f>'Wright-Zucman'!$A$37:$A$84</c:f>
              <c:numCache>
                <c:formatCode>General</c:formatCode>
                <c:ptCount val="48"/>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numCache>
            </c:numRef>
          </c:cat>
          <c:val>
            <c:numRef>
              <c:f>'DataF3-F4'!$AX$5:$AX$45</c:f>
              <c:numCache>
                <c:formatCode>0%</c:formatCode>
                <c:ptCount val="41"/>
                <c:pt idx="0">
                  <c:v>3.547880269807429E-2</c:v>
                </c:pt>
                <c:pt idx="1">
                  <c:v>3.0277099607273095E-2</c:v>
                </c:pt>
                <c:pt idx="2">
                  <c:v>3.8942019053170268E-2</c:v>
                </c:pt>
                <c:pt idx="3">
                  <c:v>5.46077973411071E-2</c:v>
                </c:pt>
                <c:pt idx="4">
                  <c:v>6.4733537180258663E-2</c:v>
                </c:pt>
                <c:pt idx="5">
                  <c:v>8.7435793300372711E-2</c:v>
                </c:pt>
                <c:pt idx="6">
                  <c:v>8.7200155016659994E-2</c:v>
                </c:pt>
                <c:pt idx="7">
                  <c:v>0.10816576693444263</c:v>
                </c:pt>
                <c:pt idx="8">
                  <c:v>0.10005028730411376</c:v>
                </c:pt>
                <c:pt idx="9">
                  <c:v>9.0793307630144426E-2</c:v>
                </c:pt>
                <c:pt idx="10">
                  <c:v>9.607165284905711E-2</c:v>
                </c:pt>
                <c:pt idx="11">
                  <c:v>8.6056813993027725E-2</c:v>
                </c:pt>
                <c:pt idx="12">
                  <c:v>9.5708173599131169E-2</c:v>
                </c:pt>
                <c:pt idx="13">
                  <c:v>6.41336630647555E-2</c:v>
                </c:pt>
                <c:pt idx="14">
                  <c:v>8.3425416360311588E-2</c:v>
                </c:pt>
                <c:pt idx="15">
                  <c:v>0.10552459164044249</c:v>
                </c:pt>
                <c:pt idx="16">
                  <c:v>0.11542747071111485</c:v>
                </c:pt>
                <c:pt idx="17">
                  <c:v>0.10480407780401567</c:v>
                </c:pt>
                <c:pt idx="18">
                  <c:v>9.9114435520826424E-2</c:v>
                </c:pt>
                <c:pt idx="19">
                  <c:v>8.5867088496718494E-2</c:v>
                </c:pt>
                <c:pt idx="20">
                  <c:v>0.1009536632313698</c:v>
                </c:pt>
                <c:pt idx="21">
                  <c:v>8.3122536171035905E-2</c:v>
                </c:pt>
                <c:pt idx="22">
                  <c:v>0.10391706286851195</c:v>
                </c:pt>
                <c:pt idx="23">
                  <c:v>0.11777547751835316</c:v>
                </c:pt>
                <c:pt idx="24">
                  <c:v>0.10233747736746115</c:v>
                </c:pt>
                <c:pt idx="25">
                  <c:v>0.10688628422550642</c:v>
                </c:pt>
                <c:pt idx="26">
                  <c:v>0.12852612662170743</c:v>
                </c:pt>
                <c:pt idx="27">
                  <c:v>0.12945245667945285</c:v>
                </c:pt>
                <c:pt idx="28">
                  <c:v>0.10816415872240587</c:v>
                </c:pt>
                <c:pt idx="29">
                  <c:v>0.11259563404210195</c:v>
                </c:pt>
                <c:pt idx="30">
                  <c:v>8.2428937563567173E-2</c:v>
                </c:pt>
                <c:pt idx="31">
                  <c:v>8.6953151893784178E-2</c:v>
                </c:pt>
                <c:pt idx="32">
                  <c:v>8.6349850244253609E-2</c:v>
                </c:pt>
                <c:pt idx="33">
                  <c:v>9.5107993468334873E-2</c:v>
                </c:pt>
                <c:pt idx="34">
                  <c:v>0.11654856224243573</c:v>
                </c:pt>
                <c:pt idx="35">
                  <c:v>9.2169416082514957E-2</c:v>
                </c:pt>
                <c:pt idx="36">
                  <c:v>9.8974539045937893E-2</c:v>
                </c:pt>
                <c:pt idx="37">
                  <c:v>0.11333691810718559</c:v>
                </c:pt>
                <c:pt idx="38">
                  <c:v>0.10491760719979523</c:v>
                </c:pt>
                <c:pt idx="39">
                  <c:v>0.11261590144664714</c:v>
                </c:pt>
                <c:pt idx="40">
                  <c:v>0.3616659759601874</c:v>
                </c:pt>
              </c:numCache>
            </c:numRef>
          </c:val>
          <c:smooth val="0"/>
          <c:extLst>
            <c:ext xmlns:c16="http://schemas.microsoft.com/office/drawing/2014/chart" uri="{C3380CC4-5D6E-409C-BE32-E72D297353CC}">
              <c16:uniqueId val="{00000001-C6C7-4DDE-868F-A4786F33B141}"/>
            </c:ext>
          </c:extLst>
        </c:ser>
        <c:dLbls>
          <c:showLegendKey val="0"/>
          <c:showVal val="0"/>
          <c:showCatName val="0"/>
          <c:showSerName val="0"/>
          <c:showPercent val="0"/>
          <c:showBubbleSize val="0"/>
        </c:dLbls>
        <c:marker val="1"/>
        <c:smooth val="0"/>
        <c:axId val="750701840"/>
        <c:axId val="750689360"/>
      </c:lineChart>
      <c:catAx>
        <c:axId val="1839106456"/>
        <c:scaling>
          <c:orientation val="minMax"/>
        </c:scaling>
        <c:delete val="0"/>
        <c:axPos val="b"/>
        <c:numFmt formatCode="General" sourceLinked="0"/>
        <c:majorTickMark val="none"/>
        <c:minorTickMark val="none"/>
        <c:tickLblPos val="nextTo"/>
        <c:txPr>
          <a:bodyPr/>
          <a:lstStyle/>
          <a:p>
            <a:pPr>
              <a:defRPr sz="1800"/>
            </a:pPr>
            <a:endParaRPr lang="en-US"/>
          </a:p>
        </c:txPr>
        <c:crossAx val="1839111368"/>
        <c:crosses val="autoZero"/>
        <c:auto val="1"/>
        <c:lblAlgn val="ctr"/>
        <c:lblOffset val="100"/>
        <c:tickLblSkip val="5"/>
        <c:noMultiLvlLbl val="0"/>
      </c:catAx>
      <c:valAx>
        <c:axId val="1839111368"/>
        <c:scaling>
          <c:orientation val="minMax"/>
          <c:max val="0.4"/>
          <c:min val="0"/>
        </c:scaling>
        <c:delete val="0"/>
        <c:axPos val="l"/>
        <c:majorGridlines>
          <c:spPr>
            <a:ln>
              <a:noFill/>
            </a:ln>
          </c:spPr>
        </c:majorGridlines>
        <c:title>
          <c:tx>
            <c:rich>
              <a:bodyPr/>
              <a:lstStyle/>
              <a:p>
                <a:pPr>
                  <a:defRPr sz="1800"/>
                </a:pPr>
                <a:r>
                  <a:rPr lang="en-US" sz="1800" b="0"/>
                  <a:t>% of foreign profits </a:t>
                </a:r>
              </a:p>
            </c:rich>
          </c:tx>
          <c:layout>
            <c:manualLayout>
              <c:xMode val="edge"/>
              <c:yMode val="edge"/>
              <c:x val="8.1941512491468561E-3"/>
              <c:y val="0.35587294326326979"/>
            </c:manualLayout>
          </c:layout>
          <c:overlay val="0"/>
        </c:title>
        <c:numFmt formatCode="0%" sourceLinked="0"/>
        <c:majorTickMark val="none"/>
        <c:minorTickMark val="none"/>
        <c:tickLblPos val="nextTo"/>
        <c:txPr>
          <a:bodyPr/>
          <a:lstStyle/>
          <a:p>
            <a:pPr>
              <a:defRPr sz="1800"/>
            </a:pPr>
            <a:endParaRPr lang="en-US"/>
          </a:p>
        </c:txPr>
        <c:crossAx val="1839106456"/>
        <c:crosses val="autoZero"/>
        <c:crossBetween val="between"/>
        <c:majorUnit val="4.0000000000000008E-2"/>
      </c:valAx>
      <c:valAx>
        <c:axId val="750689360"/>
        <c:scaling>
          <c:orientation val="minMax"/>
          <c:min val="0"/>
        </c:scaling>
        <c:delete val="1"/>
        <c:axPos val="r"/>
        <c:numFmt formatCode="0%" sourceLinked="1"/>
        <c:majorTickMark val="none"/>
        <c:minorTickMark val="none"/>
        <c:tickLblPos val="nextTo"/>
        <c:crossAx val="750701840"/>
        <c:crosses val="max"/>
        <c:crossBetween val="between"/>
        <c:majorUnit val="1.0000000000000002E-2"/>
      </c:valAx>
      <c:catAx>
        <c:axId val="750701840"/>
        <c:scaling>
          <c:orientation val="minMax"/>
        </c:scaling>
        <c:delete val="1"/>
        <c:axPos val="b"/>
        <c:numFmt formatCode="General" sourceLinked="1"/>
        <c:majorTickMark val="out"/>
        <c:minorTickMark val="none"/>
        <c:tickLblPos val="nextTo"/>
        <c:crossAx val="750689360"/>
        <c:crosses val="autoZero"/>
        <c:auto val="1"/>
        <c:lblAlgn val="ctr"/>
        <c:lblOffset val="100"/>
        <c:noMultiLvlLbl val="0"/>
      </c:catAx>
    </c:plotArea>
    <c:plotVisOnly val="1"/>
    <c:dispBlanksAs val="gap"/>
    <c:showDLblsOverMax val="0"/>
  </c:chart>
  <c:spPr>
    <a:noFill/>
    <a:ln>
      <a:noFill/>
    </a:ln>
  </c:spPr>
  <c:txPr>
    <a:bodyPr/>
    <a:lstStyle/>
    <a:p>
      <a:pPr>
        <a:defRPr>
          <a:latin typeface="Garamond" panose="02020404030301010803" pitchFamily="18" charset="0"/>
        </a:defRPr>
      </a:pPr>
      <a:endParaRPr lang="en-US"/>
    </a:p>
  </c:txPr>
  <c:userShapes r:id="rId1"/>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1800"/>
              <a:t>B. Corporate tax revenue loss</a:t>
            </a:r>
          </a:p>
        </c:rich>
      </c:tx>
      <c:layout>
        <c:manualLayout>
          <c:xMode val="edge"/>
          <c:yMode val="edge"/>
          <c:x val="0.41908299791897591"/>
          <c:y val="1.8812348309726973E-2"/>
        </c:manualLayout>
      </c:layout>
      <c:overlay val="0"/>
    </c:title>
    <c:autoTitleDeleted val="0"/>
    <c:plotArea>
      <c:layout>
        <c:manualLayout>
          <c:layoutTarget val="inner"/>
          <c:xMode val="edge"/>
          <c:yMode val="edge"/>
          <c:x val="0.10728740292862157"/>
          <c:y val="8.5381181139666626E-2"/>
          <c:w val="0.87903030838671392"/>
          <c:h val="0.7913960380913917"/>
        </c:manualLayout>
      </c:layout>
      <c:lineChart>
        <c:grouping val="standard"/>
        <c:varyColors val="0"/>
        <c:ser>
          <c:idx val="0"/>
          <c:order val="0"/>
          <c:spPr>
            <a:ln>
              <a:solidFill>
                <a:schemeClr val="tx1"/>
              </a:solidFill>
            </a:ln>
          </c:spPr>
          <c:marker>
            <c:symbol val="none"/>
          </c:marker>
          <c:cat>
            <c:numRef>
              <c:f>'DataF3-F4'!$A$5:$A$52</c:f>
              <c:numCache>
                <c:formatCode>General</c:formatCode>
                <c:ptCount val="48"/>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numCache>
            </c:numRef>
          </c:cat>
          <c:val>
            <c:numRef>
              <c:f>'DataF3-F4'!$BA$5:$BA$53</c:f>
              <c:numCache>
                <c:formatCode>0%</c:formatCode>
                <c:ptCount val="49"/>
                <c:pt idx="0">
                  <c:v>7.0170210017327182E-3</c:v>
                </c:pt>
                <c:pt idx="1">
                  <c:v>6.9803095541385975E-3</c:v>
                </c:pt>
                <c:pt idx="2">
                  <c:v>7.3944783635180745E-3</c:v>
                </c:pt>
                <c:pt idx="3">
                  <c:v>9.8943206262068102E-3</c:v>
                </c:pt>
                <c:pt idx="4">
                  <c:v>1.5903898456036004E-2</c:v>
                </c:pt>
                <c:pt idx="5">
                  <c:v>1.5540346365024365E-2</c:v>
                </c:pt>
                <c:pt idx="6">
                  <c:v>1.2924262242310296E-2</c:v>
                </c:pt>
                <c:pt idx="7">
                  <c:v>1.5699208833893426E-2</c:v>
                </c:pt>
                <c:pt idx="8">
                  <c:v>1.3777179701490153E-2</c:v>
                </c:pt>
                <c:pt idx="9">
                  <c:v>1.3790566747600983E-2</c:v>
                </c:pt>
                <c:pt idx="10">
                  <c:v>1.3826603827250858E-2</c:v>
                </c:pt>
                <c:pt idx="11">
                  <c:v>1.0137322124985155E-2</c:v>
                </c:pt>
                <c:pt idx="12">
                  <c:v>1.2658344660792308E-2</c:v>
                </c:pt>
                <c:pt idx="13">
                  <c:v>1.0259116535999811E-2</c:v>
                </c:pt>
                <c:pt idx="14">
                  <c:v>1.3113569110526819E-2</c:v>
                </c:pt>
                <c:pt idx="15">
                  <c:v>1.5692776421256462E-2</c:v>
                </c:pt>
                <c:pt idx="16">
                  <c:v>1.4024137222373041E-2</c:v>
                </c:pt>
                <c:pt idx="17">
                  <c:v>1.2662795706887452E-2</c:v>
                </c:pt>
                <c:pt idx="18">
                  <c:v>1.315838937117029E-2</c:v>
                </c:pt>
                <c:pt idx="19">
                  <c:v>1.4008287590167368E-2</c:v>
                </c:pt>
                <c:pt idx="20">
                  <c:v>1.6698240284410019E-2</c:v>
                </c:pt>
                <c:pt idx="21">
                  <c:v>1.8450209160617018E-2</c:v>
                </c:pt>
                <c:pt idx="22">
                  <c:v>2.3069504264433049E-2</c:v>
                </c:pt>
                <c:pt idx="23">
                  <c:v>2.5803201083976685E-2</c:v>
                </c:pt>
                <c:pt idx="24">
                  <c:v>2.8875372637709135E-2</c:v>
                </c:pt>
                <c:pt idx="25">
                  <c:v>3.5888630538406005E-2</c:v>
                </c:pt>
                <c:pt idx="26">
                  <c:v>3.6273825449937333E-2</c:v>
                </c:pt>
                <c:pt idx="27">
                  <c:v>3.5666012560009702E-2</c:v>
                </c:pt>
                <c:pt idx="28">
                  <c:v>3.8313725989451652E-2</c:v>
                </c:pt>
                <c:pt idx="29">
                  <c:v>5.0123685844003264E-2</c:v>
                </c:pt>
                <c:pt idx="30">
                  <c:v>5.1406596486638229E-2</c:v>
                </c:pt>
                <c:pt idx="31">
                  <c:v>5.9051032113391841E-2</c:v>
                </c:pt>
                <c:pt idx="32">
                  <c:v>6.2388683969046288E-2</c:v>
                </c:pt>
                <c:pt idx="33">
                  <c:v>4.8290230008007584E-2</c:v>
                </c:pt>
                <c:pt idx="34">
                  <c:v>6.0747203871075114E-2</c:v>
                </c:pt>
                <c:pt idx="35">
                  <c:v>5.8604181466986392E-2</c:v>
                </c:pt>
                <c:pt idx="36">
                  <c:v>6.1362677697475963E-2</c:v>
                </c:pt>
                <c:pt idx="37">
                  <c:v>6.4179654027160485E-2</c:v>
                </c:pt>
                <c:pt idx="38">
                  <c:v>6.4534230215504737E-2</c:v>
                </c:pt>
                <c:pt idx="39">
                  <c:v>7.296197631476245E-2</c:v>
                </c:pt>
                <c:pt idx="40" formatCode="0.0%">
                  <c:v>8.4216532033426189E-2</c:v>
                </c:pt>
                <c:pt idx="41" formatCode="0.0%">
                  <c:v>8.3227481726418084E-2</c:v>
                </c:pt>
                <c:pt idx="42" formatCode="0.0%">
                  <c:v>8.2203019776095926E-2</c:v>
                </c:pt>
                <c:pt idx="43" formatCode="0.0%">
                  <c:v>8.0702968466797517E-2</c:v>
                </c:pt>
                <c:pt idx="44" formatCode="0.0%">
                  <c:v>8.4923534406735696E-2</c:v>
                </c:pt>
                <c:pt idx="45" formatCode="0.0%">
                  <c:v>7.1259265083925744E-2</c:v>
                </c:pt>
                <c:pt idx="46" formatCode="0.0%">
                  <c:v>7.3951564769405786E-2</c:v>
                </c:pt>
                <c:pt idx="47" formatCode="0.0%">
                  <c:v>6.9011573754030997E-2</c:v>
                </c:pt>
                <c:pt idx="48" formatCode="0.0%">
                  <c:v>7.6224908298991118E-2</c:v>
                </c:pt>
              </c:numCache>
            </c:numRef>
          </c:val>
          <c:smooth val="0"/>
          <c:extLst>
            <c:ext xmlns:c16="http://schemas.microsoft.com/office/drawing/2014/chart" uri="{C3380CC4-5D6E-409C-BE32-E72D297353CC}">
              <c16:uniqueId val="{00000000-19DB-41DF-A972-C241D730C570}"/>
            </c:ext>
          </c:extLst>
        </c:ser>
        <c:dLbls>
          <c:showLegendKey val="0"/>
          <c:showVal val="0"/>
          <c:showCatName val="0"/>
          <c:showSerName val="0"/>
          <c:showPercent val="0"/>
          <c:showBubbleSize val="0"/>
        </c:dLbls>
        <c:marker val="1"/>
        <c:smooth val="0"/>
        <c:axId val="1839106456"/>
        <c:axId val="1839111368"/>
        <c:extLst/>
      </c:lineChart>
      <c:lineChart>
        <c:grouping val="standard"/>
        <c:varyColors val="0"/>
        <c:ser>
          <c:idx val="7"/>
          <c:order val="1"/>
          <c:spPr>
            <a:ln>
              <a:prstDash val="dash"/>
            </a:ln>
          </c:spPr>
          <c:marker>
            <c:symbol val="none"/>
          </c:marker>
          <c:cat>
            <c:numRef>
              <c:f>'Wright-Zucman'!$A$37:$A$81</c:f>
              <c:numCache>
                <c:formatCode>General</c:formatCode>
                <c:ptCount val="45"/>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numCache>
            </c:numRef>
          </c:cat>
          <c:val>
            <c:numRef>
              <c:f>'DataF3-F4'!$BB$5:$BB$45</c:f>
              <c:numCache>
                <c:formatCode>0%</c:formatCode>
                <c:ptCount val="41"/>
                <c:pt idx="0">
                  <c:v>1.9458935182012957E-2</c:v>
                </c:pt>
                <c:pt idx="1">
                  <c:v>2.0474520494185453E-2</c:v>
                </c:pt>
                <c:pt idx="2">
                  <c:v>1.8682904241774417E-2</c:v>
                </c:pt>
                <c:pt idx="3">
                  <c:v>2.0741113392065937E-2</c:v>
                </c:pt>
                <c:pt idx="4">
                  <c:v>3.1953939784376058E-2</c:v>
                </c:pt>
                <c:pt idx="5">
                  <c:v>2.7225585534897619E-2</c:v>
                </c:pt>
                <c:pt idx="6">
                  <c:v>2.2694845833763296E-2</c:v>
                </c:pt>
                <c:pt idx="7">
                  <c:v>2.4653938005919002E-2</c:v>
                </c:pt>
                <c:pt idx="8">
                  <c:v>2.2336750602623846E-2</c:v>
                </c:pt>
                <c:pt idx="9">
                  <c:v>2.3878031572770408E-2</c:v>
                </c:pt>
                <c:pt idx="10">
                  <c:v>2.3356026458177977E-2</c:v>
                </c:pt>
                <c:pt idx="11">
                  <c:v>1.8594419812777301E-2</c:v>
                </c:pt>
                <c:pt idx="12">
                  <c:v>2.2004088084827726E-2</c:v>
                </c:pt>
                <c:pt idx="13">
                  <c:v>2.3427072522074786E-2</c:v>
                </c:pt>
                <c:pt idx="14">
                  <c:v>2.4974823874675912E-2</c:v>
                </c:pt>
                <c:pt idx="15">
                  <c:v>2.5726353759463156E-2</c:v>
                </c:pt>
                <c:pt idx="16">
                  <c:v>2.1824285050336279E-2</c:v>
                </c:pt>
                <c:pt idx="17">
                  <c:v>2.0851434994847786E-2</c:v>
                </c:pt>
                <c:pt idx="18">
                  <c:v>2.2392067608421409E-2</c:v>
                </c:pt>
                <c:pt idx="19">
                  <c:v>2.5940621107651073E-2</c:v>
                </c:pt>
                <c:pt idx="20">
                  <c:v>2.7962156166646678E-2</c:v>
                </c:pt>
                <c:pt idx="21">
                  <c:v>3.4304286916806169E-2</c:v>
                </c:pt>
                <c:pt idx="22">
                  <c:v>3.7268738775184766E-2</c:v>
                </c:pt>
                <c:pt idx="23">
                  <c:v>3.7868838897276325E-2</c:v>
                </c:pt>
                <c:pt idx="24">
                  <c:v>4.5791855508870577E-2</c:v>
                </c:pt>
                <c:pt idx="25">
                  <c:v>5.5221911325214902E-2</c:v>
                </c:pt>
                <c:pt idx="26">
                  <c:v>5.0497967594557103E-2</c:v>
                </c:pt>
                <c:pt idx="27">
                  <c:v>4.9516016328676159E-2</c:v>
                </c:pt>
                <c:pt idx="28">
                  <c:v>5.736286681247562E-2</c:v>
                </c:pt>
                <c:pt idx="29">
                  <c:v>7.1607208637814349E-2</c:v>
                </c:pt>
                <c:pt idx="30">
                  <c:v>8.5812569393826033E-2</c:v>
                </c:pt>
                <c:pt idx="31">
                  <c:v>9.2916548402257076E-2</c:v>
                </c:pt>
                <c:pt idx="32">
                  <c:v>9.751181090202421E-2</c:v>
                </c:pt>
                <c:pt idx="33">
                  <c:v>7.8101603818156437E-2</c:v>
                </c:pt>
                <c:pt idx="34">
                  <c:v>8.2902400786554101E-2</c:v>
                </c:pt>
                <c:pt idx="35">
                  <c:v>9.048196435231963E-2</c:v>
                </c:pt>
                <c:pt idx="36">
                  <c:v>9.0843552765485919E-2</c:v>
                </c:pt>
                <c:pt idx="37">
                  <c:v>8.7914904043300074E-2</c:v>
                </c:pt>
                <c:pt idx="38">
                  <c:v>9.0510321577130126E-2</c:v>
                </c:pt>
                <c:pt idx="39">
                  <c:v>9.4791056436788076E-2</c:v>
                </c:pt>
                <c:pt idx="40">
                  <c:v>8.4216532033426189E-2</c:v>
                </c:pt>
              </c:numCache>
            </c:numRef>
          </c:val>
          <c:smooth val="0"/>
          <c:extLst>
            <c:ext xmlns:c16="http://schemas.microsoft.com/office/drawing/2014/chart" uri="{C3380CC4-5D6E-409C-BE32-E72D297353CC}">
              <c16:uniqueId val="{00000001-19DB-41DF-A972-C241D730C570}"/>
            </c:ext>
          </c:extLst>
        </c:ser>
        <c:ser>
          <c:idx val="6"/>
          <c:order val="2"/>
          <c:spPr>
            <a:ln>
              <a:solidFill>
                <a:srgbClr val="0070C0"/>
              </a:solidFill>
              <a:prstDash val="dash"/>
            </a:ln>
          </c:spPr>
          <c:marker>
            <c:symbol val="none"/>
          </c:marker>
          <c:cat>
            <c:numRef>
              <c:f>'Wright-Zucman'!$A$37:$A$81</c:f>
              <c:numCache>
                <c:formatCode>General</c:formatCode>
                <c:ptCount val="45"/>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numCache>
            </c:numRef>
          </c:cat>
          <c:val>
            <c:numRef>
              <c:f>'DataF3-F4'!$BC$5:$BC$45</c:f>
              <c:numCache>
                <c:formatCode>0%</c:formatCode>
                <c:ptCount val="41"/>
                <c:pt idx="0">
                  <c:v>5.8562168502966708E-3</c:v>
                </c:pt>
                <c:pt idx="1">
                  <c:v>5.9543964295803642E-3</c:v>
                </c:pt>
                <c:pt idx="2">
                  <c:v>6.2502313044438375E-3</c:v>
                </c:pt>
                <c:pt idx="3">
                  <c:v>8.2526768118148935E-3</c:v>
                </c:pt>
                <c:pt idx="4">
                  <c:v>1.2739732879057442E-2</c:v>
                </c:pt>
                <c:pt idx="5">
                  <c:v>1.1950687570173826E-2</c:v>
                </c:pt>
                <c:pt idx="6" formatCode="0.00%">
                  <c:v>9.927168983232499E-3</c:v>
                </c:pt>
                <c:pt idx="7" formatCode="0.00%">
                  <c:v>1.1967735256383954E-2</c:v>
                </c:pt>
                <c:pt idx="8" formatCode="0.00%">
                  <c:v>1.0668474386458427E-2</c:v>
                </c:pt>
                <c:pt idx="9" formatCode="0.00%">
                  <c:v>1.0445990102381586E-2</c:v>
                </c:pt>
                <c:pt idx="10" formatCode="0.00%">
                  <c:v>1.0334227095916877E-2</c:v>
                </c:pt>
                <c:pt idx="11" formatCode="0.00%">
                  <c:v>7.246333036204331E-3</c:v>
                </c:pt>
                <c:pt idx="12" formatCode="0.00%">
                  <c:v>8.6202311996286512E-3</c:v>
                </c:pt>
                <c:pt idx="13" formatCode="0.00%">
                  <c:v>6.6066311940194706E-3</c:v>
                </c:pt>
                <c:pt idx="14" formatCode="0.00%">
                  <c:v>8.4130569280933404E-3</c:v>
                </c:pt>
                <c:pt idx="15" formatCode="0.00%">
                  <c:v>1.0017957718244038E-2</c:v>
                </c:pt>
                <c:pt idx="16" formatCode="0.00%">
                  <c:v>9.1147125364655374E-3</c:v>
                </c:pt>
                <c:pt idx="17" formatCode="0.00%">
                  <c:v>8.1096683970502109E-3</c:v>
                </c:pt>
                <c:pt idx="18" formatCode="0.00%">
                  <c:v>8.2568437661973675E-3</c:v>
                </c:pt>
                <c:pt idx="19" formatCode="0.00%">
                  <c:v>8.2214673077607957E-3</c:v>
                </c:pt>
                <c:pt idx="20" formatCode="0.00%">
                  <c:v>1.0144593776846214E-2</c:v>
                </c:pt>
                <c:pt idx="21" formatCode="0.00%">
                  <c:v>1.0059335465740797E-2</c:v>
                </c:pt>
                <c:pt idx="22" formatCode="0.00%">
                  <c:v>1.3042627929823908E-2</c:v>
                </c:pt>
                <c:pt idx="23" formatCode="0.00%">
                  <c:v>1.394428646752088E-2</c:v>
                </c:pt>
                <c:pt idx="24" formatCode="0.00%">
                  <c:v>1.5065087874110162E-2</c:v>
                </c:pt>
                <c:pt idx="25" formatCode="0.00%">
                  <c:v>1.8670030012086777E-2</c:v>
                </c:pt>
                <c:pt idx="26" formatCode="0.00%">
                  <c:v>1.9674356781167916E-2</c:v>
                </c:pt>
                <c:pt idx="27" formatCode="0.00%">
                  <c:v>1.9422534929933351E-2</c:v>
                </c:pt>
                <c:pt idx="28" formatCode="0.00%">
                  <c:v>1.9077499090009931E-2</c:v>
                </c:pt>
                <c:pt idx="29" formatCode="0.00%">
                  <c:v>2.3957690931042681E-2</c:v>
                </c:pt>
                <c:pt idx="30" formatCode="0.00%">
                  <c:v>2.1806530628585036E-2</c:v>
                </c:pt>
                <c:pt idx="31" formatCode="0.00%">
                  <c:v>2.4232846576820288E-2</c:v>
                </c:pt>
                <c:pt idx="32" formatCode="0.00%">
                  <c:v>2.5106677210761812E-2</c:v>
                </c:pt>
                <c:pt idx="33" formatCode="0.00%">
                  <c:v>2.3501910052006483E-2</c:v>
                </c:pt>
                <c:pt idx="34" formatCode="0.00%">
                  <c:v>2.7824894800442375E-2</c:v>
                </c:pt>
                <c:pt idx="35" formatCode="0.00%">
                  <c:v>2.5033603675046187E-2</c:v>
                </c:pt>
                <c:pt idx="36" formatCode="0.00%">
                  <c:v>2.6621090491077786E-2</c:v>
                </c:pt>
                <c:pt idx="37" formatCode="0.00%">
                  <c:v>2.862796409933854E-2</c:v>
                </c:pt>
                <c:pt idx="38" formatCode="0.00%">
                  <c:v>2.7378701849396093E-2</c:v>
                </c:pt>
                <c:pt idx="39" formatCode="0.00%">
                  <c:v>2.960723570569369E-2</c:v>
                </c:pt>
                <c:pt idx="40" formatCode="0.00%">
                  <c:v>8.4216532033426189E-2</c:v>
                </c:pt>
              </c:numCache>
            </c:numRef>
          </c:val>
          <c:smooth val="0"/>
          <c:extLst>
            <c:ext xmlns:c16="http://schemas.microsoft.com/office/drawing/2014/chart" uri="{C3380CC4-5D6E-409C-BE32-E72D297353CC}">
              <c16:uniqueId val="{00000002-19DB-41DF-A972-C241D730C570}"/>
            </c:ext>
          </c:extLst>
        </c:ser>
        <c:dLbls>
          <c:showLegendKey val="0"/>
          <c:showVal val="0"/>
          <c:showCatName val="0"/>
          <c:showSerName val="0"/>
          <c:showPercent val="0"/>
          <c:showBubbleSize val="0"/>
        </c:dLbls>
        <c:marker val="1"/>
        <c:smooth val="0"/>
        <c:axId val="750701840"/>
        <c:axId val="750689360"/>
      </c:lineChart>
      <c:catAx>
        <c:axId val="1839106456"/>
        <c:scaling>
          <c:orientation val="minMax"/>
        </c:scaling>
        <c:delete val="0"/>
        <c:axPos val="b"/>
        <c:numFmt formatCode="General" sourceLinked="0"/>
        <c:majorTickMark val="none"/>
        <c:minorTickMark val="none"/>
        <c:tickLblPos val="nextTo"/>
        <c:txPr>
          <a:bodyPr rot="-5400000" vert="horz"/>
          <a:lstStyle/>
          <a:p>
            <a:pPr>
              <a:defRPr sz="1800"/>
            </a:pPr>
            <a:endParaRPr lang="en-US"/>
          </a:p>
        </c:txPr>
        <c:crossAx val="1839111368"/>
        <c:crosses val="autoZero"/>
        <c:auto val="1"/>
        <c:lblAlgn val="ctr"/>
        <c:lblOffset val="100"/>
        <c:tickLblSkip val="2"/>
        <c:noMultiLvlLbl val="0"/>
      </c:catAx>
      <c:valAx>
        <c:axId val="1839111368"/>
        <c:scaling>
          <c:orientation val="minMax"/>
          <c:max val="0.1"/>
          <c:min val="0"/>
        </c:scaling>
        <c:delete val="0"/>
        <c:axPos val="l"/>
        <c:majorGridlines>
          <c:spPr>
            <a:ln>
              <a:noFill/>
            </a:ln>
          </c:spPr>
        </c:majorGridlines>
        <c:title>
          <c:tx>
            <c:rich>
              <a:bodyPr/>
              <a:lstStyle/>
              <a:p>
                <a:pPr>
                  <a:defRPr sz="1800"/>
                </a:pPr>
                <a:r>
                  <a:rPr lang="en-US" sz="1800" b="0"/>
                  <a:t>% of corporate tax receipts</a:t>
                </a:r>
              </a:p>
            </c:rich>
          </c:tx>
          <c:layout>
            <c:manualLayout>
              <c:xMode val="edge"/>
              <c:yMode val="edge"/>
              <c:x val="2.1880678652844656E-5"/>
              <c:y val="0.29921005535384543"/>
            </c:manualLayout>
          </c:layout>
          <c:overlay val="0"/>
        </c:title>
        <c:numFmt formatCode="0%" sourceLinked="0"/>
        <c:majorTickMark val="none"/>
        <c:minorTickMark val="none"/>
        <c:tickLblPos val="nextTo"/>
        <c:txPr>
          <a:bodyPr/>
          <a:lstStyle/>
          <a:p>
            <a:pPr>
              <a:defRPr sz="1800"/>
            </a:pPr>
            <a:endParaRPr lang="en-US"/>
          </a:p>
        </c:txPr>
        <c:crossAx val="1839106456"/>
        <c:crosses val="autoZero"/>
        <c:crossBetween val="between"/>
        <c:majorUnit val="0.02"/>
      </c:valAx>
      <c:valAx>
        <c:axId val="750689360"/>
        <c:scaling>
          <c:orientation val="minMax"/>
          <c:min val="0"/>
        </c:scaling>
        <c:delete val="1"/>
        <c:axPos val="r"/>
        <c:numFmt formatCode="0%" sourceLinked="1"/>
        <c:majorTickMark val="none"/>
        <c:minorTickMark val="none"/>
        <c:tickLblPos val="nextTo"/>
        <c:crossAx val="750701840"/>
        <c:crosses val="max"/>
        <c:crossBetween val="between"/>
        <c:majorUnit val="1.0000000000000002E-2"/>
      </c:valAx>
      <c:catAx>
        <c:axId val="750701840"/>
        <c:scaling>
          <c:orientation val="minMax"/>
        </c:scaling>
        <c:delete val="1"/>
        <c:axPos val="b"/>
        <c:numFmt formatCode="General" sourceLinked="1"/>
        <c:majorTickMark val="out"/>
        <c:minorTickMark val="none"/>
        <c:tickLblPos val="nextTo"/>
        <c:crossAx val="750689360"/>
        <c:crosses val="autoZero"/>
        <c:auto val="1"/>
        <c:lblAlgn val="ctr"/>
        <c:lblOffset val="100"/>
        <c:noMultiLvlLbl val="0"/>
      </c:catAx>
    </c:plotArea>
    <c:plotVisOnly val="1"/>
    <c:dispBlanksAs val="gap"/>
    <c:showDLblsOverMax val="0"/>
  </c:chart>
  <c:spPr>
    <a:noFill/>
    <a:ln>
      <a:noFill/>
    </a:ln>
  </c:spPr>
  <c:txPr>
    <a:bodyPr/>
    <a:lstStyle/>
    <a:p>
      <a:pPr>
        <a:defRPr>
          <a:latin typeface="Garamond" panose="02020404030301010803" pitchFamily="18" charset="0"/>
        </a:defRPr>
      </a:pPr>
      <a:endParaRPr lang="en-US"/>
    </a:p>
  </c:txPr>
  <c:userShapes r:id="rId1"/>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a:pPr>
            <a:r>
              <a:rPr lang="en-GB" sz="2000"/>
              <a:t>Global corporate profits and foreign profits, 1975-2023 </a:t>
            </a:r>
          </a:p>
        </c:rich>
      </c:tx>
      <c:layout>
        <c:manualLayout>
          <c:xMode val="edge"/>
          <c:yMode val="edge"/>
          <c:x val="0.19974917016682603"/>
          <c:y val="7.9827364675649857E-4"/>
        </c:manualLayout>
      </c:layout>
      <c:overlay val="0"/>
    </c:title>
    <c:autoTitleDeleted val="0"/>
    <c:plotArea>
      <c:layout>
        <c:manualLayout>
          <c:layoutTarget val="inner"/>
          <c:xMode val="edge"/>
          <c:yMode val="edge"/>
          <c:x val="8.2658661856377394E-2"/>
          <c:y val="0.102088855081104"/>
          <c:w val="0.87977913816798403"/>
          <c:h val="0.774688462855186"/>
        </c:manualLayout>
      </c:layout>
      <c:lineChart>
        <c:grouping val="standard"/>
        <c:varyColors val="0"/>
        <c:ser>
          <c:idx val="0"/>
          <c:order val="0"/>
          <c:spPr>
            <a:ln w="19050">
              <a:solidFill>
                <a:schemeClr val="tx1"/>
              </a:solidFill>
            </a:ln>
          </c:spPr>
          <c:marker>
            <c:symbol val="none"/>
          </c:marker>
          <c:cat>
            <c:numRef>
              <c:f>'DataF3-F4'!$A$5:$A$52</c:f>
              <c:numCache>
                <c:formatCode>General</c:formatCode>
                <c:ptCount val="48"/>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numCache>
            </c:numRef>
          </c:cat>
          <c:val>
            <c:numRef>
              <c:f>'DataF3-F4'!$N$5:$N$53</c:f>
              <c:numCache>
                <c:formatCode>0.0%</c:formatCode>
                <c:ptCount val="49"/>
                <c:pt idx="0">
                  <c:v>0.10484980108448448</c:v>
                </c:pt>
                <c:pt idx="1">
                  <c:v>0.12492314010662385</c:v>
                </c:pt>
                <c:pt idx="2">
                  <c:v>0.10195230313951202</c:v>
                </c:pt>
                <c:pt idx="3">
                  <c:v>9.599742743782172E-2</c:v>
                </c:pt>
                <c:pt idx="4">
                  <c:v>0.12501162480711264</c:v>
                </c:pt>
                <c:pt idx="5">
                  <c:v>8.6820654258636998E-2</c:v>
                </c:pt>
                <c:pt idx="6">
                  <c:v>7.2314864028073467E-2</c:v>
                </c:pt>
                <c:pt idx="7">
                  <c:v>7.0281586386146871E-2</c:v>
                </c:pt>
                <c:pt idx="8">
                  <c:v>6.7733480901636028E-2</c:v>
                </c:pt>
                <c:pt idx="9">
                  <c:v>7.3082801754638355E-2</c:v>
                </c:pt>
                <c:pt idx="10">
                  <c:v>6.8328542151177743E-2</c:v>
                </c:pt>
                <c:pt idx="11">
                  <c:v>5.3487517646956244E-2</c:v>
                </c:pt>
                <c:pt idx="12">
                  <c:v>5.7212286088312178E-2</c:v>
                </c:pt>
                <c:pt idx="13">
                  <c:v>6.5435501327385265E-2</c:v>
                </c:pt>
                <c:pt idx="14">
                  <c:v>6.4058219183359077E-2</c:v>
                </c:pt>
                <c:pt idx="15">
                  <c:v>6.030383481426984E-2</c:v>
                </c:pt>
                <c:pt idx="16">
                  <c:v>5.0159501673905038E-2</c:v>
                </c:pt>
                <c:pt idx="17">
                  <c:v>4.9152355122695009E-2</c:v>
                </c:pt>
                <c:pt idx="18">
                  <c:v>5.2917165285375059E-2</c:v>
                </c:pt>
                <c:pt idx="19">
                  <c:v>6.0819383418671588E-2</c:v>
                </c:pt>
                <c:pt idx="20">
                  <c:v>6.3831050946817347E-2</c:v>
                </c:pt>
                <c:pt idx="21">
                  <c:v>7.6872308316524113E-2</c:v>
                </c:pt>
                <c:pt idx="22">
                  <c:v>7.972557465299146E-2</c:v>
                </c:pt>
                <c:pt idx="23">
                  <c:v>7.5207445690940428E-2</c:v>
                </c:pt>
                <c:pt idx="24">
                  <c:v>9.3509638528120331E-2</c:v>
                </c:pt>
                <c:pt idx="25">
                  <c:v>0.11095386949585015</c:v>
                </c:pt>
                <c:pt idx="26">
                  <c:v>9.7236325688500075E-2</c:v>
                </c:pt>
                <c:pt idx="27">
                  <c:v>9.5304856286947362E-2</c:v>
                </c:pt>
                <c:pt idx="28">
                  <c:v>0.11203597062509971</c:v>
                </c:pt>
                <c:pt idx="29">
                  <c:v>0.13515833198092395</c:v>
                </c:pt>
                <c:pt idx="30">
                  <c:v>0.16804526885737248</c:v>
                </c:pt>
                <c:pt idx="31">
                  <c:v>0.17702659660990916</c:v>
                </c:pt>
                <c:pt idx="32">
                  <c:v>0.18469156723594901</c:v>
                </c:pt>
                <c:pt idx="33">
                  <c:v>0.15696598756571872</c:v>
                </c:pt>
                <c:pt idx="34">
                  <c:v>0.15165126137797291</c:v>
                </c:pt>
                <c:pt idx="35">
                  <c:v>0.17252655581528192</c:v>
                </c:pt>
                <c:pt idx="36">
                  <c:v>0.17085267002963497</c:v>
                </c:pt>
                <c:pt idx="37">
                  <c:v>0.16044954180484067</c:v>
                </c:pt>
                <c:pt idx="38">
                  <c:v>0.1657615852262741</c:v>
                </c:pt>
                <c:pt idx="39">
                  <c:v>0.16700041866732573</c:v>
                </c:pt>
                <c:pt idx="40">
                  <c:v>0.14791394348737996</c:v>
                </c:pt>
                <c:pt idx="41">
                  <c:v>0.16196547449279897</c:v>
                </c:pt>
                <c:pt idx="42">
                  <c:v>0.16497401369064393</c:v>
                </c:pt>
                <c:pt idx="43">
                  <c:v>0.17381851544540661</c:v>
                </c:pt>
                <c:pt idx="44">
                  <c:v>0.17502152909060034</c:v>
                </c:pt>
                <c:pt idx="45">
                  <c:v>0.1533538601867816</c:v>
                </c:pt>
                <c:pt idx="46">
                  <c:v>0.18725528377185668</c:v>
                </c:pt>
                <c:pt idx="47">
                  <c:v>0.17822627231784011</c:v>
                </c:pt>
                <c:pt idx="48">
                  <c:v>0.17438403108261308</c:v>
                </c:pt>
              </c:numCache>
            </c:numRef>
          </c:val>
          <c:smooth val="0"/>
          <c:extLst>
            <c:ext xmlns:c16="http://schemas.microsoft.com/office/drawing/2014/chart" uri="{C3380CC4-5D6E-409C-BE32-E72D297353CC}">
              <c16:uniqueId val="{00000000-032C-47AB-9B63-27F67993570D}"/>
            </c:ext>
          </c:extLst>
        </c:ser>
        <c:ser>
          <c:idx val="1"/>
          <c:order val="1"/>
          <c:spPr>
            <a:ln>
              <a:solidFill>
                <a:schemeClr val="accent1"/>
              </a:solidFill>
            </a:ln>
          </c:spPr>
          <c:marker>
            <c:symbol val="none"/>
          </c:marker>
          <c:cat>
            <c:numRef>
              <c:f>'DataF3-F4'!$A$5:$A$52</c:f>
              <c:numCache>
                <c:formatCode>General</c:formatCode>
                <c:ptCount val="48"/>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numCache>
            </c:numRef>
          </c:cat>
          <c:val>
            <c:numRef>
              <c:f>'DataF3-F4'!$D$5:$D$53</c:f>
              <c:numCache>
                <c:formatCode>0.0%</c:formatCode>
                <c:ptCount val="49"/>
                <c:pt idx="0">
                  <c:v>0.14469578783151327</c:v>
                </c:pt>
                <c:pt idx="1">
                  <c:v>0.14388231072838178</c:v>
                </c:pt>
                <c:pt idx="2">
                  <c:v>0.14460317460317459</c:v>
                </c:pt>
                <c:pt idx="3">
                  <c:v>0.14482386286948307</c:v>
                </c:pt>
                <c:pt idx="4">
                  <c:v>0.14184397163120568</c:v>
                </c:pt>
                <c:pt idx="5">
                  <c:v>0.13892908827785819</c:v>
                </c:pt>
                <c:pt idx="6">
                  <c:v>0.14438394837668886</c:v>
                </c:pt>
                <c:pt idx="7">
                  <c:v>0.14518428018733456</c:v>
                </c:pt>
                <c:pt idx="8">
                  <c:v>0.15071222233290169</c:v>
                </c:pt>
                <c:pt idx="9">
                  <c:v>0.155589704187476</c:v>
                </c:pt>
                <c:pt idx="10">
                  <c:v>0.15784663193492368</c:v>
                </c:pt>
                <c:pt idx="11">
                  <c:v>0.15716272600834491</c:v>
                </c:pt>
                <c:pt idx="12">
                  <c:v>0.15836335213756542</c:v>
                </c:pt>
                <c:pt idx="13">
                  <c:v>0.16200947636982141</c:v>
                </c:pt>
                <c:pt idx="14">
                  <c:v>0.16322038806834638</c:v>
                </c:pt>
                <c:pt idx="15">
                  <c:v>0.15991339313331271</c:v>
                </c:pt>
                <c:pt idx="16">
                  <c:v>0.15645860741606976</c:v>
                </c:pt>
                <c:pt idx="17">
                  <c:v>0.1548105625717566</c:v>
                </c:pt>
                <c:pt idx="18">
                  <c:v>0.15602132080585418</c:v>
                </c:pt>
                <c:pt idx="19">
                  <c:v>0.16121426466254052</c:v>
                </c:pt>
                <c:pt idx="20">
                  <c:v>0.1635205822151467</c:v>
                </c:pt>
                <c:pt idx="21">
                  <c:v>0.16610987379361544</c:v>
                </c:pt>
                <c:pt idx="22">
                  <c:v>0.1690655529867999</c:v>
                </c:pt>
                <c:pt idx="23">
                  <c:v>0.16770209580838324</c:v>
                </c:pt>
                <c:pt idx="24">
                  <c:v>0.16602274778840945</c:v>
                </c:pt>
                <c:pt idx="25">
                  <c:v>0.16173176536469272</c:v>
                </c:pt>
                <c:pt idx="26">
                  <c:v>0.1609742342532868</c:v>
                </c:pt>
                <c:pt idx="27">
                  <c:v>0.16563604240282687</c:v>
                </c:pt>
                <c:pt idx="28">
                  <c:v>0.17028041911452971</c:v>
                </c:pt>
                <c:pt idx="29">
                  <c:v>0.17743628387652394</c:v>
                </c:pt>
                <c:pt idx="30">
                  <c:v>0.18058769376228509</c:v>
                </c:pt>
                <c:pt idx="31">
                  <c:v>0.18360587870006209</c:v>
                </c:pt>
                <c:pt idx="32">
                  <c:v>0.18349205051702294</c:v>
                </c:pt>
                <c:pt idx="33">
                  <c:v>0.18055685060515078</c:v>
                </c:pt>
                <c:pt idx="34">
                  <c:v>0.17854611325509964</c:v>
                </c:pt>
                <c:pt idx="35">
                  <c:v>0.18674428214664296</c:v>
                </c:pt>
                <c:pt idx="36">
                  <c:v>0.18506173039271209</c:v>
                </c:pt>
                <c:pt idx="37">
                  <c:v>0.18148518148518147</c:v>
                </c:pt>
                <c:pt idx="38">
                  <c:v>0.1818139728691143</c:v>
                </c:pt>
                <c:pt idx="39">
                  <c:v>0.18215372563198651</c:v>
                </c:pt>
                <c:pt idx="40">
                  <c:v>0.18249100619661168</c:v>
                </c:pt>
                <c:pt idx="41">
                  <c:v>0.19020915152422654</c:v>
                </c:pt>
                <c:pt idx="42">
                  <c:v>0.19092494595303139</c:v>
                </c:pt>
                <c:pt idx="43">
                  <c:v>0.1913178635575141</c:v>
                </c:pt>
                <c:pt idx="44">
                  <c:v>0.1901565741922589</c:v>
                </c:pt>
                <c:pt idx="45">
                  <c:v>0.18188792580730265</c:v>
                </c:pt>
                <c:pt idx="46">
                  <c:v>0.1955750497043113</c:v>
                </c:pt>
                <c:pt idx="47">
                  <c:v>0.20024058361340019</c:v>
                </c:pt>
                <c:pt idx="48">
                  <c:v>0.19660199845276025</c:v>
                </c:pt>
              </c:numCache>
            </c:numRef>
          </c:val>
          <c:smooth val="0"/>
          <c:extLst>
            <c:ext xmlns:c16="http://schemas.microsoft.com/office/drawing/2014/chart" uri="{C3380CC4-5D6E-409C-BE32-E72D297353CC}">
              <c16:uniqueId val="{00000001-032C-47AB-9B63-27F67993570D}"/>
            </c:ext>
          </c:extLst>
        </c:ser>
        <c:dLbls>
          <c:showLegendKey val="0"/>
          <c:showVal val="0"/>
          <c:showCatName val="0"/>
          <c:showSerName val="0"/>
          <c:showPercent val="0"/>
          <c:showBubbleSize val="0"/>
        </c:dLbls>
        <c:smooth val="0"/>
        <c:axId val="1839106456"/>
        <c:axId val="1839111368"/>
        <c:extLst/>
      </c:lineChart>
      <c:catAx>
        <c:axId val="1839106456"/>
        <c:scaling>
          <c:orientation val="minMax"/>
        </c:scaling>
        <c:delete val="0"/>
        <c:axPos val="b"/>
        <c:numFmt formatCode="General" sourceLinked="0"/>
        <c:majorTickMark val="none"/>
        <c:minorTickMark val="none"/>
        <c:tickLblPos val="nextTo"/>
        <c:txPr>
          <a:bodyPr/>
          <a:lstStyle/>
          <a:p>
            <a:pPr>
              <a:defRPr sz="1800"/>
            </a:pPr>
            <a:endParaRPr lang="en-US"/>
          </a:p>
        </c:txPr>
        <c:crossAx val="1839111368"/>
        <c:crosses val="autoZero"/>
        <c:auto val="1"/>
        <c:lblAlgn val="ctr"/>
        <c:lblOffset val="100"/>
        <c:tickLblSkip val="5"/>
        <c:noMultiLvlLbl val="0"/>
      </c:catAx>
      <c:valAx>
        <c:axId val="1839111368"/>
        <c:scaling>
          <c:orientation val="minMax"/>
          <c:max val="0.22"/>
          <c:min val="0"/>
        </c:scaling>
        <c:delete val="0"/>
        <c:axPos val="l"/>
        <c:majorGridlines>
          <c:spPr>
            <a:ln>
              <a:noFill/>
            </a:ln>
          </c:spPr>
        </c:majorGridlines>
        <c:numFmt formatCode="0%" sourceLinked="0"/>
        <c:majorTickMark val="none"/>
        <c:minorTickMark val="none"/>
        <c:tickLblPos val="nextTo"/>
        <c:txPr>
          <a:bodyPr/>
          <a:lstStyle/>
          <a:p>
            <a:pPr>
              <a:defRPr sz="1800"/>
            </a:pPr>
            <a:endParaRPr lang="en-US"/>
          </a:p>
        </c:txPr>
        <c:crossAx val="1839106456"/>
        <c:crosses val="autoZero"/>
        <c:crossBetween val="between"/>
        <c:majorUnit val="0.05"/>
      </c:valAx>
      <c:spPr>
        <a:noFill/>
        <a:ln>
          <a:noFill/>
        </a:ln>
      </c:spPr>
    </c:plotArea>
    <c:plotVisOnly val="1"/>
    <c:dispBlanksAs val="gap"/>
    <c:showDLblsOverMax val="0"/>
  </c:chart>
  <c:spPr>
    <a:noFill/>
    <a:ln>
      <a:noFill/>
    </a:ln>
  </c:spPr>
  <c:txPr>
    <a:bodyPr/>
    <a:lstStyle/>
    <a:p>
      <a:pPr>
        <a:defRPr>
          <a:latin typeface="Garamond" panose="02020404030301010803" pitchFamily="18" charset="0"/>
        </a:defRPr>
      </a:pPr>
      <a:endParaRPr lang="en-US"/>
    </a:p>
  </c:txPr>
  <c:userShapes r:id="rId1"/>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2200"/>
              <a:t>Foreign post-tax profits (%</a:t>
            </a:r>
            <a:r>
              <a:rPr lang="en-GB" sz="2200" baseline="0"/>
              <a:t> of </a:t>
            </a:r>
            <a:r>
              <a:rPr lang="en-GB" sz="2200"/>
              <a:t>global post-tax profits)</a:t>
            </a:r>
          </a:p>
        </c:rich>
      </c:tx>
      <c:layout>
        <c:manualLayout>
          <c:xMode val="edge"/>
          <c:yMode val="edge"/>
          <c:x val="0.21993460680313201"/>
          <c:y val="4.16917513873817E-3"/>
        </c:manualLayout>
      </c:layout>
      <c:overlay val="0"/>
    </c:title>
    <c:autoTitleDeleted val="0"/>
    <c:plotArea>
      <c:layout>
        <c:manualLayout>
          <c:layoutTarget val="inner"/>
          <c:xMode val="edge"/>
          <c:yMode val="edge"/>
          <c:x val="7.30193759909704E-2"/>
          <c:y val="0.102088855081104"/>
          <c:w val="0.91935481242614503"/>
          <c:h val="0.774688462855186"/>
        </c:manualLayout>
      </c:layout>
      <c:lineChart>
        <c:grouping val="standard"/>
        <c:varyColors val="0"/>
        <c:ser>
          <c:idx val="0"/>
          <c:order val="0"/>
          <c:tx>
            <c:strRef>
              <c:f>DataFigS4!$C$5</c:f>
              <c:strCache>
                <c:ptCount val="1"/>
                <c:pt idx="0">
                  <c:v>Pre-tax</c:v>
                </c:pt>
              </c:strCache>
            </c:strRef>
          </c:tx>
          <c:marker>
            <c:symbol val="circle"/>
            <c:size val="10"/>
            <c:spPr>
              <a:solidFill>
                <a:schemeClr val="bg1"/>
              </a:solidFill>
              <a:ln w="19050">
                <a:solidFill>
                  <a:schemeClr val="tx1"/>
                </a:solidFill>
              </a:ln>
            </c:spPr>
          </c:marker>
          <c:cat>
            <c:strRef>
              <c:f>DataFigS4!$B$6:$B$15</c:f>
              <c:strCache>
                <c:ptCount val="10"/>
                <c:pt idx="0">
                  <c:v>1930-39</c:v>
                </c:pt>
                <c:pt idx="1">
                  <c:v>1940-49</c:v>
                </c:pt>
                <c:pt idx="2">
                  <c:v>1950-59</c:v>
                </c:pt>
                <c:pt idx="3">
                  <c:v>1960-69</c:v>
                </c:pt>
                <c:pt idx="4">
                  <c:v>1970-79</c:v>
                </c:pt>
                <c:pt idx="5">
                  <c:v>1980-89</c:v>
                </c:pt>
                <c:pt idx="6">
                  <c:v>1990-99</c:v>
                </c:pt>
                <c:pt idx="7">
                  <c:v>2000-09</c:v>
                </c:pt>
                <c:pt idx="8">
                  <c:v>2010-19</c:v>
                </c:pt>
                <c:pt idx="9">
                  <c:v>2020-22</c:v>
                </c:pt>
              </c:strCache>
            </c:strRef>
          </c:cat>
          <c:val>
            <c:numRef>
              <c:f>DataFigS4!$D$6:$D$15</c:f>
              <c:numCache>
                <c:formatCode>0%</c:formatCode>
                <c:ptCount val="10"/>
                <c:pt idx="0">
                  <c:v>0</c:v>
                </c:pt>
                <c:pt idx="1">
                  <c:v>0</c:v>
                </c:pt>
                <c:pt idx="2">
                  <c:v>0</c:v>
                </c:pt>
                <c:pt idx="3">
                  <c:v>0</c:v>
                </c:pt>
                <c:pt idx="4">
                  <c:v>5.2936853501580505E-2</c:v>
                </c:pt>
                <c:pt idx="5">
                  <c:v>5.1026609927658659E-2</c:v>
                </c:pt>
                <c:pt idx="6">
                  <c:v>5.9142194330966277E-2</c:v>
                </c:pt>
                <c:pt idx="7">
                  <c:v>0.12750459452658913</c:v>
                </c:pt>
                <c:pt idx="8">
                  <c:v>0.16367318598524433</c:v>
                </c:pt>
                <c:pt idx="9">
                  <c:v>0.17872826752995993</c:v>
                </c:pt>
              </c:numCache>
            </c:numRef>
          </c:val>
          <c:smooth val="0"/>
          <c:extLst>
            <c:ext xmlns:c16="http://schemas.microsoft.com/office/drawing/2014/chart" uri="{C3380CC4-5D6E-409C-BE32-E72D297353CC}">
              <c16:uniqueId val="{00000000-B9B1-43CD-9752-090A025620F0}"/>
            </c:ext>
          </c:extLst>
        </c:ser>
        <c:dLbls>
          <c:showLegendKey val="0"/>
          <c:showVal val="0"/>
          <c:showCatName val="0"/>
          <c:showSerName val="0"/>
          <c:showPercent val="0"/>
          <c:showBubbleSize val="0"/>
        </c:dLbls>
        <c:marker val="1"/>
        <c:smooth val="0"/>
        <c:axId val="1839106456"/>
        <c:axId val="1839111368"/>
      </c:lineChart>
      <c:catAx>
        <c:axId val="1839106456"/>
        <c:scaling>
          <c:orientation val="minMax"/>
        </c:scaling>
        <c:delete val="0"/>
        <c:axPos val="b"/>
        <c:numFmt formatCode="General" sourceLinked="0"/>
        <c:majorTickMark val="none"/>
        <c:minorTickMark val="none"/>
        <c:tickLblPos val="nextTo"/>
        <c:txPr>
          <a:bodyPr/>
          <a:lstStyle/>
          <a:p>
            <a:pPr>
              <a:defRPr sz="1800"/>
            </a:pPr>
            <a:endParaRPr lang="en-US"/>
          </a:p>
        </c:txPr>
        <c:crossAx val="1839111368"/>
        <c:crosses val="autoZero"/>
        <c:auto val="1"/>
        <c:lblAlgn val="ctr"/>
        <c:lblOffset val="100"/>
        <c:noMultiLvlLbl val="0"/>
      </c:catAx>
      <c:valAx>
        <c:axId val="1839111368"/>
        <c:scaling>
          <c:orientation val="minMax"/>
          <c:min val="0"/>
        </c:scaling>
        <c:delete val="0"/>
        <c:axPos val="l"/>
        <c:majorGridlines>
          <c:spPr>
            <a:ln>
              <a:noFill/>
            </a:ln>
          </c:spPr>
        </c:majorGridlines>
        <c:numFmt formatCode="0%" sourceLinked="0"/>
        <c:majorTickMark val="none"/>
        <c:minorTickMark val="none"/>
        <c:tickLblPos val="nextTo"/>
        <c:txPr>
          <a:bodyPr/>
          <a:lstStyle/>
          <a:p>
            <a:pPr>
              <a:defRPr sz="1800"/>
            </a:pPr>
            <a:endParaRPr lang="en-US"/>
          </a:p>
        </c:txPr>
        <c:crossAx val="1839106456"/>
        <c:crosses val="autoZero"/>
        <c:crossBetween val="between"/>
        <c:majorUnit val="0.02"/>
      </c:valAx>
    </c:plotArea>
    <c:plotVisOnly val="1"/>
    <c:dispBlanksAs val="gap"/>
    <c:showDLblsOverMax val="0"/>
  </c:chart>
  <c:spPr>
    <a:noFill/>
    <a:ln>
      <a:noFill/>
    </a:ln>
  </c:spPr>
  <c:txPr>
    <a:bodyPr/>
    <a:lstStyle/>
    <a:p>
      <a:pPr>
        <a:defRPr>
          <a:latin typeface="Garamond" panose="02020404030301010803" pitchFamily="18" charset="0"/>
        </a:defRPr>
      </a:pPr>
      <a:endParaRPr lang="en-US"/>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200" b="0"/>
            </a:pPr>
            <a:r>
              <a:rPr lang="en-US" sz="2200" b="1"/>
              <a:t>Pre-tax</a:t>
            </a:r>
            <a:r>
              <a:rPr lang="en-US" sz="2200" b="1" baseline="0"/>
              <a:t> </a:t>
            </a:r>
            <a:r>
              <a:rPr lang="en-US" sz="2200" b="1"/>
              <a:t>corporate</a:t>
            </a:r>
            <a:r>
              <a:rPr lang="en-US" sz="2200" b="1" baseline="0"/>
              <a:t> profits (2023)                                                         </a:t>
            </a:r>
          </a:p>
          <a:p>
            <a:pPr>
              <a:defRPr sz="2200" b="0"/>
            </a:pPr>
            <a:r>
              <a:rPr lang="en-US" sz="2200" b="1" baseline="0"/>
              <a:t>   </a:t>
            </a:r>
            <a:r>
              <a:rPr lang="en-US" sz="2200" b="0" baseline="0"/>
              <a:t>(% of compensation of employees)</a:t>
            </a:r>
            <a:endParaRPr lang="en-US" sz="2200" b="0"/>
          </a:p>
        </c:rich>
      </c:tx>
      <c:layout>
        <c:manualLayout>
          <c:xMode val="edge"/>
          <c:yMode val="edge"/>
          <c:x val="0.33005346155500997"/>
          <c:y val="4.15774388034132E-3"/>
        </c:manualLayout>
      </c:layout>
      <c:overlay val="1"/>
    </c:title>
    <c:autoTitleDeleted val="0"/>
    <c:plotArea>
      <c:layout>
        <c:manualLayout>
          <c:layoutTarget val="inner"/>
          <c:xMode val="edge"/>
          <c:yMode val="edge"/>
          <c:x val="0.102983885032014"/>
          <c:y val="9.0193435851866496E-2"/>
          <c:w val="0.89564993372055801"/>
          <c:h val="0.66588903897473062"/>
        </c:manualLayout>
      </c:layout>
      <c:barChart>
        <c:barDir val="col"/>
        <c:grouping val="clustered"/>
        <c:varyColors val="0"/>
        <c:ser>
          <c:idx val="2"/>
          <c:order val="0"/>
          <c:tx>
            <c:v>Foreign firms</c:v>
          </c:tx>
          <c:spPr>
            <a:solidFill>
              <a:srgbClr val="EAA192"/>
            </a:solidFill>
          </c:spPr>
          <c:invertIfNegative val="0"/>
          <c:cat>
            <c:strRef>
              <c:f>DataF1!$G$3:$G$17</c:f>
              <c:strCache>
                <c:ptCount val="15"/>
                <c:pt idx="0">
                  <c:v>Puerto Rico</c:v>
                </c:pt>
                <c:pt idx="1">
                  <c:v>Ireland</c:v>
                </c:pt>
                <c:pt idx="2">
                  <c:v>Luxembourg</c:v>
                </c:pt>
                <c:pt idx="3">
                  <c:v>Singapore</c:v>
                </c:pt>
                <c:pt idx="4">
                  <c:v>Hong Kong</c:v>
                </c:pt>
                <c:pt idx="5">
                  <c:v>Netherlands</c:v>
                </c:pt>
                <c:pt idx="6">
                  <c:v>Switzerland</c:v>
                </c:pt>
                <c:pt idx="7">
                  <c:v>Belgium</c:v>
                </c:pt>
                <c:pt idx="8">
                  <c:v>Australia</c:v>
                </c:pt>
                <c:pt idx="9">
                  <c:v>United States</c:v>
                </c:pt>
                <c:pt idx="10">
                  <c:v>France</c:v>
                </c:pt>
                <c:pt idx="11">
                  <c:v>United Kingdom</c:v>
                </c:pt>
                <c:pt idx="12">
                  <c:v>Spain</c:v>
                </c:pt>
                <c:pt idx="13">
                  <c:v>Italy</c:v>
                </c:pt>
                <c:pt idx="14">
                  <c:v>Germany</c:v>
                </c:pt>
              </c:strCache>
            </c:strRef>
          </c:cat>
          <c:val>
            <c:numRef>
              <c:f>DataF1!$I$3:$I$17</c:f>
              <c:numCache>
                <c:formatCode>0%</c:formatCode>
                <c:ptCount val="15"/>
                <c:pt idx="0">
                  <c:v>14.745115280151367</c:v>
                </c:pt>
                <c:pt idx="1">
                  <c:v>6.6655206680297852</c:v>
                </c:pt>
                <c:pt idx="2">
                  <c:v>5.7087173461914062</c:v>
                </c:pt>
                <c:pt idx="3">
                  <c:v>3.1629881858825684</c:v>
                </c:pt>
                <c:pt idx="4">
                  <c:v>3.0346629619598389</c:v>
                </c:pt>
                <c:pt idx="5">
                  <c:v>2.0186409950256348</c:v>
                </c:pt>
                <c:pt idx="6">
                  <c:v>2.0111763477325439</c:v>
                </c:pt>
                <c:pt idx="7">
                  <c:v>0.87842172384262085</c:v>
                </c:pt>
                <c:pt idx="8">
                  <c:v>0.73481583595275879</c:v>
                </c:pt>
                <c:pt idx="9">
                  <c:v>0.45955154299736023</c:v>
                </c:pt>
                <c:pt idx="10">
                  <c:v>0.42066633701324463</c:v>
                </c:pt>
                <c:pt idx="11">
                  <c:v>0.33046984672546387</c:v>
                </c:pt>
                <c:pt idx="12">
                  <c:v>0.28150844573974609</c:v>
                </c:pt>
                <c:pt idx="13">
                  <c:v>0.18602465093135834</c:v>
                </c:pt>
                <c:pt idx="14">
                  <c:v>8.2017242908477783E-2</c:v>
                </c:pt>
              </c:numCache>
            </c:numRef>
          </c:val>
          <c:extLst>
            <c:ext xmlns:c16="http://schemas.microsoft.com/office/drawing/2014/chart" uri="{C3380CC4-5D6E-409C-BE32-E72D297353CC}">
              <c16:uniqueId val="{00000011-9A99-4C67-BE1A-36B657F58AFE}"/>
            </c:ext>
          </c:extLst>
        </c:ser>
        <c:ser>
          <c:idx val="0"/>
          <c:order val="1"/>
          <c:tx>
            <c:v>Local firms</c:v>
          </c:tx>
          <c:spPr>
            <a:solidFill>
              <a:schemeClr val="tx1"/>
            </a:solidFill>
          </c:spPr>
          <c:invertIfNegative val="0"/>
          <c:cat>
            <c:strRef>
              <c:f>DataF1!$G$3:$G$17</c:f>
              <c:strCache>
                <c:ptCount val="15"/>
                <c:pt idx="0">
                  <c:v>Puerto Rico</c:v>
                </c:pt>
                <c:pt idx="1">
                  <c:v>Ireland</c:v>
                </c:pt>
                <c:pt idx="2">
                  <c:v>Luxembourg</c:v>
                </c:pt>
                <c:pt idx="3">
                  <c:v>Singapore</c:v>
                </c:pt>
                <c:pt idx="4">
                  <c:v>Hong Kong</c:v>
                </c:pt>
                <c:pt idx="5">
                  <c:v>Netherlands</c:v>
                </c:pt>
                <c:pt idx="6">
                  <c:v>Switzerland</c:v>
                </c:pt>
                <c:pt idx="7">
                  <c:v>Belgium</c:v>
                </c:pt>
                <c:pt idx="8">
                  <c:v>Australia</c:v>
                </c:pt>
                <c:pt idx="9">
                  <c:v>United States</c:v>
                </c:pt>
                <c:pt idx="10">
                  <c:v>France</c:v>
                </c:pt>
                <c:pt idx="11">
                  <c:v>United Kingdom</c:v>
                </c:pt>
                <c:pt idx="12">
                  <c:v>Spain</c:v>
                </c:pt>
                <c:pt idx="13">
                  <c:v>Italy</c:v>
                </c:pt>
                <c:pt idx="14">
                  <c:v>Germany</c:v>
                </c:pt>
              </c:strCache>
            </c:strRef>
          </c:cat>
          <c:val>
            <c:numRef>
              <c:f>DataF1!$H$3:$H$17</c:f>
              <c:numCache>
                <c:formatCode>0%</c:formatCode>
                <c:ptCount val="15"/>
                <c:pt idx="0">
                  <c:v>0.49546158313751221</c:v>
                </c:pt>
                <c:pt idx="1">
                  <c:v>0.70660412311553955</c:v>
                </c:pt>
                <c:pt idx="2">
                  <c:v>-6.7121095955371857E-2</c:v>
                </c:pt>
                <c:pt idx="3">
                  <c:v>0.49546158313751221</c:v>
                </c:pt>
                <c:pt idx="4">
                  <c:v>0.49546158313751221</c:v>
                </c:pt>
                <c:pt idx="5">
                  <c:v>0.38709536194801331</c:v>
                </c:pt>
                <c:pt idx="6">
                  <c:v>-2.9831655323505402E-2</c:v>
                </c:pt>
                <c:pt idx="7">
                  <c:v>0.26076745986938477</c:v>
                </c:pt>
                <c:pt idx="8">
                  <c:v>1.0335067510604858</c:v>
                </c:pt>
                <c:pt idx="9">
                  <c:v>0.33218008279800415</c:v>
                </c:pt>
                <c:pt idx="10">
                  <c:v>0.14355485141277313</c:v>
                </c:pt>
                <c:pt idx="11">
                  <c:v>0.35812658071517944</c:v>
                </c:pt>
                <c:pt idx="12">
                  <c:v>0.39120540022850037</c:v>
                </c:pt>
                <c:pt idx="13">
                  <c:v>0.64340311288833618</c:v>
                </c:pt>
                <c:pt idx="14">
                  <c:v>0.40578356385231018</c:v>
                </c:pt>
              </c:numCache>
            </c:numRef>
          </c:val>
          <c:extLst>
            <c:ext xmlns:c16="http://schemas.microsoft.com/office/drawing/2014/chart" uri="{C3380CC4-5D6E-409C-BE32-E72D297353CC}">
              <c16:uniqueId val="{00000010-9A99-4C67-BE1A-36B657F58AFE}"/>
            </c:ext>
          </c:extLst>
        </c:ser>
        <c:dLbls>
          <c:showLegendKey val="0"/>
          <c:showVal val="0"/>
          <c:showCatName val="0"/>
          <c:showSerName val="0"/>
          <c:showPercent val="0"/>
          <c:showBubbleSize val="0"/>
        </c:dLbls>
        <c:gapWidth val="150"/>
        <c:axId val="-2139123768"/>
        <c:axId val="-2139120696"/>
      </c:barChart>
      <c:catAx>
        <c:axId val="-2139123768"/>
        <c:scaling>
          <c:orientation val="minMax"/>
        </c:scaling>
        <c:delete val="0"/>
        <c:axPos val="b"/>
        <c:numFmt formatCode="General" sourceLinked="1"/>
        <c:majorTickMark val="none"/>
        <c:minorTickMark val="none"/>
        <c:tickLblPos val="nextTo"/>
        <c:txPr>
          <a:bodyPr rot="-2700000" vert="horz"/>
          <a:lstStyle/>
          <a:p>
            <a:pPr>
              <a:defRPr sz="1800"/>
            </a:pPr>
            <a:endParaRPr lang="en-US"/>
          </a:p>
        </c:txPr>
        <c:crossAx val="-2139120696"/>
        <c:crosses val="autoZero"/>
        <c:auto val="1"/>
        <c:lblAlgn val="ctr"/>
        <c:lblOffset val="100"/>
        <c:noMultiLvlLbl val="0"/>
      </c:catAx>
      <c:valAx>
        <c:axId val="-2139120696"/>
        <c:scaling>
          <c:orientation val="minMax"/>
          <c:max val="8.5"/>
          <c:min val="0"/>
        </c:scaling>
        <c:delete val="0"/>
        <c:axPos val="l"/>
        <c:majorGridlines>
          <c:spPr>
            <a:ln>
              <a:noFill/>
            </a:ln>
          </c:spPr>
        </c:majorGridlines>
        <c:numFmt formatCode="0%" sourceLinked="0"/>
        <c:majorTickMark val="none"/>
        <c:minorTickMark val="none"/>
        <c:tickLblPos val="nextTo"/>
        <c:txPr>
          <a:bodyPr/>
          <a:lstStyle/>
          <a:p>
            <a:pPr>
              <a:defRPr sz="1800"/>
            </a:pPr>
            <a:endParaRPr lang="en-US"/>
          </a:p>
        </c:txPr>
        <c:crossAx val="-2139123768"/>
        <c:crosses val="autoZero"/>
        <c:crossBetween val="between"/>
        <c:majorUnit val="2"/>
        <c:minorUnit val="0.1"/>
      </c:valAx>
    </c:plotArea>
    <c:legend>
      <c:legendPos val="r"/>
      <c:layout>
        <c:manualLayout>
          <c:xMode val="edge"/>
          <c:yMode val="edge"/>
          <c:x val="0.68168454281061064"/>
          <c:y val="0.43159793766051824"/>
          <c:w val="0.20341864436594617"/>
          <c:h val="0.16398879021569401"/>
        </c:manualLayout>
      </c:layout>
      <c:overlay val="0"/>
      <c:txPr>
        <a:bodyPr/>
        <a:lstStyle/>
        <a:p>
          <a:pPr>
            <a:defRPr sz="1800"/>
          </a:pPr>
          <a:endParaRPr lang="en-US"/>
        </a:p>
      </c:txPr>
    </c:legend>
    <c:plotVisOnly val="1"/>
    <c:dispBlanksAs val="gap"/>
    <c:showDLblsOverMax val="0"/>
  </c:chart>
  <c:spPr>
    <a:ln>
      <a:noFill/>
    </a:ln>
  </c:spPr>
  <c:txPr>
    <a:bodyPr/>
    <a:lstStyle/>
    <a:p>
      <a:pPr>
        <a:defRPr>
          <a:latin typeface="Garamond" panose="02020404030301010803" pitchFamily="18" charset="0"/>
        </a:defRPr>
      </a:pPr>
      <a:endParaRPr lang="en-US"/>
    </a:p>
  </c:txPr>
  <c:userShapes r:id="rId1"/>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val>
            <c:numRef>
              <c:f>GlobalDIEquityIncome!$B$228:$AW$228</c:f>
              <c:numCache>
                <c:formatCode>0%</c:formatCode>
                <c:ptCount val="48"/>
                <c:pt idx="0">
                  <c:v>5.0078018023774463E-2</c:v>
                </c:pt>
                <c:pt idx="1">
                  <c:v>5.803361986934423E-2</c:v>
                </c:pt>
                <c:pt idx="2">
                  <c:v>5.9066639768097014E-2</c:v>
                </c:pt>
                <c:pt idx="3">
                  <c:v>4.3235443129478683E-2</c:v>
                </c:pt>
                <c:pt idx="4">
                  <c:v>7.4609132793113306E-2</c:v>
                </c:pt>
                <c:pt idx="5">
                  <c:v>6.5090001736766809E-2</c:v>
                </c:pt>
                <c:pt idx="6">
                  <c:v>5.2621719671671077E-2</c:v>
                </c:pt>
                <c:pt idx="7">
                  <c:v>4.9549503378388891E-2</c:v>
                </c:pt>
                <c:pt idx="8">
                  <c:v>6.0130977448777129E-2</c:v>
                </c:pt>
                <c:pt idx="9">
                  <c:v>6.1631299065738568E-2</c:v>
                </c:pt>
                <c:pt idx="10">
                  <c:v>2.7898289240706226E-2</c:v>
                </c:pt>
                <c:pt idx="11">
                  <c:v>5.2179058998400363E-2</c:v>
                </c:pt>
                <c:pt idx="12">
                  <c:v>4.9970165874791285E-2</c:v>
                </c:pt>
                <c:pt idx="13">
                  <c:v>4.6795277432252744E-2</c:v>
                </c:pt>
                <c:pt idx="14">
                  <c:v>6.2755283005199516E-2</c:v>
                </c:pt>
                <c:pt idx="15">
                  <c:v>4.1530353090380417E-2</c:v>
                </c:pt>
                <c:pt idx="16">
                  <c:v>5.2216174066352615E-2</c:v>
                </c:pt>
                <c:pt idx="17">
                  <c:v>5.4338598043585429E-2</c:v>
                </c:pt>
                <c:pt idx="18">
                  <c:v>5.3463752596799523E-2</c:v>
                </c:pt>
                <c:pt idx="19">
                  <c:v>5.6879216153519756E-2</c:v>
                </c:pt>
                <c:pt idx="20">
                  <c:v>6.5907953541963701E-2</c:v>
                </c:pt>
                <c:pt idx="21">
                  <c:v>5.3946468311826437E-2</c:v>
                </c:pt>
                <c:pt idx="22">
                  <c:v>5.8661890588268241E-2</c:v>
                </c:pt>
                <c:pt idx="23">
                  <c:v>9.7578842242768069E-2</c:v>
                </c:pt>
                <c:pt idx="24">
                  <c:v>0.10209885491150783</c:v>
                </c:pt>
                <c:pt idx="25">
                  <c:v>0.10006896094744869</c:v>
                </c:pt>
                <c:pt idx="26">
                  <c:v>0.11449250634017984</c:v>
                </c:pt>
                <c:pt idx="27">
                  <c:v>0.1429538369211191</c:v>
                </c:pt>
                <c:pt idx="28">
                  <c:v>0.12690534408440876</c:v>
                </c:pt>
                <c:pt idx="29">
                  <c:v>0.1829691579083276</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numCache>
            </c:numRef>
          </c:val>
          <c:smooth val="0"/>
          <c:extLst>
            <c:ext xmlns:c16="http://schemas.microsoft.com/office/drawing/2014/chart" uri="{C3380CC4-5D6E-409C-BE32-E72D297353CC}">
              <c16:uniqueId val="{00000000-F762-9942-A900-742E167679BE}"/>
            </c:ext>
          </c:extLst>
        </c:ser>
        <c:dLbls>
          <c:showLegendKey val="0"/>
          <c:showVal val="0"/>
          <c:showCatName val="0"/>
          <c:showSerName val="0"/>
          <c:showPercent val="0"/>
          <c:showBubbleSize val="0"/>
        </c:dLbls>
        <c:smooth val="0"/>
        <c:axId val="419605184"/>
        <c:axId val="419606912"/>
      </c:lineChart>
      <c:catAx>
        <c:axId val="419605184"/>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9606912"/>
        <c:crosses val="autoZero"/>
        <c:auto val="1"/>
        <c:lblAlgn val="ctr"/>
        <c:lblOffset val="100"/>
        <c:noMultiLvlLbl val="0"/>
      </c:catAx>
      <c:valAx>
        <c:axId val="4196069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960518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200" b="0"/>
            </a:pPr>
            <a:r>
              <a:rPr lang="en-US" sz="2200" b="1" baseline="0"/>
              <a:t>Corporate tax revenue lost</a:t>
            </a:r>
          </a:p>
          <a:p>
            <a:pPr>
              <a:defRPr sz="2200" b="0"/>
            </a:pPr>
            <a:r>
              <a:rPr lang="en-US" sz="2200" b="0" baseline="0"/>
              <a:t>(% of corporate tax revenue collected)</a:t>
            </a:r>
            <a:endParaRPr lang="en-US" sz="2200" b="0"/>
          </a:p>
        </c:rich>
      </c:tx>
      <c:layout>
        <c:manualLayout>
          <c:xMode val="edge"/>
          <c:yMode val="edge"/>
          <c:x val="0.28145276046333811"/>
          <c:y val="1.857609681345925E-4"/>
        </c:manualLayout>
      </c:layout>
      <c:overlay val="1"/>
    </c:title>
    <c:autoTitleDeleted val="0"/>
    <c:plotArea>
      <c:layout>
        <c:manualLayout>
          <c:layoutTarget val="inner"/>
          <c:xMode val="edge"/>
          <c:yMode val="edge"/>
          <c:x val="0.102983885032014"/>
          <c:y val="2.1174037022454972E-2"/>
          <c:w val="0.89564993372055801"/>
          <c:h val="0.77735464173759228"/>
        </c:manualLayout>
      </c:layout>
      <c:barChart>
        <c:barDir val="col"/>
        <c:grouping val="clustered"/>
        <c:varyColors val="0"/>
        <c:ser>
          <c:idx val="0"/>
          <c:order val="0"/>
          <c:tx>
            <c:v>2015 (Average = 8.4%)</c:v>
          </c:tx>
          <c:spPr>
            <a:solidFill>
              <a:schemeClr val="tx1"/>
            </a:solidFill>
          </c:spPr>
          <c:invertIfNegative val="0"/>
          <c:cat>
            <c:strRef>
              <c:f>DataF2!$B$4:$B$20</c:f>
              <c:strCache>
                <c:ptCount val="17"/>
                <c:pt idx="0">
                  <c:v>Germany</c:v>
                </c:pt>
                <c:pt idx="1">
                  <c:v>France</c:v>
                </c:pt>
                <c:pt idx="2">
                  <c:v>Italy</c:v>
                </c:pt>
                <c:pt idx="3">
                  <c:v>UK</c:v>
                </c:pt>
                <c:pt idx="4">
                  <c:v>Spain</c:v>
                </c:pt>
                <c:pt idx="5">
                  <c:v>USA</c:v>
                </c:pt>
                <c:pt idx="6">
                  <c:v>Mexico</c:v>
                </c:pt>
                <c:pt idx="7">
                  <c:v>Canada</c:v>
                </c:pt>
                <c:pt idx="8">
                  <c:v>Brazil</c:v>
                </c:pt>
                <c:pt idx="9">
                  <c:v>India</c:v>
                </c:pt>
                <c:pt idx="10">
                  <c:v>Turkey</c:v>
                </c:pt>
                <c:pt idx="11">
                  <c:v>South Africa</c:v>
                </c:pt>
                <c:pt idx="12">
                  <c:v>Australia</c:v>
                </c:pt>
                <c:pt idx="13">
                  <c:v>Russia</c:v>
                </c:pt>
                <c:pt idx="14">
                  <c:v>China</c:v>
                </c:pt>
                <c:pt idx="15">
                  <c:v>Korea</c:v>
                </c:pt>
                <c:pt idx="16">
                  <c:v>Japan</c:v>
                </c:pt>
              </c:strCache>
            </c:strRef>
          </c:cat>
          <c:val>
            <c:numRef>
              <c:f>DataF2!$C$4:$C$20</c:f>
              <c:numCache>
                <c:formatCode>0%</c:formatCode>
                <c:ptCount val="17"/>
                <c:pt idx="0">
                  <c:v>0.27916595513803488</c:v>
                </c:pt>
                <c:pt idx="1">
                  <c:v>0.20997996704769475</c:v>
                </c:pt>
                <c:pt idx="2">
                  <c:v>0.19118227241411057</c:v>
                </c:pt>
                <c:pt idx="3">
                  <c:v>0.17523172069902965</c:v>
                </c:pt>
                <c:pt idx="4">
                  <c:v>0.14169566205750209</c:v>
                </c:pt>
                <c:pt idx="5">
                  <c:v>0.14080811485538131</c:v>
                </c:pt>
                <c:pt idx="6">
                  <c:v>0.10509727731973387</c:v>
                </c:pt>
                <c:pt idx="7">
                  <c:v>0.10131006286761744</c:v>
                </c:pt>
                <c:pt idx="8">
                  <c:v>9.0271246129663765E-2</c:v>
                </c:pt>
                <c:pt idx="9">
                  <c:v>8.7746373397239688E-2</c:v>
                </c:pt>
                <c:pt idx="10">
                  <c:v>8.1066999260363509E-2</c:v>
                </c:pt>
                <c:pt idx="11">
                  <c:v>6.0818162944512984E-2</c:v>
                </c:pt>
                <c:pt idx="12">
                  <c:v>7.3234785047652198E-2</c:v>
                </c:pt>
                <c:pt idx="13">
                  <c:v>5.640790843651218E-2</c:v>
                </c:pt>
                <c:pt idx="14">
                  <c:v>3.5861224922702772E-2</c:v>
                </c:pt>
                <c:pt idx="15">
                  <c:v>2.5672298890945015E-2</c:v>
                </c:pt>
                <c:pt idx="16">
                  <c:v>1.7437633144078594E-2</c:v>
                </c:pt>
              </c:numCache>
            </c:numRef>
          </c:val>
          <c:extLst>
            <c:ext xmlns:c16="http://schemas.microsoft.com/office/drawing/2014/chart" uri="{C3380CC4-5D6E-409C-BE32-E72D297353CC}">
              <c16:uniqueId val="{00000000-0AEA-4FC9-BD4D-CEA3E9E6A8E1}"/>
            </c:ext>
          </c:extLst>
        </c:ser>
        <c:ser>
          <c:idx val="2"/>
          <c:order val="1"/>
          <c:tx>
            <c:v>2023 (Average = 7.6%)</c:v>
          </c:tx>
          <c:spPr>
            <a:solidFill>
              <a:srgbClr val="FF0000"/>
            </a:solidFill>
          </c:spPr>
          <c:invertIfNegative val="0"/>
          <c:cat>
            <c:strRef>
              <c:f>DataF2!$B$4:$B$20</c:f>
              <c:strCache>
                <c:ptCount val="17"/>
                <c:pt idx="0">
                  <c:v>Germany</c:v>
                </c:pt>
                <c:pt idx="1">
                  <c:v>France</c:v>
                </c:pt>
                <c:pt idx="2">
                  <c:v>Italy</c:v>
                </c:pt>
                <c:pt idx="3">
                  <c:v>UK</c:v>
                </c:pt>
                <c:pt idx="4">
                  <c:v>Spain</c:v>
                </c:pt>
                <c:pt idx="5">
                  <c:v>USA</c:v>
                </c:pt>
                <c:pt idx="6">
                  <c:v>Mexico</c:v>
                </c:pt>
                <c:pt idx="7">
                  <c:v>Canada</c:v>
                </c:pt>
                <c:pt idx="8">
                  <c:v>Brazil</c:v>
                </c:pt>
                <c:pt idx="9">
                  <c:v>India</c:v>
                </c:pt>
                <c:pt idx="10">
                  <c:v>Turkey</c:v>
                </c:pt>
                <c:pt idx="11">
                  <c:v>South Africa</c:v>
                </c:pt>
                <c:pt idx="12">
                  <c:v>Australia</c:v>
                </c:pt>
                <c:pt idx="13">
                  <c:v>Russia</c:v>
                </c:pt>
                <c:pt idx="14">
                  <c:v>China</c:v>
                </c:pt>
                <c:pt idx="15">
                  <c:v>Korea</c:v>
                </c:pt>
                <c:pt idx="16">
                  <c:v>Japan</c:v>
                </c:pt>
              </c:strCache>
            </c:strRef>
          </c:cat>
          <c:val>
            <c:numRef>
              <c:f>DataF2!$D$4:$D$20</c:f>
              <c:numCache>
                <c:formatCode>0%</c:formatCode>
                <c:ptCount val="17"/>
                <c:pt idx="0">
                  <c:v>0.33520799875259399</c:v>
                </c:pt>
                <c:pt idx="1">
                  <c:v>0.24758236110210419</c:v>
                </c:pt>
                <c:pt idx="2">
                  <c:v>0.15602707862854004</c:v>
                </c:pt>
                <c:pt idx="3">
                  <c:v>0.22605521976947784</c:v>
                </c:pt>
                <c:pt idx="4">
                  <c:v>0.12364050000905991</c:v>
                </c:pt>
                <c:pt idx="5">
                  <c:v>7.4536189436912537E-2</c:v>
                </c:pt>
                <c:pt idx="6">
                  <c:v>7.6753728091716766E-2</c:v>
                </c:pt>
                <c:pt idx="7">
                  <c:v>5.887187272310257E-2</c:v>
                </c:pt>
                <c:pt idx="8">
                  <c:v>0.10257255285978317</c:v>
                </c:pt>
                <c:pt idx="9">
                  <c:v>3.7710230797529221E-2</c:v>
                </c:pt>
                <c:pt idx="10">
                  <c:v>4.3533213436603546E-2</c:v>
                </c:pt>
                <c:pt idx="11">
                  <c:v>9.3509286642074585E-2</c:v>
                </c:pt>
                <c:pt idx="12">
                  <c:v>6.5176770091056824E-2</c:v>
                </c:pt>
                <c:pt idx="13">
                  <c:v>0</c:v>
                </c:pt>
                <c:pt idx="14">
                  <c:v>2.8251226991415024E-2</c:v>
                </c:pt>
                <c:pt idx="15">
                  <c:v>3.3351555466651917E-2</c:v>
                </c:pt>
                <c:pt idx="16">
                  <c:v>2.3224834352731705E-2</c:v>
                </c:pt>
              </c:numCache>
            </c:numRef>
          </c:val>
          <c:extLst>
            <c:ext xmlns:c16="http://schemas.microsoft.com/office/drawing/2014/chart" uri="{C3380CC4-5D6E-409C-BE32-E72D297353CC}">
              <c16:uniqueId val="{00000001-0AEA-4FC9-BD4D-CEA3E9E6A8E1}"/>
            </c:ext>
          </c:extLst>
        </c:ser>
        <c:dLbls>
          <c:showLegendKey val="0"/>
          <c:showVal val="0"/>
          <c:showCatName val="0"/>
          <c:showSerName val="0"/>
          <c:showPercent val="0"/>
          <c:showBubbleSize val="0"/>
        </c:dLbls>
        <c:gapWidth val="150"/>
        <c:axId val="-2139123768"/>
        <c:axId val="-2139120696"/>
      </c:barChart>
      <c:lineChart>
        <c:grouping val="standard"/>
        <c:varyColors val="0"/>
        <c:ser>
          <c:idx val="1"/>
          <c:order val="2"/>
          <c:spPr>
            <a:ln w="28575">
              <a:solidFill>
                <a:srgbClr val="FF0000"/>
              </a:solidFill>
            </a:ln>
          </c:spPr>
          <c:marker>
            <c:symbol val="none"/>
          </c:marker>
          <c:val>
            <c:numRef>
              <c:f>DataF2!$F$4:$F$20</c:f>
              <c:numCache>
                <c:formatCode>0.0%</c:formatCode>
                <c:ptCount val="17"/>
                <c:pt idx="0">
                  <c:v>7.6224908298991118E-2</c:v>
                </c:pt>
                <c:pt idx="1">
                  <c:v>7.6224908298991118E-2</c:v>
                </c:pt>
                <c:pt idx="2">
                  <c:v>7.6224908298991118E-2</c:v>
                </c:pt>
                <c:pt idx="3">
                  <c:v>7.6224908298991118E-2</c:v>
                </c:pt>
                <c:pt idx="4">
                  <c:v>7.6224908298991118E-2</c:v>
                </c:pt>
                <c:pt idx="5">
                  <c:v>7.6224908298991118E-2</c:v>
                </c:pt>
                <c:pt idx="6">
                  <c:v>7.6224908298991118E-2</c:v>
                </c:pt>
                <c:pt idx="7">
                  <c:v>7.6224908298991118E-2</c:v>
                </c:pt>
                <c:pt idx="8">
                  <c:v>7.6224908298991118E-2</c:v>
                </c:pt>
                <c:pt idx="9">
                  <c:v>7.6224908298991118E-2</c:v>
                </c:pt>
                <c:pt idx="10">
                  <c:v>7.6224908298991118E-2</c:v>
                </c:pt>
                <c:pt idx="11">
                  <c:v>7.6224908298991118E-2</c:v>
                </c:pt>
                <c:pt idx="12">
                  <c:v>7.6224908298991118E-2</c:v>
                </c:pt>
                <c:pt idx="13">
                  <c:v>7.6224908298991118E-2</c:v>
                </c:pt>
                <c:pt idx="14">
                  <c:v>7.6224908298991118E-2</c:v>
                </c:pt>
                <c:pt idx="15">
                  <c:v>7.6224908298991118E-2</c:v>
                </c:pt>
                <c:pt idx="16">
                  <c:v>7.6224908298991118E-2</c:v>
                </c:pt>
              </c:numCache>
            </c:numRef>
          </c:val>
          <c:smooth val="0"/>
          <c:extLst>
            <c:ext xmlns:c16="http://schemas.microsoft.com/office/drawing/2014/chart" uri="{C3380CC4-5D6E-409C-BE32-E72D297353CC}">
              <c16:uniqueId val="{00000002-0AEA-4FC9-BD4D-CEA3E9E6A8E1}"/>
            </c:ext>
          </c:extLst>
        </c:ser>
        <c:ser>
          <c:idx val="3"/>
          <c:order val="3"/>
          <c:spPr>
            <a:ln>
              <a:solidFill>
                <a:schemeClr val="tx1"/>
              </a:solidFill>
            </a:ln>
          </c:spPr>
          <c:marker>
            <c:symbol val="none"/>
          </c:marker>
          <c:val>
            <c:numRef>
              <c:f>DataF2!$G$4:$G$20</c:f>
              <c:numCache>
                <c:formatCode>0.0%</c:formatCode>
                <c:ptCount val="17"/>
                <c:pt idx="0">
                  <c:v>8.4216532033426189E-2</c:v>
                </c:pt>
                <c:pt idx="1">
                  <c:v>8.4216532033426189E-2</c:v>
                </c:pt>
                <c:pt idx="2">
                  <c:v>8.4216532033426189E-2</c:v>
                </c:pt>
                <c:pt idx="3">
                  <c:v>8.4216532033426189E-2</c:v>
                </c:pt>
                <c:pt idx="4">
                  <c:v>8.4216532033426189E-2</c:v>
                </c:pt>
                <c:pt idx="5">
                  <c:v>8.4216532033426189E-2</c:v>
                </c:pt>
                <c:pt idx="6">
                  <c:v>8.4216532033426189E-2</c:v>
                </c:pt>
                <c:pt idx="7">
                  <c:v>8.4216532033426189E-2</c:v>
                </c:pt>
                <c:pt idx="8">
                  <c:v>8.4216532033426189E-2</c:v>
                </c:pt>
                <c:pt idx="9">
                  <c:v>8.4216532033426189E-2</c:v>
                </c:pt>
                <c:pt idx="10">
                  <c:v>8.4216532033426189E-2</c:v>
                </c:pt>
                <c:pt idx="11">
                  <c:v>8.4216532033426189E-2</c:v>
                </c:pt>
                <c:pt idx="12">
                  <c:v>8.4216532033426189E-2</c:v>
                </c:pt>
                <c:pt idx="13">
                  <c:v>8.4216532033426189E-2</c:v>
                </c:pt>
                <c:pt idx="14">
                  <c:v>8.4216532033426189E-2</c:v>
                </c:pt>
                <c:pt idx="15">
                  <c:v>8.4216532033426189E-2</c:v>
                </c:pt>
                <c:pt idx="16">
                  <c:v>8.4216532033426189E-2</c:v>
                </c:pt>
              </c:numCache>
            </c:numRef>
          </c:val>
          <c:smooth val="0"/>
          <c:extLst>
            <c:ext xmlns:c16="http://schemas.microsoft.com/office/drawing/2014/chart" uri="{C3380CC4-5D6E-409C-BE32-E72D297353CC}">
              <c16:uniqueId val="{00000000-B3E3-46D3-BB5F-8834534AA6AC}"/>
            </c:ext>
          </c:extLst>
        </c:ser>
        <c:dLbls>
          <c:showLegendKey val="0"/>
          <c:showVal val="0"/>
          <c:showCatName val="0"/>
          <c:showSerName val="0"/>
          <c:showPercent val="0"/>
          <c:showBubbleSize val="0"/>
        </c:dLbls>
        <c:marker val="1"/>
        <c:smooth val="0"/>
        <c:axId val="-2139123768"/>
        <c:axId val="-2139120696"/>
      </c:lineChart>
      <c:catAx>
        <c:axId val="-2139123768"/>
        <c:scaling>
          <c:orientation val="minMax"/>
        </c:scaling>
        <c:delete val="0"/>
        <c:axPos val="b"/>
        <c:numFmt formatCode="General" sourceLinked="1"/>
        <c:majorTickMark val="none"/>
        <c:minorTickMark val="none"/>
        <c:tickLblPos val="nextTo"/>
        <c:txPr>
          <a:bodyPr rot="-2700000" vert="horz"/>
          <a:lstStyle/>
          <a:p>
            <a:pPr>
              <a:defRPr sz="1800"/>
            </a:pPr>
            <a:endParaRPr lang="en-US"/>
          </a:p>
        </c:txPr>
        <c:crossAx val="-2139120696"/>
        <c:crosses val="autoZero"/>
        <c:auto val="1"/>
        <c:lblAlgn val="ctr"/>
        <c:lblOffset val="100"/>
        <c:noMultiLvlLbl val="0"/>
      </c:catAx>
      <c:valAx>
        <c:axId val="-2139120696"/>
        <c:scaling>
          <c:orientation val="minMax"/>
          <c:max val="0.35000000000000003"/>
          <c:min val="0"/>
        </c:scaling>
        <c:delete val="0"/>
        <c:axPos val="l"/>
        <c:majorGridlines>
          <c:spPr>
            <a:ln>
              <a:noFill/>
            </a:ln>
          </c:spPr>
        </c:majorGridlines>
        <c:numFmt formatCode="0%" sourceLinked="0"/>
        <c:majorTickMark val="none"/>
        <c:minorTickMark val="none"/>
        <c:tickLblPos val="nextTo"/>
        <c:txPr>
          <a:bodyPr/>
          <a:lstStyle/>
          <a:p>
            <a:pPr>
              <a:defRPr sz="1800"/>
            </a:pPr>
            <a:endParaRPr lang="en-US"/>
          </a:p>
        </c:txPr>
        <c:crossAx val="-2139123768"/>
        <c:crosses val="autoZero"/>
        <c:crossBetween val="between"/>
        <c:majorUnit val="5.000000000000001E-2"/>
      </c:valAx>
    </c:plotArea>
    <c:legend>
      <c:legendPos val="r"/>
      <c:legendEntry>
        <c:idx val="2"/>
        <c:delete val="1"/>
      </c:legendEntry>
      <c:legendEntry>
        <c:idx val="3"/>
        <c:delete val="1"/>
      </c:legendEntry>
      <c:layout>
        <c:manualLayout>
          <c:xMode val="edge"/>
          <c:yMode val="edge"/>
          <c:x val="0.41353885168345539"/>
          <c:y val="0.24532360099408546"/>
          <c:w val="0.44833259841240936"/>
          <c:h val="0.12762527592000791"/>
        </c:manualLayout>
      </c:layout>
      <c:overlay val="0"/>
      <c:txPr>
        <a:bodyPr/>
        <a:lstStyle/>
        <a:p>
          <a:pPr>
            <a:defRPr sz="2200"/>
          </a:pPr>
          <a:endParaRPr lang="en-US"/>
        </a:p>
      </c:txPr>
    </c:legend>
    <c:plotVisOnly val="1"/>
    <c:dispBlanksAs val="gap"/>
    <c:showDLblsOverMax val="0"/>
  </c:chart>
  <c:spPr>
    <a:ln>
      <a:noFill/>
    </a:ln>
  </c:spPr>
  <c:txPr>
    <a:bodyPr/>
    <a:lstStyle/>
    <a:p>
      <a:pPr>
        <a:defRPr>
          <a:latin typeface="Garamond" panose="02020404030301010803" pitchFamily="18" charset="0"/>
        </a:defRPr>
      </a:pPr>
      <a:endParaRPr lang="en-US"/>
    </a:p>
  </c:txPr>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U</a:t>
            </a:r>
            <a:r>
              <a:rPr lang="da-DK" baseline="0"/>
              <a:t>S profits shifted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yVal>
            <c:numRef>
              <c:f>'DataF3-F4'!$AE$12:$AE$45</c:f>
              <c:numCache>
                <c:formatCode>0%</c:formatCode>
                <c:ptCount val="34"/>
                <c:pt idx="0">
                  <c:v>0.1583758285576711</c:v>
                </c:pt>
                <c:pt idx="1">
                  <c:v>0.14345412192631868</c:v>
                </c:pt>
                <c:pt idx="2">
                  <c:v>0.13407237602798033</c:v>
                </c:pt>
                <c:pt idx="3">
                  <c:v>0.14440767095738724</c:v>
                </c:pt>
                <c:pt idx="4">
                  <c:v>0.137171529646264</c:v>
                </c:pt>
                <c:pt idx="5">
                  <c:v>0.16245661898654001</c:v>
                </c:pt>
                <c:pt idx="6">
                  <c:v>0.11692066382662823</c:v>
                </c:pt>
                <c:pt idx="7">
                  <c:v>0.15281947054870351</c:v>
                </c:pt>
                <c:pt idx="8">
                  <c:v>0.1945182377452386</c:v>
                </c:pt>
                <c:pt idx="9">
                  <c:v>0.2079887457111097</c:v>
                </c:pt>
                <c:pt idx="10">
                  <c:v>0.19240675958185671</c:v>
                </c:pt>
                <c:pt idx="11">
                  <c:v>0.18671127071285659</c:v>
                </c:pt>
                <c:pt idx="12">
                  <c:v>0.17584790327476432</c:v>
                </c:pt>
                <c:pt idx="13">
                  <c:v>0.1980500250009827</c:v>
                </c:pt>
                <c:pt idx="14">
                  <c:v>0.18634856047378498</c:v>
                </c:pt>
                <c:pt idx="15">
                  <c:v>0.22285487347606114</c:v>
                </c:pt>
                <c:pt idx="16">
                  <c:v>0.26689552827564239</c:v>
                </c:pt>
                <c:pt idx="17">
                  <c:v>0.24200588923135002</c:v>
                </c:pt>
                <c:pt idx="18">
                  <c:v>0.2536461605528762</c:v>
                </c:pt>
                <c:pt idx="19">
                  <c:v>0.28996851978883714</c:v>
                </c:pt>
                <c:pt idx="20">
                  <c:v>0.29063422767036329</c:v>
                </c:pt>
                <c:pt idx="21">
                  <c:v>0.27053735865049783</c:v>
                </c:pt>
                <c:pt idx="22">
                  <c:v>0.29567793781540885</c:v>
                </c:pt>
                <c:pt idx="23">
                  <c:v>0.24900719969672591</c:v>
                </c:pt>
                <c:pt idx="24">
                  <c:v>0.27295598302147356</c:v>
                </c:pt>
                <c:pt idx="25">
                  <c:v>0.27724907013846722</c:v>
                </c:pt>
                <c:pt idx="26">
                  <c:v>0.24445395241630413</c:v>
                </c:pt>
                <c:pt idx="27">
                  <c:v>0.32185198987075203</c:v>
                </c:pt>
                <c:pt idx="28">
                  <c:v>0.27618508427015626</c:v>
                </c:pt>
                <c:pt idx="29">
                  <c:v>0.29127477848375388</c:v>
                </c:pt>
                <c:pt idx="30">
                  <c:v>0.32288018363206733</c:v>
                </c:pt>
                <c:pt idx="31">
                  <c:v>0.31689594851560748</c:v>
                </c:pt>
                <c:pt idx="32">
                  <c:v>0.35812691074216191</c:v>
                </c:pt>
                <c:pt idx="33">
                  <c:v>0.46249753222435425</c:v>
                </c:pt>
              </c:numCache>
            </c:numRef>
          </c:yVal>
          <c:smooth val="0"/>
          <c:extLst>
            <c:ext xmlns:c16="http://schemas.microsoft.com/office/drawing/2014/chart" uri="{C3380CC4-5D6E-409C-BE32-E72D297353CC}">
              <c16:uniqueId val="{00000001-E6FC-1D41-A522-91F492CFA212}"/>
            </c:ext>
          </c:extLst>
        </c:ser>
        <c:dLbls>
          <c:showLegendKey val="0"/>
          <c:showVal val="0"/>
          <c:showCatName val="0"/>
          <c:showSerName val="0"/>
          <c:showPercent val="0"/>
          <c:showBubbleSize val="0"/>
        </c:dLbls>
        <c:axId val="375582696"/>
        <c:axId val="368019376"/>
      </c:scatterChart>
      <c:valAx>
        <c:axId val="375582696"/>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8019376"/>
        <c:crosses val="autoZero"/>
        <c:crossBetween val="midCat"/>
      </c:valAx>
      <c:valAx>
        <c:axId val="36801937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7558269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Global</a:t>
            </a:r>
            <a:r>
              <a:rPr lang="da-DK" baseline="0"/>
              <a:t> profits shifted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yVal>
            <c:numRef>
              <c:f>'DataF3-F4'!$AV$12:$AV$45</c:f>
              <c:numCache>
                <c:formatCode>0%</c:formatCode>
                <c:ptCount val="34"/>
                <c:pt idx="0">
                  <c:v>0.14189125405963771</c:v>
                </c:pt>
                <c:pt idx="1">
                  <c:v>0.1292041146130623</c:v>
                </c:pt>
                <c:pt idx="2">
                  <c:v>0.11986333098511279</c:v>
                </c:pt>
                <c:pt idx="3">
                  <c:v>0.12853836776026789</c:v>
                </c:pt>
                <c:pt idx="4">
                  <c:v>0.12038994621674363</c:v>
                </c:pt>
                <c:pt idx="5">
                  <c:v>0.14054229175720201</c:v>
                </c:pt>
                <c:pt idx="6">
                  <c:v>9.9590048837215964E-2</c:v>
                </c:pt>
                <c:pt idx="7">
                  <c:v>0.13003655774184286</c:v>
                </c:pt>
                <c:pt idx="8">
                  <c:v>0.16530054030295047</c:v>
                </c:pt>
                <c:pt idx="9">
                  <c:v>0.17759975226951469</c:v>
                </c:pt>
                <c:pt idx="10">
                  <c:v>0.16364573266198018</c:v>
                </c:pt>
                <c:pt idx="11">
                  <c:v>0.15795216329827924</c:v>
                </c:pt>
                <c:pt idx="12">
                  <c:v>0.14630610633906346</c:v>
                </c:pt>
                <c:pt idx="13">
                  <c:v>0.1661721073618872</c:v>
                </c:pt>
                <c:pt idx="14">
                  <c:v>0.15245820000134824</c:v>
                </c:pt>
                <c:pt idx="15">
                  <c:v>0.18380614228139375</c:v>
                </c:pt>
                <c:pt idx="16">
                  <c:v>0.21793760019531033</c:v>
                </c:pt>
                <c:pt idx="17">
                  <c:v>0.19615104926582502</c:v>
                </c:pt>
                <c:pt idx="18">
                  <c:v>0.20546310647111266</c:v>
                </c:pt>
                <c:pt idx="19">
                  <c:v>0.23696501668074377</c:v>
                </c:pt>
                <c:pt idx="20">
                  <c:v>0.23771628999558814</c:v>
                </c:pt>
                <c:pt idx="21">
                  <c:v>0.21722826035095666</c:v>
                </c:pt>
                <c:pt idx="22">
                  <c:v>0.235569788606796</c:v>
                </c:pt>
                <c:pt idx="23">
                  <c:v>0.19431752828201018</c:v>
                </c:pt>
                <c:pt idx="24">
                  <c:v>0.21188898912734477</c:v>
                </c:pt>
                <c:pt idx="25">
                  <c:v>0.21457453220269235</c:v>
                </c:pt>
                <c:pt idx="26">
                  <c:v>0.19542185592672129</c:v>
                </c:pt>
                <c:pt idx="27">
                  <c:v>0.25444837517622421</c:v>
                </c:pt>
                <c:pt idx="28">
                  <c:v>0.21577050016135621</c:v>
                </c:pt>
                <c:pt idx="29">
                  <c:v>0.22814026877552795</c:v>
                </c:pt>
                <c:pt idx="30">
                  <c:v>0.2540845785394798</c:v>
                </c:pt>
                <c:pt idx="31">
                  <c:v>0.24730087839576773</c:v>
                </c:pt>
                <c:pt idx="32">
                  <c:v>0.27752265749131599</c:v>
                </c:pt>
                <c:pt idx="33">
                  <c:v>0.3616659759601874</c:v>
                </c:pt>
              </c:numCache>
            </c:numRef>
          </c:yVal>
          <c:smooth val="0"/>
          <c:extLst>
            <c:ext xmlns:c16="http://schemas.microsoft.com/office/drawing/2014/chart" uri="{C3380CC4-5D6E-409C-BE32-E72D297353CC}">
              <c16:uniqueId val="{00000001-3F29-C64B-8982-65677DBE9395}"/>
            </c:ext>
          </c:extLst>
        </c:ser>
        <c:dLbls>
          <c:showLegendKey val="0"/>
          <c:showVal val="0"/>
          <c:showCatName val="0"/>
          <c:showSerName val="0"/>
          <c:showPercent val="0"/>
          <c:showBubbleSize val="0"/>
        </c:dLbls>
        <c:axId val="375582696"/>
        <c:axId val="368019376"/>
      </c:scatterChart>
      <c:valAx>
        <c:axId val="375582696"/>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8019376"/>
        <c:crosses val="autoZero"/>
        <c:crossBetween val="midCat"/>
      </c:valAx>
      <c:valAx>
        <c:axId val="36801937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7558269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U</a:t>
            </a:r>
            <a:r>
              <a:rPr lang="da-DK" baseline="0"/>
              <a:t>S profits shifted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yVal>
            <c:numLit>
              <c:formatCode>General</c:formatCode>
              <c:ptCount val="34"/>
              <c:pt idx="0">
                <c:v>0.1583758285576711</c:v>
              </c:pt>
              <c:pt idx="1">
                <c:v>0.14345412192631868</c:v>
              </c:pt>
              <c:pt idx="2">
                <c:v>0.13407237602798033</c:v>
              </c:pt>
              <c:pt idx="3">
                <c:v>0.14440767095738724</c:v>
              </c:pt>
              <c:pt idx="4">
                <c:v>0.137171529646264</c:v>
              </c:pt>
              <c:pt idx="5">
                <c:v>0.16245661898654001</c:v>
              </c:pt>
              <c:pt idx="6">
                <c:v>0.11692066382662823</c:v>
              </c:pt>
              <c:pt idx="7">
                <c:v>0.15281947054870351</c:v>
              </c:pt>
              <c:pt idx="8">
                <c:v>0.1945182377452386</c:v>
              </c:pt>
              <c:pt idx="9">
                <c:v>0.2079887457111097</c:v>
              </c:pt>
              <c:pt idx="10">
                <c:v>0.19240675958185671</c:v>
              </c:pt>
              <c:pt idx="11">
                <c:v>0.18671127071285659</c:v>
              </c:pt>
              <c:pt idx="12">
                <c:v>0.17584790327476432</c:v>
              </c:pt>
              <c:pt idx="13">
                <c:v>0.1980500250009827</c:v>
              </c:pt>
              <c:pt idx="14">
                <c:v>0.18634856047378498</c:v>
              </c:pt>
              <c:pt idx="15">
                <c:v>0.22285487347606114</c:v>
              </c:pt>
              <c:pt idx="16">
                <c:v>0.26689552827564239</c:v>
              </c:pt>
              <c:pt idx="17">
                <c:v>0.24200588923135002</c:v>
              </c:pt>
              <c:pt idx="18">
                <c:v>0.2536461605528762</c:v>
              </c:pt>
              <c:pt idx="19">
                <c:v>0.28996851978883714</c:v>
              </c:pt>
              <c:pt idx="20">
                <c:v>0.29063422767036329</c:v>
              </c:pt>
              <c:pt idx="21">
                <c:v>0.27053735865049783</c:v>
              </c:pt>
              <c:pt idx="22">
                <c:v>0.29567793781540885</c:v>
              </c:pt>
              <c:pt idx="23">
                <c:v>0.24900719969672591</c:v>
              </c:pt>
              <c:pt idx="24">
                <c:v>0.27295598302147356</c:v>
              </c:pt>
              <c:pt idx="25">
                <c:v>0.27724907013846722</c:v>
              </c:pt>
              <c:pt idx="26">
                <c:v>0.24445395241630413</c:v>
              </c:pt>
              <c:pt idx="27">
                <c:v>0.32185198987075203</c:v>
              </c:pt>
              <c:pt idx="28">
                <c:v>0.27618508427015626</c:v>
              </c:pt>
              <c:pt idx="29">
                <c:v>0.29127477848375388</c:v>
              </c:pt>
              <c:pt idx="30">
                <c:v>0.32288018363206733</c:v>
              </c:pt>
              <c:pt idx="31">
                <c:v>0.31689594851560748</c:v>
              </c:pt>
              <c:pt idx="32">
                <c:v>0.35812691074216191</c:v>
              </c:pt>
              <c:pt idx="33">
                <c:v>0.46249753222435425</c:v>
              </c:pt>
            </c:numLit>
          </c:yVal>
          <c:smooth val="0"/>
          <c:extLst>
            <c:ext xmlns:c16="http://schemas.microsoft.com/office/drawing/2014/chart" uri="{C3380CC4-5D6E-409C-BE32-E72D297353CC}">
              <c16:uniqueId val="{00000001-5078-49E4-ADB2-B4E342687575}"/>
            </c:ext>
          </c:extLst>
        </c:ser>
        <c:dLbls>
          <c:showLegendKey val="0"/>
          <c:showVal val="0"/>
          <c:showCatName val="0"/>
          <c:showSerName val="0"/>
          <c:showPercent val="0"/>
          <c:showBubbleSize val="0"/>
        </c:dLbls>
        <c:axId val="375582696"/>
        <c:axId val="368019376"/>
      </c:scatterChart>
      <c:valAx>
        <c:axId val="375582696"/>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8019376"/>
        <c:crosses val="autoZero"/>
        <c:crossBetween val="midCat"/>
      </c:valAx>
      <c:valAx>
        <c:axId val="3680193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7558269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Global</a:t>
            </a:r>
            <a:r>
              <a:rPr lang="da-DK" baseline="0"/>
              <a:t> profits shifted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yVal>
            <c:numLit>
              <c:formatCode>General</c:formatCode>
              <c:ptCount val="34"/>
              <c:pt idx="0">
                <c:v>0.14189125405963771</c:v>
              </c:pt>
              <c:pt idx="1">
                <c:v>0.1292041146130623</c:v>
              </c:pt>
              <c:pt idx="2">
                <c:v>0.11986333098511279</c:v>
              </c:pt>
              <c:pt idx="3">
                <c:v>0.12853836776026789</c:v>
              </c:pt>
              <c:pt idx="4">
                <c:v>0.12038994621674363</c:v>
              </c:pt>
              <c:pt idx="5">
                <c:v>0.14054229175720201</c:v>
              </c:pt>
              <c:pt idx="6">
                <c:v>9.9590048837215964E-2</c:v>
              </c:pt>
              <c:pt idx="7">
                <c:v>0.13003655774184286</c:v>
              </c:pt>
              <c:pt idx="8">
                <c:v>0.16530054030295047</c:v>
              </c:pt>
              <c:pt idx="9">
                <c:v>0.17759975226951469</c:v>
              </c:pt>
              <c:pt idx="10">
                <c:v>0.16364573266198018</c:v>
              </c:pt>
              <c:pt idx="11">
                <c:v>0.15795216329827924</c:v>
              </c:pt>
              <c:pt idx="12">
                <c:v>0.14630610633906346</c:v>
              </c:pt>
              <c:pt idx="13">
                <c:v>0.1661721073618872</c:v>
              </c:pt>
              <c:pt idx="14">
                <c:v>0.15245820000134824</c:v>
              </c:pt>
              <c:pt idx="15">
                <c:v>0.18380614228139375</c:v>
              </c:pt>
              <c:pt idx="16">
                <c:v>0.21793760019531033</c:v>
              </c:pt>
              <c:pt idx="17">
                <c:v>0.19615104926582502</c:v>
              </c:pt>
              <c:pt idx="18">
                <c:v>0.20546310647111266</c:v>
              </c:pt>
              <c:pt idx="19">
                <c:v>0.23696501668074377</c:v>
              </c:pt>
              <c:pt idx="20">
                <c:v>0.23771628999558814</c:v>
              </c:pt>
              <c:pt idx="21">
                <c:v>0.21722826035095666</c:v>
              </c:pt>
              <c:pt idx="22">
                <c:v>0.235569788606796</c:v>
              </c:pt>
              <c:pt idx="23">
                <c:v>0.19431752828201018</c:v>
              </c:pt>
              <c:pt idx="24">
                <c:v>0.21188898912734477</c:v>
              </c:pt>
              <c:pt idx="25">
                <c:v>0.21457453220269235</c:v>
              </c:pt>
              <c:pt idx="26">
                <c:v>0.19542185592672129</c:v>
              </c:pt>
              <c:pt idx="27">
                <c:v>0.25444837517622421</c:v>
              </c:pt>
              <c:pt idx="28">
                <c:v>0.21577050016135621</c:v>
              </c:pt>
              <c:pt idx="29">
                <c:v>0.22814026877552795</c:v>
              </c:pt>
              <c:pt idx="30">
                <c:v>0.2540845785394798</c:v>
              </c:pt>
              <c:pt idx="31">
                <c:v>0.24730087839576773</c:v>
              </c:pt>
              <c:pt idx="32">
                <c:v>0.27752265749131599</c:v>
              </c:pt>
              <c:pt idx="33">
                <c:v>0.3616659759601874</c:v>
              </c:pt>
            </c:numLit>
          </c:yVal>
          <c:smooth val="0"/>
          <c:extLst>
            <c:ext xmlns:c16="http://schemas.microsoft.com/office/drawing/2014/chart" uri="{C3380CC4-5D6E-409C-BE32-E72D297353CC}">
              <c16:uniqueId val="{00000001-4BA0-4FE3-8DAE-4EADCA0795E4}"/>
            </c:ext>
          </c:extLst>
        </c:ser>
        <c:dLbls>
          <c:showLegendKey val="0"/>
          <c:showVal val="0"/>
          <c:showCatName val="0"/>
          <c:showSerName val="0"/>
          <c:showPercent val="0"/>
          <c:showBubbleSize val="0"/>
        </c:dLbls>
        <c:axId val="375582696"/>
        <c:axId val="368019376"/>
      </c:scatterChart>
      <c:valAx>
        <c:axId val="375582696"/>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8019376"/>
        <c:crosses val="autoZero"/>
        <c:crossBetween val="midCat"/>
      </c:valAx>
      <c:valAx>
        <c:axId val="3680193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7558269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a:pPr>
            <a:r>
              <a:rPr lang="en-GB" sz="2000"/>
              <a:t>Global corporate profits and foreign profits, 1975-2023 </a:t>
            </a:r>
          </a:p>
        </c:rich>
      </c:tx>
      <c:layout>
        <c:manualLayout>
          <c:xMode val="edge"/>
          <c:yMode val="edge"/>
          <c:x val="0.19974917016682603"/>
          <c:y val="7.9827364675649857E-4"/>
        </c:manualLayout>
      </c:layout>
      <c:overlay val="0"/>
    </c:title>
    <c:autoTitleDeleted val="0"/>
    <c:plotArea>
      <c:layout>
        <c:manualLayout>
          <c:layoutTarget val="inner"/>
          <c:xMode val="edge"/>
          <c:yMode val="edge"/>
          <c:x val="8.2658661856377394E-2"/>
          <c:y val="0.102088855081104"/>
          <c:w val="0.87977913816798403"/>
          <c:h val="0.774688462855186"/>
        </c:manualLayout>
      </c:layout>
      <c:lineChart>
        <c:grouping val="standard"/>
        <c:varyColors val="0"/>
        <c:ser>
          <c:idx val="0"/>
          <c:order val="0"/>
          <c:spPr>
            <a:ln w="19050">
              <a:solidFill>
                <a:schemeClr val="bg1">
                  <a:lumMod val="75000"/>
                </a:schemeClr>
              </a:solidFill>
              <a:prstDash val="dash"/>
            </a:ln>
          </c:spPr>
          <c:marker>
            <c:symbol val="none"/>
          </c:marker>
          <c:cat>
            <c:numRef>
              <c:f>'DataF3-F4'!$A$5:$A$52</c:f>
              <c:numCache>
                <c:formatCode>General</c:formatCode>
                <c:ptCount val="48"/>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numCache>
            </c:numRef>
          </c:cat>
          <c:val>
            <c:numRef>
              <c:f>'DataF3-F4'!$N$5:$N$53</c:f>
              <c:numCache>
                <c:formatCode>0.0%</c:formatCode>
                <c:ptCount val="49"/>
                <c:pt idx="0">
                  <c:v>0.10484980108448448</c:v>
                </c:pt>
                <c:pt idx="1">
                  <c:v>0.12492314010662385</c:v>
                </c:pt>
                <c:pt idx="2">
                  <c:v>0.10195230313951202</c:v>
                </c:pt>
                <c:pt idx="3">
                  <c:v>9.599742743782172E-2</c:v>
                </c:pt>
                <c:pt idx="4">
                  <c:v>0.12501162480711264</c:v>
                </c:pt>
                <c:pt idx="5">
                  <c:v>8.6820654258636998E-2</c:v>
                </c:pt>
                <c:pt idx="6">
                  <c:v>7.2314864028073467E-2</c:v>
                </c:pt>
                <c:pt idx="7">
                  <c:v>7.0281586386146871E-2</c:v>
                </c:pt>
                <c:pt idx="8">
                  <c:v>6.7733480901636028E-2</c:v>
                </c:pt>
                <c:pt idx="9">
                  <c:v>7.3082801754638355E-2</c:v>
                </c:pt>
                <c:pt idx="10">
                  <c:v>6.8328542151177743E-2</c:v>
                </c:pt>
                <c:pt idx="11">
                  <c:v>5.3487517646956244E-2</c:v>
                </c:pt>
                <c:pt idx="12">
                  <c:v>5.7212286088312178E-2</c:v>
                </c:pt>
                <c:pt idx="13">
                  <c:v>6.5435501327385265E-2</c:v>
                </c:pt>
                <c:pt idx="14">
                  <c:v>6.4058219183359077E-2</c:v>
                </c:pt>
                <c:pt idx="15">
                  <c:v>6.030383481426984E-2</c:v>
                </c:pt>
                <c:pt idx="16">
                  <c:v>5.0159501673905038E-2</c:v>
                </c:pt>
                <c:pt idx="17">
                  <c:v>4.9152355122695009E-2</c:v>
                </c:pt>
                <c:pt idx="18">
                  <c:v>5.2917165285375059E-2</c:v>
                </c:pt>
                <c:pt idx="19">
                  <c:v>6.0819383418671588E-2</c:v>
                </c:pt>
                <c:pt idx="20">
                  <c:v>6.3831050946817347E-2</c:v>
                </c:pt>
                <c:pt idx="21">
                  <c:v>7.6872308316524113E-2</c:v>
                </c:pt>
                <c:pt idx="22">
                  <c:v>7.972557465299146E-2</c:v>
                </c:pt>
                <c:pt idx="23">
                  <c:v>7.5207445690940428E-2</c:v>
                </c:pt>
                <c:pt idx="24">
                  <c:v>9.3509638528120331E-2</c:v>
                </c:pt>
                <c:pt idx="25">
                  <c:v>0.11095386949585015</c:v>
                </c:pt>
                <c:pt idx="26">
                  <c:v>9.7236325688500075E-2</c:v>
                </c:pt>
                <c:pt idx="27">
                  <c:v>9.5304856286947362E-2</c:v>
                </c:pt>
                <c:pt idx="28">
                  <c:v>0.11203597062509971</c:v>
                </c:pt>
                <c:pt idx="29">
                  <c:v>0.13515833198092395</c:v>
                </c:pt>
                <c:pt idx="30">
                  <c:v>0.16804526885737248</c:v>
                </c:pt>
                <c:pt idx="31">
                  <c:v>0.17702659660990916</c:v>
                </c:pt>
                <c:pt idx="32">
                  <c:v>0.18469156723594901</c:v>
                </c:pt>
                <c:pt idx="33">
                  <c:v>0.15696598756571872</c:v>
                </c:pt>
                <c:pt idx="34">
                  <c:v>0.15165126137797291</c:v>
                </c:pt>
                <c:pt idx="35">
                  <c:v>0.17252655581528192</c:v>
                </c:pt>
                <c:pt idx="36">
                  <c:v>0.17085267002963497</c:v>
                </c:pt>
                <c:pt idx="37">
                  <c:v>0.16044954180484067</c:v>
                </c:pt>
                <c:pt idx="38">
                  <c:v>0.1657615852262741</c:v>
                </c:pt>
                <c:pt idx="39">
                  <c:v>0.16700041866732573</c:v>
                </c:pt>
                <c:pt idx="40">
                  <c:v>0.14791394348737996</c:v>
                </c:pt>
                <c:pt idx="41">
                  <c:v>0.16196547449279897</c:v>
                </c:pt>
                <c:pt idx="42">
                  <c:v>0.16497401369064393</c:v>
                </c:pt>
                <c:pt idx="43">
                  <c:v>0.17381851544540661</c:v>
                </c:pt>
                <c:pt idx="44">
                  <c:v>0.17502152909060034</c:v>
                </c:pt>
                <c:pt idx="45">
                  <c:v>0.1533538601867816</c:v>
                </c:pt>
                <c:pt idx="46">
                  <c:v>0.18725528377185668</c:v>
                </c:pt>
                <c:pt idx="47">
                  <c:v>0.17822627231784011</c:v>
                </c:pt>
                <c:pt idx="48">
                  <c:v>0.17438403108261308</c:v>
                </c:pt>
              </c:numCache>
            </c:numRef>
          </c:val>
          <c:smooth val="0"/>
          <c:extLst>
            <c:ext xmlns:c16="http://schemas.microsoft.com/office/drawing/2014/chart" uri="{C3380CC4-5D6E-409C-BE32-E72D297353CC}">
              <c16:uniqueId val="{00000000-30E3-6546-91A7-EA60D7B0CF5A}"/>
            </c:ext>
          </c:extLst>
        </c:ser>
        <c:ser>
          <c:idx val="1"/>
          <c:order val="1"/>
          <c:spPr>
            <a:ln>
              <a:solidFill>
                <a:schemeClr val="accent1"/>
              </a:solidFill>
            </a:ln>
          </c:spPr>
          <c:marker>
            <c:symbol val="none"/>
          </c:marker>
          <c:cat>
            <c:numRef>
              <c:f>'DataF3-F4'!$A$5:$A$52</c:f>
              <c:numCache>
                <c:formatCode>General</c:formatCode>
                <c:ptCount val="48"/>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numCache>
            </c:numRef>
          </c:cat>
          <c:val>
            <c:numRef>
              <c:f>'DataF3-F4'!$D$5:$D$53</c:f>
              <c:numCache>
                <c:formatCode>0.0%</c:formatCode>
                <c:ptCount val="49"/>
                <c:pt idx="0">
                  <c:v>0.14469578783151327</c:v>
                </c:pt>
                <c:pt idx="1">
                  <c:v>0.14388231072838178</c:v>
                </c:pt>
                <c:pt idx="2">
                  <c:v>0.14460317460317459</c:v>
                </c:pt>
                <c:pt idx="3">
                  <c:v>0.14482386286948307</c:v>
                </c:pt>
                <c:pt idx="4">
                  <c:v>0.14184397163120568</c:v>
                </c:pt>
                <c:pt idx="5">
                  <c:v>0.13892908827785819</c:v>
                </c:pt>
                <c:pt idx="6">
                  <c:v>0.14438394837668886</c:v>
                </c:pt>
                <c:pt idx="7">
                  <c:v>0.14518428018733456</c:v>
                </c:pt>
                <c:pt idx="8">
                  <c:v>0.15071222233290169</c:v>
                </c:pt>
                <c:pt idx="9">
                  <c:v>0.155589704187476</c:v>
                </c:pt>
                <c:pt idx="10">
                  <c:v>0.15784663193492368</c:v>
                </c:pt>
                <c:pt idx="11">
                  <c:v>0.15716272600834491</c:v>
                </c:pt>
                <c:pt idx="12">
                  <c:v>0.15836335213756542</c:v>
                </c:pt>
                <c:pt idx="13">
                  <c:v>0.16200947636982141</c:v>
                </c:pt>
                <c:pt idx="14">
                  <c:v>0.16322038806834638</c:v>
                </c:pt>
                <c:pt idx="15">
                  <c:v>0.15991339313331271</c:v>
                </c:pt>
                <c:pt idx="16">
                  <c:v>0.15645860741606976</c:v>
                </c:pt>
                <c:pt idx="17">
                  <c:v>0.1548105625717566</c:v>
                </c:pt>
                <c:pt idx="18">
                  <c:v>0.15602132080585418</c:v>
                </c:pt>
                <c:pt idx="19">
                  <c:v>0.16121426466254052</c:v>
                </c:pt>
                <c:pt idx="20">
                  <c:v>0.1635205822151467</c:v>
                </c:pt>
                <c:pt idx="21">
                  <c:v>0.16610987379361544</c:v>
                </c:pt>
                <c:pt idx="22">
                  <c:v>0.1690655529867999</c:v>
                </c:pt>
                <c:pt idx="23">
                  <c:v>0.16770209580838324</c:v>
                </c:pt>
                <c:pt idx="24">
                  <c:v>0.16602274778840945</c:v>
                </c:pt>
                <c:pt idx="25">
                  <c:v>0.16173176536469272</c:v>
                </c:pt>
                <c:pt idx="26">
                  <c:v>0.1609742342532868</c:v>
                </c:pt>
                <c:pt idx="27">
                  <c:v>0.16563604240282687</c:v>
                </c:pt>
                <c:pt idx="28">
                  <c:v>0.17028041911452971</c:v>
                </c:pt>
                <c:pt idx="29">
                  <c:v>0.17743628387652394</c:v>
                </c:pt>
                <c:pt idx="30">
                  <c:v>0.18058769376228509</c:v>
                </c:pt>
                <c:pt idx="31">
                  <c:v>0.18360587870006209</c:v>
                </c:pt>
                <c:pt idx="32">
                  <c:v>0.18349205051702294</c:v>
                </c:pt>
                <c:pt idx="33">
                  <c:v>0.18055685060515078</c:v>
                </c:pt>
                <c:pt idx="34">
                  <c:v>0.17854611325509964</c:v>
                </c:pt>
                <c:pt idx="35">
                  <c:v>0.18674428214664296</c:v>
                </c:pt>
                <c:pt idx="36">
                  <c:v>0.18506173039271209</c:v>
                </c:pt>
                <c:pt idx="37">
                  <c:v>0.18148518148518147</c:v>
                </c:pt>
                <c:pt idx="38">
                  <c:v>0.1818139728691143</c:v>
                </c:pt>
                <c:pt idx="39">
                  <c:v>0.18215372563198651</c:v>
                </c:pt>
                <c:pt idx="40">
                  <c:v>0.18249100619661168</c:v>
                </c:pt>
                <c:pt idx="41">
                  <c:v>0.19020915152422654</c:v>
                </c:pt>
                <c:pt idx="42">
                  <c:v>0.19092494595303139</c:v>
                </c:pt>
                <c:pt idx="43">
                  <c:v>0.1913178635575141</c:v>
                </c:pt>
                <c:pt idx="44">
                  <c:v>0.1901565741922589</c:v>
                </c:pt>
                <c:pt idx="45">
                  <c:v>0.18188792580730265</c:v>
                </c:pt>
                <c:pt idx="46">
                  <c:v>0.1955750497043113</c:v>
                </c:pt>
                <c:pt idx="47">
                  <c:v>0.20024058361340019</c:v>
                </c:pt>
                <c:pt idx="48">
                  <c:v>0.19660199845276025</c:v>
                </c:pt>
              </c:numCache>
            </c:numRef>
          </c:val>
          <c:smooth val="0"/>
          <c:extLst>
            <c:ext xmlns:c16="http://schemas.microsoft.com/office/drawing/2014/chart" uri="{C3380CC4-5D6E-409C-BE32-E72D297353CC}">
              <c16:uniqueId val="{00000001-30E3-6546-91A7-EA60D7B0CF5A}"/>
            </c:ext>
          </c:extLst>
        </c:ser>
        <c:ser>
          <c:idx val="2"/>
          <c:order val="2"/>
          <c:spPr>
            <a:ln>
              <a:solidFill>
                <a:schemeClr val="tx1"/>
              </a:solidFill>
              <a:prstDash val="solid"/>
            </a:ln>
          </c:spPr>
          <c:marker>
            <c:symbol val="none"/>
          </c:marker>
          <c:cat>
            <c:numRef>
              <c:f>'DataF3-F4'!$A$5:$A$52</c:f>
              <c:numCache>
                <c:formatCode>General</c:formatCode>
                <c:ptCount val="48"/>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numCache>
            </c:numRef>
          </c:cat>
          <c:val>
            <c:numRef>
              <c:f>'DataF3-F4'!$O$5:$O$53</c:f>
              <c:numCache>
                <c:formatCode>0.0%</c:formatCode>
                <c:ptCount val="49"/>
                <c:pt idx="0">
                  <c:v>4.8417160407742466E-2</c:v>
                </c:pt>
                <c:pt idx="1">
                  <c:v>5.0969222237595903E-2</c:v>
                </c:pt>
                <c:pt idx="2">
                  <c:v>4.5577468374679429E-2</c:v>
                </c:pt>
                <c:pt idx="3">
                  <c:v>5.0337601639061154E-2</c:v>
                </c:pt>
                <c:pt idx="4">
                  <c:v>6.9382814848823582E-2</c:v>
                </c:pt>
                <c:pt idx="5">
                  <c:v>6.3957245091488993E-2</c:v>
                </c:pt>
                <c:pt idx="6">
                  <c:v>5.1758131737118129E-2</c:v>
                </c:pt>
                <c:pt idx="7">
                  <c:v>4.6525904386681131E-2</c:v>
                </c:pt>
                <c:pt idx="8">
                  <c:v>4.630117734550953E-2</c:v>
                </c:pt>
                <c:pt idx="9">
                  <c:v>5.0421331439357349E-2</c:v>
                </c:pt>
                <c:pt idx="10">
                  <c:v>4.7948418019512364E-2</c:v>
                </c:pt>
                <c:pt idx="11">
                  <c:v>4.2805415920926543E-2</c:v>
                </c:pt>
                <c:pt idx="12">
                  <c:v>4.8684443178712553E-2</c:v>
                </c:pt>
                <c:pt idx="13">
                  <c:v>5.6128972405126085E-2</c:v>
                </c:pt>
                <c:pt idx="14">
                  <c:v>5.5735059752153884E-2</c:v>
                </c:pt>
                <c:pt idx="15">
                  <c:v>5.2691419546071053E-2</c:v>
                </c:pt>
                <c:pt idx="16">
                  <c:v>4.4051360350045109E-2</c:v>
                </c:pt>
                <c:pt idx="17">
                  <c:v>4.1975932636799169E-2</c:v>
                </c:pt>
                <c:pt idx="18">
                  <c:v>4.754096365080903E-2</c:v>
                </c:pt>
                <c:pt idx="19">
                  <c:v>5.3306622233186045E-2</c:v>
                </c:pt>
                <c:pt idx="20">
                  <c:v>5.6442129514349897E-2</c:v>
                </c:pt>
                <c:pt idx="21">
                  <c:v>6.8143761073359149E-2</c:v>
                </c:pt>
                <c:pt idx="22">
                  <c:v>7.2453641670980812E-2</c:v>
                </c:pt>
                <c:pt idx="23">
                  <c:v>6.8604277091437391E-2</c:v>
                </c:pt>
                <c:pt idx="24">
                  <c:v>8.6211835542625265E-2</c:v>
                </c:pt>
                <c:pt idx="25">
                  <c:v>0.10079338497259005</c:v>
                </c:pt>
                <c:pt idx="26">
                  <c:v>8.2497114073370986E-2</c:v>
                </c:pt>
                <c:pt idx="27">
                  <c:v>8.4381245346482628E-2</c:v>
                </c:pt>
                <c:pt idx="28">
                  <c:v>0.10329553938374823</c:v>
                </c:pt>
                <c:pt idx="29">
                  <c:v>0.12603376619805964</c:v>
                </c:pt>
                <c:pt idx="30">
                  <c:v>0.15672881643885389</c:v>
                </c:pt>
                <c:pt idx="31">
                  <c:v>0.16563061667312348</c:v>
                </c:pt>
                <c:pt idx="32">
                  <c:v>0.17307456857462017</c:v>
                </c:pt>
                <c:pt idx="33">
                  <c:v>0.14167472525198849</c:v>
                </c:pt>
                <c:pt idx="34">
                  <c:v>0.1409361683530537</c:v>
                </c:pt>
                <c:pt idx="35">
                  <c:v>0.16041390905889272</c:v>
                </c:pt>
                <c:pt idx="36">
                  <c:v>0.15669738618440224</c:v>
                </c:pt>
                <c:pt idx="37">
                  <c:v>0.14877136940858876</c:v>
                </c:pt>
                <c:pt idx="38">
                  <c:v>0.15586770807349137</c:v>
                </c:pt>
                <c:pt idx="39">
                  <c:v>0.16086216388973704</c:v>
                </c:pt>
                <c:pt idx="40">
                  <c:v>0.14997806460466059</c:v>
                </c:pt>
                <c:pt idx="41">
                  <c:v>0.16965012736734969</c:v>
                </c:pt>
                <c:pt idx="42">
                  <c:v>0.17143876400710636</c:v>
                </c:pt>
                <c:pt idx="43">
                  <c:v>0.18017284324962426</c:v>
                </c:pt>
                <c:pt idx="44">
                  <c:v>0.18287952400859014</c:v>
                </c:pt>
                <c:pt idx="45">
                  <c:v>0.15965693183786725</c:v>
                </c:pt>
                <c:pt idx="46">
                  <c:v>0.19293610395455829</c:v>
                </c:pt>
                <c:pt idx="47">
                  <c:v>0.18359176679745423</c:v>
                </c:pt>
                <c:pt idx="48">
                  <c:v>0.17995618727163237</c:v>
                </c:pt>
              </c:numCache>
            </c:numRef>
          </c:val>
          <c:smooth val="0"/>
          <c:extLst>
            <c:ext xmlns:c16="http://schemas.microsoft.com/office/drawing/2014/chart" uri="{C3380CC4-5D6E-409C-BE32-E72D297353CC}">
              <c16:uniqueId val="{00000002-30E3-6546-91A7-EA60D7B0CF5A}"/>
            </c:ext>
          </c:extLst>
        </c:ser>
        <c:dLbls>
          <c:showLegendKey val="0"/>
          <c:showVal val="0"/>
          <c:showCatName val="0"/>
          <c:showSerName val="0"/>
          <c:showPercent val="0"/>
          <c:showBubbleSize val="0"/>
        </c:dLbls>
        <c:smooth val="0"/>
        <c:axId val="1839106456"/>
        <c:axId val="1839111368"/>
        <c:extLst/>
      </c:lineChart>
      <c:catAx>
        <c:axId val="1839106456"/>
        <c:scaling>
          <c:orientation val="minMax"/>
        </c:scaling>
        <c:delete val="0"/>
        <c:axPos val="b"/>
        <c:numFmt formatCode="General" sourceLinked="0"/>
        <c:majorTickMark val="none"/>
        <c:minorTickMark val="none"/>
        <c:tickLblPos val="nextTo"/>
        <c:txPr>
          <a:bodyPr/>
          <a:lstStyle/>
          <a:p>
            <a:pPr>
              <a:defRPr sz="1800"/>
            </a:pPr>
            <a:endParaRPr lang="en-US"/>
          </a:p>
        </c:txPr>
        <c:crossAx val="1839111368"/>
        <c:crosses val="autoZero"/>
        <c:auto val="1"/>
        <c:lblAlgn val="ctr"/>
        <c:lblOffset val="100"/>
        <c:tickLblSkip val="5"/>
        <c:noMultiLvlLbl val="0"/>
      </c:catAx>
      <c:valAx>
        <c:axId val="1839111368"/>
        <c:scaling>
          <c:orientation val="minMax"/>
          <c:max val="0.22"/>
          <c:min val="0"/>
        </c:scaling>
        <c:delete val="0"/>
        <c:axPos val="l"/>
        <c:majorGridlines>
          <c:spPr>
            <a:ln>
              <a:noFill/>
            </a:ln>
          </c:spPr>
        </c:majorGridlines>
        <c:numFmt formatCode="0%" sourceLinked="0"/>
        <c:majorTickMark val="none"/>
        <c:minorTickMark val="none"/>
        <c:tickLblPos val="nextTo"/>
        <c:txPr>
          <a:bodyPr/>
          <a:lstStyle/>
          <a:p>
            <a:pPr>
              <a:defRPr sz="1800"/>
            </a:pPr>
            <a:endParaRPr lang="en-US"/>
          </a:p>
        </c:txPr>
        <c:crossAx val="1839106456"/>
        <c:crosses val="autoZero"/>
        <c:crossBetween val="between"/>
        <c:majorUnit val="0.05"/>
      </c:valAx>
      <c:spPr>
        <a:noFill/>
        <a:ln>
          <a:noFill/>
        </a:ln>
      </c:spPr>
    </c:plotArea>
    <c:plotVisOnly val="1"/>
    <c:dispBlanksAs val="gap"/>
    <c:showDLblsOverMax val="0"/>
  </c:chart>
  <c:spPr>
    <a:noFill/>
    <a:ln>
      <a:noFill/>
    </a:ln>
  </c:spPr>
  <c:txPr>
    <a:bodyPr/>
    <a:lstStyle/>
    <a:p>
      <a:pPr>
        <a:defRPr>
          <a:latin typeface="Garamond" panose="02020404030301010803" pitchFamily="18" charset="0"/>
        </a:defRPr>
      </a:pPr>
      <a:endParaRPr lang="en-US"/>
    </a:p>
  </c:txPr>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682264812966432"/>
          <c:y val="4.5501982436794881E-2"/>
          <c:w val="0.78002029824998609"/>
          <c:h val="0.83127537042177235"/>
        </c:manualLayout>
      </c:layout>
      <c:lineChart>
        <c:grouping val="standard"/>
        <c:varyColors val="0"/>
        <c:ser>
          <c:idx val="0"/>
          <c:order val="0"/>
          <c:marker>
            <c:symbol val="none"/>
          </c:marker>
          <c:dPt>
            <c:idx val="46"/>
            <c:bubble3D val="0"/>
            <c:spPr/>
            <c:extLst>
              <c:ext xmlns:c16="http://schemas.microsoft.com/office/drawing/2014/chart" uri="{C3380CC4-5D6E-409C-BE32-E72D297353CC}">
                <c16:uniqueId val="{00000000-3015-B74D-8444-9ADB38250C27}"/>
              </c:ext>
            </c:extLst>
          </c:dPt>
          <c:dPt>
            <c:idx val="47"/>
            <c:bubble3D val="0"/>
            <c:spPr/>
            <c:extLst>
              <c:ext xmlns:c16="http://schemas.microsoft.com/office/drawing/2014/chart" uri="{C3380CC4-5D6E-409C-BE32-E72D297353CC}">
                <c16:uniqueId val="{00000001-3015-B74D-8444-9ADB38250C27}"/>
              </c:ext>
            </c:extLst>
          </c:dPt>
          <c:cat>
            <c:numRef>
              <c:f>'DataF3-F4'!$A$5:$A$52</c:f>
              <c:numCache>
                <c:formatCode>General</c:formatCode>
                <c:ptCount val="48"/>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numCache>
            </c:numRef>
          </c:cat>
          <c:val>
            <c:numRef>
              <c:f>'DataF3-F4'!$AV$5:$AV$53</c:f>
              <c:numCache>
                <c:formatCode>0%</c:formatCode>
                <c:ptCount val="49"/>
                <c:pt idx="0">
                  <c:v>4.2511319169491968E-2</c:v>
                </c:pt>
                <c:pt idx="1">
                  <c:v>3.5493694475956954E-2</c:v>
                </c:pt>
                <c:pt idx="2">
                  <c:v>4.6071241733988792E-2</c:v>
                </c:pt>
                <c:pt idx="3">
                  <c:v>6.5470521614309468E-2</c:v>
                </c:pt>
                <c:pt idx="4">
                  <c:v>8.0811396266185637E-2</c:v>
                </c:pt>
                <c:pt idx="5">
                  <c:v>0.11369910765466566</c:v>
                </c:pt>
                <c:pt idx="6">
                  <c:v>0.11352659281905855</c:v>
                </c:pt>
                <c:pt idx="7">
                  <c:v>0.14189125405963771</c:v>
                </c:pt>
                <c:pt idx="8">
                  <c:v>0.1292041146130623</c:v>
                </c:pt>
                <c:pt idx="9">
                  <c:v>0.11986333098511279</c:v>
                </c:pt>
                <c:pt idx="10">
                  <c:v>0.12853836776026789</c:v>
                </c:pt>
                <c:pt idx="11">
                  <c:v>0.12038994621674363</c:v>
                </c:pt>
                <c:pt idx="12">
                  <c:v>0.14054229175720201</c:v>
                </c:pt>
                <c:pt idx="13">
                  <c:v>9.9590048837215964E-2</c:v>
                </c:pt>
                <c:pt idx="14">
                  <c:v>0.13003655774184286</c:v>
                </c:pt>
                <c:pt idx="15">
                  <c:v>0.16530054030295047</c:v>
                </c:pt>
                <c:pt idx="16">
                  <c:v>0.17759975226951469</c:v>
                </c:pt>
                <c:pt idx="17">
                  <c:v>0.16364573266198018</c:v>
                </c:pt>
                <c:pt idx="18">
                  <c:v>0.15795216329827924</c:v>
                </c:pt>
                <c:pt idx="19">
                  <c:v>0.14630610633906346</c:v>
                </c:pt>
                <c:pt idx="20">
                  <c:v>0.1661721073618872</c:v>
                </c:pt>
                <c:pt idx="21">
                  <c:v>0.15245820000134824</c:v>
                </c:pt>
                <c:pt idx="22">
                  <c:v>0.18380614228139375</c:v>
                </c:pt>
                <c:pt idx="23">
                  <c:v>0.21793760019531033</c:v>
                </c:pt>
                <c:pt idx="24">
                  <c:v>0.19615104926582502</c:v>
                </c:pt>
                <c:pt idx="25">
                  <c:v>0.20546310647111266</c:v>
                </c:pt>
                <c:pt idx="26">
                  <c:v>0.23696501668074377</c:v>
                </c:pt>
                <c:pt idx="27">
                  <c:v>0.23771628999558814</c:v>
                </c:pt>
                <c:pt idx="28">
                  <c:v>0.21722826035095666</c:v>
                </c:pt>
                <c:pt idx="29">
                  <c:v>0.235569788606796</c:v>
                </c:pt>
                <c:pt idx="30">
                  <c:v>0.19431752828201018</c:v>
                </c:pt>
                <c:pt idx="31">
                  <c:v>0.21188898912734477</c:v>
                </c:pt>
                <c:pt idx="32">
                  <c:v>0.21457453220269235</c:v>
                </c:pt>
                <c:pt idx="33">
                  <c:v>0.19542185592672129</c:v>
                </c:pt>
                <c:pt idx="34">
                  <c:v>0.25444837517622421</c:v>
                </c:pt>
                <c:pt idx="35">
                  <c:v>0.21577050016135621</c:v>
                </c:pt>
                <c:pt idx="36">
                  <c:v>0.22814026877552795</c:v>
                </c:pt>
                <c:pt idx="37">
                  <c:v>0.2540845785394798</c:v>
                </c:pt>
                <c:pt idx="38">
                  <c:v>0.24730087839576773</c:v>
                </c:pt>
                <c:pt idx="39">
                  <c:v>0.27752265749131599</c:v>
                </c:pt>
                <c:pt idx="40">
                  <c:v>0.3616659759601874</c:v>
                </c:pt>
                <c:pt idx="41">
                  <c:v>0.37061415671929043</c:v>
                </c:pt>
                <c:pt idx="42">
                  <c:v>0.34013428548722974</c:v>
                </c:pt>
                <c:pt idx="43">
                  <c:v>0.33982396816629923</c:v>
                </c:pt>
                <c:pt idx="44">
                  <c:v>0.3626628996138731</c:v>
                </c:pt>
                <c:pt idx="45">
                  <c:v>0.35864186725686698</c:v>
                </c:pt>
                <c:pt idx="46">
                  <c:v>0.31186039619472955</c:v>
                </c:pt>
                <c:pt idx="47">
                  <c:v>0.31336734618754186</c:v>
                </c:pt>
                <c:pt idx="48">
                  <c:v>0.33778933556790647</c:v>
                </c:pt>
              </c:numCache>
            </c:numRef>
          </c:val>
          <c:smooth val="0"/>
          <c:extLst>
            <c:ext xmlns:c16="http://schemas.microsoft.com/office/drawing/2014/chart" uri="{C3380CC4-5D6E-409C-BE32-E72D297353CC}">
              <c16:uniqueId val="{00000000-192F-4D90-BF6C-8406153441A5}"/>
            </c:ext>
          </c:extLst>
        </c:ser>
        <c:dLbls>
          <c:showLegendKey val="0"/>
          <c:showVal val="0"/>
          <c:showCatName val="0"/>
          <c:showSerName val="0"/>
          <c:showPercent val="0"/>
          <c:showBubbleSize val="0"/>
        </c:dLbls>
        <c:marker val="1"/>
        <c:smooth val="0"/>
        <c:axId val="1839106456"/>
        <c:axId val="1839111368"/>
        <c:extLst>
          <c:ext xmlns:c15="http://schemas.microsoft.com/office/drawing/2012/chart" uri="{02D57815-91ED-43cb-92C2-25804820EDAC}">
            <c15:filteredLineSeries>
              <c15:ser>
                <c:idx val="1"/>
                <c:order val="1"/>
                <c:marker>
                  <c:symbol val="none"/>
                </c:marker>
                <c:cat>
                  <c:numRef>
                    <c:extLst>
                      <c:ext uri="{02D57815-91ED-43cb-92C2-25804820EDAC}">
                        <c15:formulaRef>
                          <c15:sqref>'DataF3-F4'!$A$5:$A$52</c15:sqref>
                        </c15:formulaRef>
                      </c:ext>
                    </c:extLst>
                    <c:numCache>
                      <c:formatCode>General</c:formatCode>
                      <c:ptCount val="48"/>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numCache>
                  </c:numRef>
                </c:cat>
                <c:val>
                  <c:numRef>
                    <c:extLst>
                      <c:ext uri="{02D57815-91ED-43cb-92C2-25804820EDAC}">
                        <c15:formulaRef>
                          <c15:sqref>'Wright-Zucman'!$C$9:$C$14</c15:sqref>
                        </c15:formulaRef>
                      </c:ext>
                    </c:extLst>
                    <c:numCache>
                      <c:formatCode>General</c:formatCode>
                      <c:ptCount val="1"/>
                    </c:numCache>
                  </c:numRef>
                </c:val>
                <c:smooth val="0"/>
                <c:extLst>
                  <c:ext xmlns:c16="http://schemas.microsoft.com/office/drawing/2014/chart" uri="{C3380CC4-5D6E-409C-BE32-E72D297353CC}">
                    <c16:uniqueId val="{00000002-192F-4D90-BF6C-8406153441A5}"/>
                  </c:ext>
                </c:extLst>
              </c15:ser>
            </c15:filteredLineSeries>
            <c15:filteredLineSeries>
              <c15:ser>
                <c:idx val="2"/>
                <c:order val="2"/>
                <c:marker>
                  <c:symbol val="none"/>
                </c:marker>
                <c:cat>
                  <c:numRef>
                    <c:extLst xmlns:c15="http://schemas.microsoft.com/office/drawing/2012/chart">
                      <c:ext xmlns:c15="http://schemas.microsoft.com/office/drawing/2012/chart" uri="{02D57815-91ED-43cb-92C2-25804820EDAC}">
                        <c15:formulaRef>
                          <c15:sqref>'DataF3-F4'!$A$5:$A$52</c15:sqref>
                        </c15:formulaRef>
                      </c:ext>
                    </c:extLst>
                    <c:numCache>
                      <c:formatCode>General</c:formatCode>
                      <c:ptCount val="48"/>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numCache>
                  </c:numRef>
                </c:cat>
                <c:val>
                  <c:numRef>
                    <c:extLst xmlns:c15="http://schemas.microsoft.com/office/drawing/2012/chart">
                      <c:ext xmlns:c15="http://schemas.microsoft.com/office/drawing/2012/chart" uri="{02D57815-91ED-43cb-92C2-25804820EDAC}">
                        <c15:formulaRef>
                          <c15:sqref>'Wright-Zucman'!$D$9:$D$14</c15:sqref>
                        </c15:formulaRef>
                      </c:ext>
                    </c:extLst>
                    <c:numCache>
                      <c:formatCode>General</c:formatCode>
                      <c:ptCount val="1"/>
                    </c:numCache>
                  </c:numRef>
                </c:val>
                <c:smooth val="0"/>
                <c:extLst xmlns:c15="http://schemas.microsoft.com/office/drawing/2012/chart">
                  <c:ext xmlns:c16="http://schemas.microsoft.com/office/drawing/2014/chart" uri="{C3380CC4-5D6E-409C-BE32-E72D297353CC}">
                    <c16:uniqueId val="{00000003-192F-4D90-BF6C-8406153441A5}"/>
                  </c:ext>
                </c:extLst>
              </c15:ser>
            </c15:filteredLineSeries>
            <c15:filteredLineSeries>
              <c15:ser>
                <c:idx val="3"/>
                <c:order val="3"/>
                <c:spPr>
                  <a:ln>
                    <a:solidFill>
                      <a:schemeClr val="tx1"/>
                    </a:solidFill>
                  </a:ln>
                </c:spPr>
                <c:marker>
                  <c:spPr>
                    <a:solidFill>
                      <a:schemeClr val="bg1"/>
                    </a:solidFill>
                    <a:ln w="19050">
                      <a:solidFill>
                        <a:schemeClr val="tx1"/>
                      </a:solidFill>
                    </a:ln>
                  </c:spPr>
                </c:marker>
                <c:cat>
                  <c:numRef>
                    <c:extLst xmlns:c15="http://schemas.microsoft.com/office/drawing/2012/chart">
                      <c:ext xmlns:c15="http://schemas.microsoft.com/office/drawing/2012/chart" uri="{02D57815-91ED-43cb-92C2-25804820EDAC}">
                        <c15:formulaRef>
                          <c15:sqref>'DataF3-F4'!$A$5:$A$52</c15:sqref>
                        </c15:formulaRef>
                      </c:ext>
                    </c:extLst>
                    <c:numCache>
                      <c:formatCode>General</c:formatCode>
                      <c:ptCount val="48"/>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numCache>
                  </c:numRef>
                </c:cat>
                <c:val>
                  <c:numRef>
                    <c:extLst xmlns:c15="http://schemas.microsoft.com/office/drawing/2012/chart">
                      <c:ext xmlns:c15="http://schemas.microsoft.com/office/drawing/2012/chart" uri="{02D57815-91ED-43cb-92C2-25804820EDAC}">
                        <c15:formulaRef>
                          <c15:sqref>'Wright-Zucman'!$E$9:$E$14</c15:sqref>
                        </c15:formulaRef>
                      </c:ext>
                    </c:extLst>
                    <c:numCache>
                      <c:formatCode>General</c:formatCode>
                      <c:ptCount val="1"/>
                    </c:numCache>
                  </c:numRef>
                </c:val>
                <c:smooth val="0"/>
                <c:extLst xmlns:c15="http://schemas.microsoft.com/office/drawing/2012/chart">
                  <c:ext xmlns:c16="http://schemas.microsoft.com/office/drawing/2014/chart" uri="{C3380CC4-5D6E-409C-BE32-E72D297353CC}">
                    <c16:uniqueId val="{00000004-192F-4D90-BF6C-8406153441A5}"/>
                  </c:ext>
                </c:extLst>
              </c15:ser>
            </c15:filteredLineSeries>
            <c15:filteredLineSeries>
              <c15:ser>
                <c:idx val="4"/>
                <c:order val="4"/>
                <c:marker>
                  <c:symbol val="none"/>
                </c:marker>
                <c:cat>
                  <c:numRef>
                    <c:extLst xmlns:c15="http://schemas.microsoft.com/office/drawing/2012/chart">
                      <c:ext xmlns:c15="http://schemas.microsoft.com/office/drawing/2012/chart" uri="{02D57815-91ED-43cb-92C2-25804820EDAC}">
                        <c15:formulaRef>
                          <c15:sqref>'DataF3-F4'!$A$5:$A$52</c15:sqref>
                        </c15:formulaRef>
                      </c:ext>
                    </c:extLst>
                    <c:numCache>
                      <c:formatCode>General</c:formatCode>
                      <c:ptCount val="48"/>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numCache>
                  </c:numRef>
                </c:cat>
                <c:val>
                  <c:numRef>
                    <c:extLst xmlns:c15="http://schemas.microsoft.com/office/drawing/2012/chart">
                      <c:ext xmlns:c15="http://schemas.microsoft.com/office/drawing/2012/chart" uri="{02D57815-91ED-43cb-92C2-25804820EDAC}">
                        <c15:formulaRef>
                          <c15:sqref>'Wright-Zucman'!$F$9:$F$14</c15:sqref>
                        </c15:formulaRef>
                      </c:ext>
                    </c:extLst>
                    <c:numCache>
                      <c:formatCode>General</c:formatCode>
                      <c:ptCount val="1"/>
                    </c:numCache>
                  </c:numRef>
                </c:val>
                <c:smooth val="0"/>
                <c:extLst xmlns:c15="http://schemas.microsoft.com/office/drawing/2012/chart">
                  <c:ext xmlns:c16="http://schemas.microsoft.com/office/drawing/2014/chart" uri="{C3380CC4-5D6E-409C-BE32-E72D297353CC}">
                    <c16:uniqueId val="{00000005-192F-4D90-BF6C-8406153441A5}"/>
                  </c:ext>
                </c:extLst>
              </c15:ser>
            </c15:filteredLineSeries>
            <c15:filteredLineSeries>
              <c15:ser>
                <c:idx val="5"/>
                <c:order val="5"/>
                <c:marker>
                  <c:symbol val="none"/>
                </c:marker>
                <c:cat>
                  <c:numRef>
                    <c:extLst xmlns:c15="http://schemas.microsoft.com/office/drawing/2012/chart">
                      <c:ext xmlns:c15="http://schemas.microsoft.com/office/drawing/2012/chart" uri="{02D57815-91ED-43cb-92C2-25804820EDAC}">
                        <c15:formulaRef>
                          <c15:sqref>'DataF3-F4'!$A$5:$A$52</c15:sqref>
                        </c15:formulaRef>
                      </c:ext>
                    </c:extLst>
                    <c:numCache>
                      <c:formatCode>General</c:formatCode>
                      <c:ptCount val="48"/>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numCache>
                  </c:numRef>
                </c:cat>
                <c:val>
                  <c:numRef>
                    <c:extLst xmlns:c15="http://schemas.microsoft.com/office/drawing/2012/chart">
                      <c:ext xmlns:c15="http://schemas.microsoft.com/office/drawing/2012/chart" uri="{02D57815-91ED-43cb-92C2-25804820EDAC}">
                        <c15:formulaRef>
                          <c15:sqref>'Wright-Zucman'!$G$9:$G$14</c15:sqref>
                        </c15:formulaRef>
                      </c:ext>
                    </c:extLst>
                    <c:numCache>
                      <c:formatCode>General</c:formatCode>
                      <c:ptCount val="1"/>
                    </c:numCache>
                  </c:numRef>
                </c:val>
                <c:smooth val="0"/>
                <c:extLst xmlns:c15="http://schemas.microsoft.com/office/drawing/2012/chart">
                  <c:ext xmlns:c16="http://schemas.microsoft.com/office/drawing/2014/chart" uri="{C3380CC4-5D6E-409C-BE32-E72D297353CC}">
                    <c16:uniqueId val="{00000006-192F-4D90-BF6C-8406153441A5}"/>
                  </c:ext>
                </c:extLst>
              </c15:ser>
            </c15:filteredLineSeries>
          </c:ext>
        </c:extLst>
      </c:lineChart>
      <c:lineChart>
        <c:grouping val="standard"/>
        <c:varyColors val="0"/>
        <c:ser>
          <c:idx val="7"/>
          <c:order val="6"/>
          <c:spPr>
            <a:ln>
              <a:solidFill>
                <a:schemeClr val="tx1"/>
              </a:solidFill>
            </a:ln>
          </c:spPr>
          <c:marker>
            <c:symbol val="none"/>
          </c:marker>
          <c:dPt>
            <c:idx val="46"/>
            <c:bubble3D val="0"/>
            <c:extLst>
              <c:ext xmlns:c16="http://schemas.microsoft.com/office/drawing/2014/chart" uri="{C3380CC4-5D6E-409C-BE32-E72D297353CC}">
                <c16:uniqueId val="{00000004-FB4C-E742-8450-3A7F1B0DC266}"/>
              </c:ext>
            </c:extLst>
          </c:dPt>
          <c:dPt>
            <c:idx val="47"/>
            <c:bubble3D val="0"/>
            <c:extLst>
              <c:ext xmlns:c16="http://schemas.microsoft.com/office/drawing/2014/chart" uri="{C3380CC4-5D6E-409C-BE32-E72D297353CC}">
                <c16:uniqueId val="{00000005-FB4C-E742-8450-3A7F1B0DC266}"/>
              </c:ext>
            </c:extLst>
          </c:dPt>
          <c:val>
            <c:numRef>
              <c:f>'DataF3-F4'!$BA$5:$BA$53</c:f>
              <c:numCache>
                <c:formatCode>0%</c:formatCode>
                <c:ptCount val="49"/>
                <c:pt idx="0">
                  <c:v>7.0170210017327182E-3</c:v>
                </c:pt>
                <c:pt idx="1">
                  <c:v>6.9803095541385975E-3</c:v>
                </c:pt>
                <c:pt idx="2">
                  <c:v>7.3944783635180745E-3</c:v>
                </c:pt>
                <c:pt idx="3">
                  <c:v>9.8943206262068102E-3</c:v>
                </c:pt>
                <c:pt idx="4">
                  <c:v>1.5903898456036004E-2</c:v>
                </c:pt>
                <c:pt idx="5">
                  <c:v>1.5540346365024365E-2</c:v>
                </c:pt>
                <c:pt idx="6">
                  <c:v>1.2924262242310296E-2</c:v>
                </c:pt>
                <c:pt idx="7">
                  <c:v>1.5699208833893426E-2</c:v>
                </c:pt>
                <c:pt idx="8">
                  <c:v>1.3777179701490153E-2</c:v>
                </c:pt>
                <c:pt idx="9">
                  <c:v>1.3790566747600983E-2</c:v>
                </c:pt>
                <c:pt idx="10">
                  <c:v>1.3826603827250858E-2</c:v>
                </c:pt>
                <c:pt idx="11">
                  <c:v>1.0137322124985155E-2</c:v>
                </c:pt>
                <c:pt idx="12">
                  <c:v>1.2658344660792308E-2</c:v>
                </c:pt>
                <c:pt idx="13">
                  <c:v>1.0259116535999811E-2</c:v>
                </c:pt>
                <c:pt idx="14">
                  <c:v>1.3113569110526819E-2</c:v>
                </c:pt>
                <c:pt idx="15">
                  <c:v>1.5692776421256462E-2</c:v>
                </c:pt>
                <c:pt idx="16">
                  <c:v>1.4024137222373041E-2</c:v>
                </c:pt>
                <c:pt idx="17">
                  <c:v>1.2662795706887452E-2</c:v>
                </c:pt>
                <c:pt idx="18">
                  <c:v>1.315838937117029E-2</c:v>
                </c:pt>
                <c:pt idx="19">
                  <c:v>1.4008287590167368E-2</c:v>
                </c:pt>
                <c:pt idx="20">
                  <c:v>1.6698240284410019E-2</c:v>
                </c:pt>
                <c:pt idx="21">
                  <c:v>1.8450209160617018E-2</c:v>
                </c:pt>
                <c:pt idx="22">
                  <c:v>2.3069504264433049E-2</c:v>
                </c:pt>
                <c:pt idx="23">
                  <c:v>2.5803201083976685E-2</c:v>
                </c:pt>
                <c:pt idx="24">
                  <c:v>2.8875372637709135E-2</c:v>
                </c:pt>
                <c:pt idx="25">
                  <c:v>3.5888630538406005E-2</c:v>
                </c:pt>
                <c:pt idx="26">
                  <c:v>3.6273825449937333E-2</c:v>
                </c:pt>
                <c:pt idx="27">
                  <c:v>3.5666012560009702E-2</c:v>
                </c:pt>
                <c:pt idx="28">
                  <c:v>3.8313725989451652E-2</c:v>
                </c:pt>
                <c:pt idx="29">
                  <c:v>5.0123685844003264E-2</c:v>
                </c:pt>
                <c:pt idx="30">
                  <c:v>5.1406596486638229E-2</c:v>
                </c:pt>
                <c:pt idx="31">
                  <c:v>5.9051032113391841E-2</c:v>
                </c:pt>
                <c:pt idx="32">
                  <c:v>6.2388683969046288E-2</c:v>
                </c:pt>
                <c:pt idx="33">
                  <c:v>4.8290230008007584E-2</c:v>
                </c:pt>
                <c:pt idx="34">
                  <c:v>6.0747203871075114E-2</c:v>
                </c:pt>
                <c:pt idx="35">
                  <c:v>5.8604181466986392E-2</c:v>
                </c:pt>
                <c:pt idx="36">
                  <c:v>6.1362677697475963E-2</c:v>
                </c:pt>
                <c:pt idx="37">
                  <c:v>6.4179654027160485E-2</c:v>
                </c:pt>
                <c:pt idx="38">
                  <c:v>6.4534230215504737E-2</c:v>
                </c:pt>
                <c:pt idx="39">
                  <c:v>7.296197631476245E-2</c:v>
                </c:pt>
                <c:pt idx="40" formatCode="0.0%">
                  <c:v>8.4216532033426189E-2</c:v>
                </c:pt>
                <c:pt idx="41" formatCode="0.0%">
                  <c:v>8.3227481726418084E-2</c:v>
                </c:pt>
                <c:pt idx="42" formatCode="0.0%">
                  <c:v>8.2203019776095926E-2</c:v>
                </c:pt>
                <c:pt idx="43" formatCode="0.0%">
                  <c:v>8.0702968466797517E-2</c:v>
                </c:pt>
                <c:pt idx="44" formatCode="0.0%">
                  <c:v>8.4923534406735696E-2</c:v>
                </c:pt>
                <c:pt idx="45" formatCode="0.0%">
                  <c:v>7.1259265083925744E-2</c:v>
                </c:pt>
                <c:pt idx="46" formatCode="0.0%">
                  <c:v>7.3951564769405786E-2</c:v>
                </c:pt>
                <c:pt idx="47" formatCode="0.0%">
                  <c:v>6.9011573754030997E-2</c:v>
                </c:pt>
                <c:pt idx="48" formatCode="0.0%">
                  <c:v>7.6224908298991118E-2</c:v>
                </c:pt>
              </c:numCache>
            </c:numRef>
          </c:val>
          <c:smooth val="0"/>
          <c:extLst>
            <c:ext xmlns:c16="http://schemas.microsoft.com/office/drawing/2014/chart" uri="{C3380CC4-5D6E-409C-BE32-E72D297353CC}">
              <c16:uniqueId val="{00000001-192F-4D90-BF6C-8406153441A5}"/>
            </c:ext>
          </c:extLst>
        </c:ser>
        <c:dLbls>
          <c:showLegendKey val="0"/>
          <c:showVal val="0"/>
          <c:showCatName val="0"/>
          <c:showSerName val="0"/>
          <c:showPercent val="0"/>
          <c:showBubbleSize val="0"/>
        </c:dLbls>
        <c:marker val="1"/>
        <c:smooth val="0"/>
        <c:axId val="750701840"/>
        <c:axId val="750689360"/>
      </c:lineChart>
      <c:catAx>
        <c:axId val="1839106456"/>
        <c:scaling>
          <c:orientation val="minMax"/>
        </c:scaling>
        <c:delete val="0"/>
        <c:axPos val="b"/>
        <c:numFmt formatCode="General" sourceLinked="0"/>
        <c:majorTickMark val="none"/>
        <c:minorTickMark val="none"/>
        <c:tickLblPos val="nextTo"/>
        <c:txPr>
          <a:bodyPr/>
          <a:lstStyle/>
          <a:p>
            <a:pPr>
              <a:defRPr sz="1800"/>
            </a:pPr>
            <a:endParaRPr lang="en-US"/>
          </a:p>
        </c:txPr>
        <c:crossAx val="1839111368"/>
        <c:crosses val="autoZero"/>
        <c:auto val="1"/>
        <c:lblAlgn val="ctr"/>
        <c:lblOffset val="100"/>
        <c:tickLblSkip val="5"/>
        <c:noMultiLvlLbl val="0"/>
      </c:catAx>
      <c:valAx>
        <c:axId val="1839111368"/>
        <c:scaling>
          <c:orientation val="minMax"/>
          <c:min val="0"/>
        </c:scaling>
        <c:delete val="0"/>
        <c:axPos val="l"/>
        <c:majorGridlines>
          <c:spPr>
            <a:ln>
              <a:noFill/>
            </a:ln>
          </c:spPr>
        </c:majorGridlines>
        <c:title>
          <c:tx>
            <c:rich>
              <a:bodyPr/>
              <a:lstStyle/>
              <a:p>
                <a:pPr>
                  <a:defRPr sz="1800"/>
                </a:pPr>
                <a:r>
                  <a:rPr lang="en-US" sz="1800" b="0"/>
                  <a:t>% of foreign profits </a:t>
                </a:r>
              </a:p>
            </c:rich>
          </c:tx>
          <c:layout>
            <c:manualLayout>
              <c:xMode val="edge"/>
              <c:yMode val="edge"/>
              <c:x val="6.8327765304916693E-3"/>
              <c:y val="0.28691315520706356"/>
            </c:manualLayout>
          </c:layout>
          <c:overlay val="0"/>
        </c:title>
        <c:numFmt formatCode="0%" sourceLinked="0"/>
        <c:majorTickMark val="none"/>
        <c:minorTickMark val="none"/>
        <c:tickLblPos val="nextTo"/>
        <c:txPr>
          <a:bodyPr/>
          <a:lstStyle/>
          <a:p>
            <a:pPr>
              <a:defRPr sz="1800"/>
            </a:pPr>
            <a:endParaRPr lang="en-US"/>
          </a:p>
        </c:txPr>
        <c:crossAx val="1839106456"/>
        <c:crosses val="autoZero"/>
        <c:crossBetween val="between"/>
        <c:majorUnit val="4.0000000000000008E-2"/>
      </c:valAx>
      <c:valAx>
        <c:axId val="750689360"/>
        <c:scaling>
          <c:orientation val="minMax"/>
          <c:min val="0"/>
        </c:scaling>
        <c:delete val="0"/>
        <c:axPos val="r"/>
        <c:title>
          <c:tx>
            <c:rich>
              <a:bodyPr/>
              <a:lstStyle/>
              <a:p>
                <a:pPr>
                  <a:defRPr sz="1800"/>
                </a:pPr>
                <a:r>
                  <a:rPr lang="en-US" sz="1800" b="0"/>
                  <a:t>% of corporate tax revenue collected</a:t>
                </a:r>
              </a:p>
            </c:rich>
          </c:tx>
          <c:overlay val="0"/>
        </c:title>
        <c:numFmt formatCode="0%" sourceLinked="1"/>
        <c:majorTickMark val="none"/>
        <c:minorTickMark val="none"/>
        <c:tickLblPos val="nextTo"/>
        <c:txPr>
          <a:bodyPr/>
          <a:lstStyle/>
          <a:p>
            <a:pPr>
              <a:defRPr sz="1800"/>
            </a:pPr>
            <a:endParaRPr lang="en-US"/>
          </a:p>
        </c:txPr>
        <c:crossAx val="750701840"/>
        <c:crosses val="max"/>
        <c:crossBetween val="between"/>
        <c:majorUnit val="1.0000000000000002E-2"/>
      </c:valAx>
      <c:catAx>
        <c:axId val="750701840"/>
        <c:scaling>
          <c:orientation val="minMax"/>
        </c:scaling>
        <c:delete val="1"/>
        <c:axPos val="b"/>
        <c:numFmt formatCode="General" sourceLinked="1"/>
        <c:majorTickMark val="out"/>
        <c:minorTickMark val="none"/>
        <c:tickLblPos val="nextTo"/>
        <c:crossAx val="750689360"/>
        <c:crosses val="autoZero"/>
        <c:auto val="1"/>
        <c:lblAlgn val="ctr"/>
        <c:lblOffset val="100"/>
        <c:noMultiLvlLbl val="0"/>
      </c:catAx>
    </c:plotArea>
    <c:plotVisOnly val="1"/>
    <c:dispBlanksAs val="gap"/>
    <c:showDLblsOverMax val="0"/>
  </c:chart>
  <c:spPr>
    <a:noFill/>
    <a:ln>
      <a:noFill/>
    </a:ln>
  </c:spPr>
  <c:txPr>
    <a:bodyPr/>
    <a:lstStyle/>
    <a:p>
      <a:pPr>
        <a:defRPr>
          <a:latin typeface="Garamond" panose="02020404030301010803" pitchFamily="18" charset="0"/>
        </a:defRPr>
      </a:pPr>
      <a:endParaRPr lang="en-US"/>
    </a:p>
  </c:txPr>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69">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alpha val="75000"/>
        </a:schemeClr>
      </a:solidFill>
    </cs:spPr>
  </cs:dataPoint>
  <cs:dataPoint3D>
    <cs:lnRef idx="0"/>
    <cs:fillRef idx="1">
      <cs:styleClr val="auto"/>
    </cs:fillRef>
    <cs:effectRef idx="0"/>
    <cs:fontRef idx="minor">
      <a:schemeClr val="tx1"/>
    </cs:fontRef>
    <cs:spPr>
      <a:solidFill>
        <a:schemeClr val="phClr">
          <a:alpha val="75000"/>
        </a:schemeClr>
      </a:solidFill>
    </cs:spPr>
  </cs:dataPoint3D>
  <cs:dataPointLine>
    <cs:lnRef idx="0">
      <cs:styleClr val="auto"/>
    </cs:lnRef>
    <cs:fillRef idx="1"/>
    <cs:effectRef idx="0"/>
    <cs:fontRef idx="minor">
      <a:schemeClr val="tx1"/>
    </cs:fontRef>
    <cs:spPr>
      <a:ln w="19050" cap="rnd">
        <a:solidFill>
          <a:schemeClr val="phClr">
            <a:alpha val="50000"/>
          </a:scheme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chartsheets/_rels/sheet1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7.bin"/></Relationships>
</file>

<file path=xl/chartsheets/_rels/sheet1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0.bin"/></Relationships>
</file>

<file path=xl/chartsheets/_rels/sheet12.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1.bin"/></Relationships>
</file>

<file path=xl/chartsheets/_rels/sheet13.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2.bin"/></Relationships>
</file>

<file path=xl/chartsheets/_rels/sheet14.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3.bin"/></Relationships>
</file>

<file path=xl/chartsheets/_rels/sheet15.xml.rels><?xml version="1.0" encoding="UTF-8" standalone="yes"?>
<Relationships xmlns="http://schemas.openxmlformats.org/package/2006/relationships"><Relationship Id="rId1" Type="http://schemas.openxmlformats.org/officeDocument/2006/relationships/drawing" Target="../drawings/drawing30.xml"/></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chartsheets/_rels/sheet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chartsheets/_rels/sheet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chartsheets/_rels/sheet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chartsheets/_rels/sheet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chartsheets/_rels/sheet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2.bin"/></Relationships>
</file>

<file path=xl/chartsheets/_rels/sheet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6.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sheetViews>
    <sheetView zoomScale="70" workbookViewId="0"/>
  </sheetViews>
  <pageMargins left="0.7" right="0.7" top="0.75" bottom="0.75" header="0.3" footer="0.3"/>
  <pageSetup paperSize="9" orientation="landscape" r:id="rId1"/>
  <drawing r:id="rId2"/>
</chartsheet>
</file>

<file path=xl/chartsheets/sheet10.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7378F763-A299-4ACD-BD1B-F82A0A50AC9E}">
  <sheetPr/>
  <sheetViews>
    <sheetView zoomScale="70" workbookViewId="0"/>
  </sheetViews>
  <pageMargins left="0.7" right="0.7" top="0.75" bottom="0.75" header="0.3" footer="0.3"/>
  <pageSetup paperSize="9" orientation="landscape" r:id="rId1"/>
  <drawing r:id="rId2"/>
</chartsheet>
</file>

<file path=xl/chartsheets/sheet1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52E6B15D-6581-4FFB-848F-CDCAB078C8B8}">
  <sheetPr/>
  <sheetViews>
    <sheetView zoomScale="70" workbookViewId="0"/>
  </sheetViews>
  <pageMargins left="0.7" right="0.7" top="0.75" bottom="0.75" header="0.3" footer="0.3"/>
  <pageSetup paperSize="9" orientation="landscape" r:id="rId1"/>
  <drawing r:id="rId2"/>
</chartsheet>
</file>

<file path=xl/chartsheets/sheet1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E00-000000000000}">
  <sheetPr/>
  <sheetViews>
    <sheetView zoomScale="55" workbookViewId="0"/>
  </sheetViews>
  <pageMargins left="0.7" right="0.7" top="0.75" bottom="0.75" header="0.3" footer="0.3"/>
  <pageSetup paperSize="9" orientation="landscape" r:id="rId1"/>
  <drawing r:id="rId2"/>
</chartsheet>
</file>

<file path=xl/chartsheets/sheet1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F00-000000000000}">
  <sheetPr/>
  <sheetViews>
    <sheetView zoomScale="70" workbookViewId="0"/>
  </sheetViews>
  <pageMargins left="0.7" right="0.7" top="0.75" bottom="0.75" header="0.3" footer="0.3"/>
  <pageSetup paperSize="9" orientation="landscape" r:id="rId1"/>
  <drawing r:id="rId2"/>
</chartsheet>
</file>

<file path=xl/chartsheets/sheet1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900-000000000000}">
  <sheetPr/>
  <sheetViews>
    <sheetView zoomScale="70" workbookViewId="0"/>
  </sheetViews>
  <pageMargins left="0.7" right="0.7" top="0.75" bottom="0.75" header="0.3" footer="0.3"/>
  <pageSetup paperSize="9" orientation="landscape" r:id="rId1"/>
  <drawing r:id="rId2"/>
</chartsheet>
</file>

<file path=xl/chartsheets/sheet15.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600-000000000000}">
  <sheetPr/>
  <sheetViews>
    <sheetView zoomScale="85" workbookViewId="0"/>
  </sheetViews>
  <pageMargins left="0.7" right="0.7" top="0.75" bottom="0.75" header="0.3" footer="0.3"/>
  <pageSetup paperSize="9" orientation="landscape"/>
  <drawing r:id="rId1"/>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400-000000000000}">
  <sheetPr/>
  <sheetViews>
    <sheetView zoomScale="55" workbookViewId="0"/>
  </sheetViews>
  <pageMargins left="0.7" right="0.7" top="0.75" bottom="0.75" header="0.3" footer="0.3"/>
  <pageSetup paperSize="9" orientation="landscape" r:id="rId1"/>
  <drawing r:id="rId2"/>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600-000000000000}">
  <sheetPr/>
  <sheetViews>
    <sheetView zoomScale="55" workbookViewId="0"/>
  </sheetViews>
  <pageMargins left="0.7" right="0.7" top="0.75" bottom="0.75" header="0.3" footer="0.3"/>
  <pageSetup paperSize="9" orientation="landscape" r:id="rId1"/>
  <drawing r:id="rId2"/>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387E7CC3-4A62-174D-871C-5E8C52CF6414}">
  <sheetPr/>
  <sheetViews>
    <sheetView zoomScale="85" workbookViewId="0"/>
  </sheetViews>
  <pageMargins left="0.7" right="0.7" top="0.75" bottom="0.75" header="0.3" footer="0.3"/>
  <pageSetup paperSize="9" orientation="landscape" r:id="rId1"/>
  <drawing r:id="rId2"/>
</chartsheet>
</file>

<file path=xl/chartsheets/sheet5.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B00-000000000000}">
  <sheetPr/>
  <sheetViews>
    <sheetView zoomScale="70" workbookViewId="0"/>
  </sheetViews>
  <pageMargins left="0.7" right="0.7" top="0.75" bottom="0.75" header="0.3" footer="0.3"/>
  <pageSetup paperSize="9" orientation="landscape" r:id="rId1"/>
  <drawing r:id="rId2"/>
</chartsheet>
</file>

<file path=xl/chartsheets/sheet6.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C914B82C-1DBA-E641-8BC6-4084805768A6}">
  <sheetPr/>
  <sheetViews>
    <sheetView zoomScale="55" workbookViewId="0"/>
  </sheetViews>
  <pageMargins left="0.7" right="0.7" top="0.75" bottom="0.75" header="0.3" footer="0.3"/>
  <pageSetup paperSize="9" orientation="landscape" r:id="rId1"/>
  <drawing r:id="rId2"/>
</chartsheet>
</file>

<file path=xl/chartsheets/sheet7.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11DC5EE9-1A67-1745-B614-ECA1CD58A6BC}">
  <sheetPr/>
  <sheetViews>
    <sheetView zoomScale="70" workbookViewId="0"/>
  </sheetViews>
  <pageMargins left="0.7" right="0.7" top="0.75" bottom="0.75" header="0.3" footer="0.3"/>
  <pageSetup paperSize="9" orientation="landscape" r:id="rId1"/>
  <drawing r:id="rId2"/>
</chartsheet>
</file>

<file path=xl/chartsheets/sheet8.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000-000000000000}">
  <sheetPr/>
  <sheetViews>
    <sheetView zoomScale="55" workbookViewId="0"/>
  </sheetViews>
  <pageMargins left="0.75" right="0" top="1" bottom="1" header="0.5" footer="0.5"/>
  <pageSetup orientation="landscape" horizontalDpi="4294967292" verticalDpi="4294967292" r:id="rId1"/>
  <drawing r:id="rId2"/>
</chartsheet>
</file>

<file path=xl/chartsheets/sheet9.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B50516C5-7A2F-4CEC-B0C0-3EE0683D461A}">
  <sheetPr/>
  <sheetViews>
    <sheetView zoomScale="55" workbookViewId="0"/>
  </sheetViews>
  <pageMargins left="0.7" right="0.7" top="0.75" bottom="0.75" header="0.3" footer="0.3"/>
  <pageSetup paperSize="9" orientation="landscape" r:id="rId1"/>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0.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31.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absoluteAnchor>
    <xdr:pos x="0" y="0"/>
    <xdr:ext cx="9307286" cy="6059714"/>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0.xml><?xml version="1.0" encoding="utf-8"?>
<xdr:wsDr xmlns:xdr="http://schemas.openxmlformats.org/drawingml/2006/spreadsheetDrawing" xmlns:a="http://schemas.openxmlformats.org/drawingml/2006/main">
  <xdr:absoluteAnchor>
    <xdr:pos x="0" y="0"/>
    <xdr:ext cx="9289143" cy="6059714"/>
    <xdr:graphicFrame macro="">
      <xdr:nvGraphicFramePr>
        <xdr:cNvPr id="2" name="Chart 1">
          <a:extLst>
            <a:ext uri="{FF2B5EF4-FFF2-40B4-BE49-F238E27FC236}">
              <a16:creationId xmlns:a16="http://schemas.microsoft.com/office/drawing/2014/main" id="{A970E022-248F-A6E4-FB44-8345DA3E23A4}"/>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1.xml><?xml version="1.0" encoding="utf-8"?>
<c:userShapes xmlns:c="http://schemas.openxmlformats.org/drawingml/2006/chart">
  <cdr:relSizeAnchor xmlns:cdr="http://schemas.openxmlformats.org/drawingml/2006/chartDrawing">
    <cdr:from>
      <cdr:x>0.09795</cdr:x>
      <cdr:y>0.47366</cdr:y>
    </cdr:from>
    <cdr:to>
      <cdr:x>0.42741</cdr:x>
      <cdr:y>0.61529</cdr:y>
    </cdr:to>
    <cdr:sp macro="" textlink="">
      <cdr:nvSpPr>
        <cdr:cNvPr id="2" name="TextBox 1">
          <a:extLst xmlns:a="http://schemas.openxmlformats.org/drawingml/2006/main">
            <a:ext uri="{FF2B5EF4-FFF2-40B4-BE49-F238E27FC236}">
              <a16:creationId xmlns:a16="http://schemas.microsoft.com/office/drawing/2014/main" id="{4536E319-A116-F5DF-832F-896FD0E78EB0}"/>
            </a:ext>
          </a:extLst>
        </cdr:cNvPr>
        <cdr:cNvSpPr txBox="1"/>
      </cdr:nvSpPr>
      <cdr:spPr>
        <a:xfrm xmlns:a="http://schemas.openxmlformats.org/drawingml/2006/main">
          <a:off x="911649" y="2870267"/>
          <a:ext cx="3066378" cy="85823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GB" sz="1600" baseline="0">
              <a:solidFill>
                <a:schemeClr val="accent1">
                  <a:lumMod val="75000"/>
                </a:schemeClr>
              </a:solidFill>
              <a:latin typeface="Garamond" panose="02020404030301010803" pitchFamily="18" charset="0"/>
            </a:rPr>
            <a:t>Profits shifted to havens </a:t>
          </a:r>
        </a:p>
        <a:p xmlns:a="http://schemas.openxmlformats.org/drawingml/2006/main">
          <a:pPr algn="ctr"/>
          <a:r>
            <a:rPr lang="en-GB" sz="1600" baseline="0">
              <a:solidFill>
                <a:schemeClr val="accent1">
                  <a:lumMod val="75000"/>
                </a:schemeClr>
              </a:solidFill>
              <a:latin typeface="Garamond" panose="02020404030301010803" pitchFamily="18" charset="0"/>
            </a:rPr>
            <a:t>(left axis)</a:t>
          </a:r>
          <a:endParaRPr lang="en-DK" sz="1600">
            <a:solidFill>
              <a:schemeClr val="accent1">
                <a:lumMod val="75000"/>
              </a:schemeClr>
            </a:solidFill>
            <a:latin typeface="Garamond" panose="02020404030301010803" pitchFamily="18" charset="0"/>
          </a:endParaRPr>
        </a:p>
      </cdr:txBody>
    </cdr:sp>
  </cdr:relSizeAnchor>
  <cdr:relSizeAnchor xmlns:cdr="http://schemas.openxmlformats.org/drawingml/2006/chartDrawing">
    <cdr:from>
      <cdr:x>0.30279</cdr:x>
      <cdr:y>0.77146</cdr:y>
    </cdr:from>
    <cdr:to>
      <cdr:x>0.55612</cdr:x>
      <cdr:y>0.89954</cdr:y>
    </cdr:to>
    <cdr:sp macro="" textlink="">
      <cdr:nvSpPr>
        <cdr:cNvPr id="3" name="TextBox 1">
          <a:extLst xmlns:a="http://schemas.openxmlformats.org/drawingml/2006/main">
            <a:ext uri="{FF2B5EF4-FFF2-40B4-BE49-F238E27FC236}">
              <a16:creationId xmlns:a16="http://schemas.microsoft.com/office/drawing/2014/main" id="{5EA5B06F-0E4D-A107-25A1-69D414CD0EF0}"/>
            </a:ext>
          </a:extLst>
        </cdr:cNvPr>
        <cdr:cNvSpPr txBox="1"/>
      </cdr:nvSpPr>
      <cdr:spPr>
        <a:xfrm xmlns:a="http://schemas.openxmlformats.org/drawingml/2006/main">
          <a:off x="2818111" y="4674805"/>
          <a:ext cx="2357814" cy="77612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GB" sz="1600">
              <a:solidFill>
                <a:sysClr val="windowText" lastClr="000000"/>
              </a:solidFill>
              <a:latin typeface="Garamond" panose="02020404030301010803" pitchFamily="18" charset="0"/>
            </a:rPr>
            <a:t>Corporate</a:t>
          </a:r>
          <a:r>
            <a:rPr lang="en-GB" sz="1600" baseline="0">
              <a:solidFill>
                <a:sysClr val="windowText" lastClr="000000"/>
              </a:solidFill>
              <a:latin typeface="Garamond" panose="02020404030301010803" pitchFamily="18" charset="0"/>
            </a:rPr>
            <a:t> tax revenue loss (right axis)</a:t>
          </a:r>
          <a:endParaRPr lang="en-DK" sz="1600">
            <a:solidFill>
              <a:sysClr val="windowText" lastClr="000000"/>
            </a:solidFill>
            <a:latin typeface="Garamond" panose="02020404030301010803" pitchFamily="18" charset="0"/>
          </a:endParaRPr>
        </a:p>
      </cdr:txBody>
    </cdr:sp>
  </cdr:relSizeAnchor>
  <cdr:relSizeAnchor xmlns:cdr="http://schemas.openxmlformats.org/drawingml/2006/chartDrawing">
    <cdr:from>
      <cdr:x>0.77316</cdr:x>
      <cdr:y>0.12265</cdr:y>
    </cdr:from>
    <cdr:to>
      <cdr:x>0.77557</cdr:x>
      <cdr:y>0.78398</cdr:y>
    </cdr:to>
    <cdr:cxnSp macro="">
      <cdr:nvCxnSpPr>
        <cdr:cNvPr id="5" name="Straight Connector 4">
          <a:extLst xmlns:a="http://schemas.openxmlformats.org/drawingml/2006/main">
            <a:ext uri="{FF2B5EF4-FFF2-40B4-BE49-F238E27FC236}">
              <a16:creationId xmlns:a16="http://schemas.microsoft.com/office/drawing/2014/main" id="{EE824E42-16A2-C07A-4212-8415DB0EFA97}"/>
            </a:ext>
          </a:extLst>
        </cdr:cNvPr>
        <cdr:cNvCxnSpPr/>
      </cdr:nvCxnSpPr>
      <cdr:spPr>
        <a:xfrm xmlns:a="http://schemas.openxmlformats.org/drawingml/2006/main" flipV="1">
          <a:off x="7197461" y="744537"/>
          <a:ext cx="22435" cy="4014670"/>
        </a:xfrm>
        <a:prstGeom xmlns:a="http://schemas.openxmlformats.org/drawingml/2006/main" prst="line">
          <a:avLst/>
        </a:prstGeom>
        <a:ln xmlns:a="http://schemas.openxmlformats.org/drawingml/2006/main">
          <a:solidFill>
            <a:schemeClr val="tx1">
              <a:lumMod val="50000"/>
              <a:lumOff val="50000"/>
            </a:schemeClr>
          </a:solidFill>
          <a:prstDash val="lg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0.66439</cdr:x>
      <cdr:y>0.7862</cdr:y>
    </cdr:from>
    <cdr:to>
      <cdr:x>0.94508</cdr:x>
      <cdr:y>0.91428</cdr:y>
    </cdr:to>
    <cdr:sp macro="" textlink="">
      <cdr:nvSpPr>
        <cdr:cNvPr id="7" name="TextBox 1">
          <a:extLst xmlns:a="http://schemas.openxmlformats.org/drawingml/2006/main">
            <a:ext uri="{FF2B5EF4-FFF2-40B4-BE49-F238E27FC236}">
              <a16:creationId xmlns:a16="http://schemas.microsoft.com/office/drawing/2014/main" id="{0FE57902-BCBB-77E1-7BF7-39BBFAA92486}"/>
            </a:ext>
          </a:extLst>
        </cdr:cNvPr>
        <cdr:cNvSpPr txBox="1"/>
      </cdr:nvSpPr>
      <cdr:spPr>
        <a:xfrm xmlns:a="http://schemas.openxmlformats.org/drawingml/2006/main">
          <a:off x="6184901" y="4772706"/>
          <a:ext cx="2612944" cy="77752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600">
              <a:solidFill>
                <a:schemeClr val="accent3">
                  <a:lumMod val="75000"/>
                </a:schemeClr>
              </a:solidFill>
              <a:latin typeface="Garamond" panose="02020404030301010803" pitchFamily="18" charset="0"/>
            </a:rPr>
            <a:t>Base Erosion &amp;</a:t>
          </a:r>
          <a:r>
            <a:rPr lang="en-GB" sz="1600" baseline="0">
              <a:solidFill>
                <a:schemeClr val="accent3">
                  <a:lumMod val="75000"/>
                </a:schemeClr>
              </a:solidFill>
              <a:latin typeface="Garamond" panose="02020404030301010803" pitchFamily="18" charset="0"/>
            </a:rPr>
            <a:t> </a:t>
          </a:r>
          <a:r>
            <a:rPr lang="en-GB" sz="1600">
              <a:solidFill>
                <a:schemeClr val="accent3">
                  <a:lumMod val="75000"/>
                </a:schemeClr>
              </a:solidFill>
              <a:latin typeface="Garamond" panose="02020404030301010803" pitchFamily="18" charset="0"/>
            </a:rPr>
            <a:t>Profit </a:t>
          </a:r>
        </a:p>
        <a:p xmlns:a="http://schemas.openxmlformats.org/drawingml/2006/main">
          <a:r>
            <a:rPr lang="en-GB" sz="1600">
              <a:solidFill>
                <a:schemeClr val="accent3">
                  <a:lumMod val="75000"/>
                </a:schemeClr>
              </a:solidFill>
              <a:latin typeface="Garamond" panose="02020404030301010803" pitchFamily="18" charset="0"/>
            </a:rPr>
            <a:t>Shifting</a:t>
          </a:r>
          <a:r>
            <a:rPr lang="en-GB" sz="1600" baseline="0">
              <a:solidFill>
                <a:schemeClr val="accent3">
                  <a:lumMod val="75000"/>
                </a:schemeClr>
              </a:solidFill>
              <a:latin typeface="Garamond" panose="02020404030301010803" pitchFamily="18" charset="0"/>
            </a:rPr>
            <a:t> </a:t>
          </a:r>
          <a:r>
            <a:rPr lang="en-GB" sz="1600">
              <a:solidFill>
                <a:schemeClr val="accent3">
                  <a:lumMod val="75000"/>
                </a:schemeClr>
              </a:solidFill>
              <a:latin typeface="Garamond" panose="02020404030301010803" pitchFamily="18" charset="0"/>
            </a:rPr>
            <a:t>initiated (2015)</a:t>
          </a:r>
          <a:endParaRPr lang="en-DK" sz="1600">
            <a:solidFill>
              <a:schemeClr val="accent3">
                <a:lumMod val="75000"/>
              </a:schemeClr>
            </a:solidFill>
            <a:latin typeface="Garamond" panose="02020404030301010803" pitchFamily="18" charset="0"/>
          </a:endParaRPr>
        </a:p>
      </cdr:txBody>
    </cdr:sp>
  </cdr:relSizeAnchor>
  <cdr:relSizeAnchor xmlns:cdr="http://schemas.openxmlformats.org/drawingml/2006/chartDrawing">
    <cdr:from>
      <cdr:x>0.82128</cdr:x>
      <cdr:y>0.1181</cdr:y>
    </cdr:from>
    <cdr:to>
      <cdr:x>0.82192</cdr:x>
      <cdr:y>0.61589</cdr:y>
    </cdr:to>
    <cdr:cxnSp macro="">
      <cdr:nvCxnSpPr>
        <cdr:cNvPr id="8" name="Straight Connector 7">
          <a:extLst xmlns:a="http://schemas.openxmlformats.org/drawingml/2006/main">
            <a:ext uri="{FF2B5EF4-FFF2-40B4-BE49-F238E27FC236}">
              <a16:creationId xmlns:a16="http://schemas.microsoft.com/office/drawing/2014/main" id="{7E6C8ADE-3BC4-97EE-569A-4D96A14F0813}"/>
            </a:ext>
          </a:extLst>
        </cdr:cNvPr>
        <cdr:cNvCxnSpPr/>
      </cdr:nvCxnSpPr>
      <cdr:spPr>
        <a:xfrm xmlns:a="http://schemas.openxmlformats.org/drawingml/2006/main" flipV="1">
          <a:off x="7645344" y="716914"/>
          <a:ext cx="5958" cy="3021884"/>
        </a:xfrm>
        <a:prstGeom xmlns:a="http://schemas.openxmlformats.org/drawingml/2006/main" prst="line">
          <a:avLst/>
        </a:prstGeom>
        <a:ln xmlns:a="http://schemas.openxmlformats.org/drawingml/2006/main">
          <a:solidFill>
            <a:srgbClr val="FF0000"/>
          </a:solidFill>
          <a:prstDash val="lg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0.78308</cdr:x>
      <cdr:y>0.61564</cdr:y>
    </cdr:from>
    <cdr:to>
      <cdr:x>0.90219</cdr:x>
      <cdr:y>0.74372</cdr:y>
    </cdr:to>
    <cdr:sp macro="" textlink="">
      <cdr:nvSpPr>
        <cdr:cNvPr id="10" name="TextBox 1">
          <a:extLst xmlns:a="http://schemas.openxmlformats.org/drawingml/2006/main">
            <a:ext uri="{FF2B5EF4-FFF2-40B4-BE49-F238E27FC236}">
              <a16:creationId xmlns:a16="http://schemas.microsoft.com/office/drawing/2014/main" id="{BC5A207B-A8B1-88CF-E6F2-B3B6CF2E0379}"/>
            </a:ext>
          </a:extLst>
        </cdr:cNvPr>
        <cdr:cNvSpPr txBox="1"/>
      </cdr:nvSpPr>
      <cdr:spPr>
        <a:xfrm xmlns:a="http://schemas.openxmlformats.org/drawingml/2006/main">
          <a:off x="7289800" y="3737281"/>
          <a:ext cx="1108807" cy="77752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600">
              <a:solidFill>
                <a:srgbClr val="FF0000"/>
              </a:solidFill>
              <a:latin typeface="Garamond" panose="02020404030301010803" pitchFamily="18" charset="0"/>
            </a:rPr>
            <a:t>Tax Cuts</a:t>
          </a:r>
          <a:r>
            <a:rPr lang="en-GB" sz="1600" baseline="0">
              <a:solidFill>
                <a:srgbClr val="FF0000"/>
              </a:solidFill>
              <a:latin typeface="Garamond" panose="02020404030301010803" pitchFamily="18" charset="0"/>
            </a:rPr>
            <a:t> </a:t>
          </a:r>
          <a:r>
            <a:rPr lang="en-GB" sz="1600">
              <a:solidFill>
                <a:srgbClr val="FF0000"/>
              </a:solidFill>
              <a:latin typeface="Garamond" panose="02020404030301010803" pitchFamily="18" charset="0"/>
            </a:rPr>
            <a:t>and Jobs Act (2018)</a:t>
          </a:r>
          <a:endParaRPr lang="en-DK" sz="1600">
            <a:solidFill>
              <a:srgbClr val="FF0000"/>
            </a:solidFill>
            <a:latin typeface="Garamond" panose="02020404030301010803" pitchFamily="18" charset="0"/>
          </a:endParaRPr>
        </a:p>
      </cdr:txBody>
    </cdr:sp>
  </cdr:relSizeAnchor>
</c:userShapes>
</file>

<file path=xl/drawings/drawing12.xml><?xml version="1.0" encoding="utf-8"?>
<xdr:wsDr xmlns:xdr="http://schemas.openxmlformats.org/drawingml/2006/spreadsheetDrawing" xmlns:a="http://schemas.openxmlformats.org/drawingml/2006/main">
  <xdr:absoluteAnchor>
    <xdr:pos x="0" y="0"/>
    <xdr:ext cx="9305636" cy="6084455"/>
    <xdr:graphicFrame macro="">
      <xdr:nvGraphicFramePr>
        <xdr:cNvPr id="2" name="Chart 1">
          <a:extLst>
            <a:ext uri="{FF2B5EF4-FFF2-40B4-BE49-F238E27FC236}">
              <a16:creationId xmlns:a16="http://schemas.microsoft.com/office/drawing/2014/main" id="{C1B44862-03D0-4EA6-811B-016CE2005905}"/>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3.xml><?xml version="1.0" encoding="utf-8"?>
<c:userShapes xmlns:c="http://schemas.openxmlformats.org/drawingml/2006/chart">
  <cdr:relSizeAnchor xmlns:cdr="http://schemas.openxmlformats.org/drawingml/2006/chartDrawing">
    <cdr:from>
      <cdr:x>0.8668</cdr:x>
      <cdr:y>0.2636</cdr:y>
    </cdr:from>
    <cdr:to>
      <cdr:x>1</cdr:x>
      <cdr:y>0.32726</cdr:y>
    </cdr:to>
    <cdr:sp macro="" textlink="">
      <cdr:nvSpPr>
        <cdr:cNvPr id="4" name="Tekstfelt 5">
          <a:extLst xmlns:a="http://schemas.openxmlformats.org/drawingml/2006/main">
            <a:ext uri="{FF2B5EF4-FFF2-40B4-BE49-F238E27FC236}">
              <a16:creationId xmlns:a16="http://schemas.microsoft.com/office/drawing/2014/main" id="{D441729D-5548-20D0-A747-BCD67896AAE2}"/>
            </a:ext>
          </a:extLst>
        </cdr:cNvPr>
        <cdr:cNvSpPr txBox="1"/>
      </cdr:nvSpPr>
      <cdr:spPr>
        <a:xfrm xmlns:a="http://schemas.openxmlformats.org/drawingml/2006/main">
          <a:off x="8069128" y="1600220"/>
          <a:ext cx="1239972" cy="38645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a-DK" sz="1800">
              <a:latin typeface="Garamond" panose="02020404030301010803" pitchFamily="18" charset="0"/>
            </a:rPr>
            <a:t>Central</a:t>
          </a:r>
        </a:p>
      </cdr:txBody>
    </cdr:sp>
  </cdr:relSizeAnchor>
  <cdr:relSizeAnchor xmlns:cdr="http://schemas.openxmlformats.org/drawingml/2006/chartDrawing">
    <cdr:from>
      <cdr:x>0.3395</cdr:x>
      <cdr:y>0.25111</cdr:y>
    </cdr:from>
    <cdr:to>
      <cdr:x>0.5132</cdr:x>
      <cdr:y>0.31967</cdr:y>
    </cdr:to>
    <cdr:sp macro="" textlink="">
      <cdr:nvSpPr>
        <cdr:cNvPr id="5" name="TextBox 1">
          <a:extLst xmlns:a="http://schemas.openxmlformats.org/drawingml/2006/main">
            <a:ext uri="{FF2B5EF4-FFF2-40B4-BE49-F238E27FC236}">
              <a16:creationId xmlns:a16="http://schemas.microsoft.com/office/drawing/2014/main" id="{0686B533-CBC6-8894-5B26-4E95E655FE28}"/>
            </a:ext>
          </a:extLst>
        </cdr:cNvPr>
        <cdr:cNvSpPr txBox="1"/>
      </cdr:nvSpPr>
      <cdr:spPr>
        <a:xfrm xmlns:a="http://schemas.openxmlformats.org/drawingml/2006/main">
          <a:off x="3155139" y="1523268"/>
          <a:ext cx="1614266" cy="41589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600" baseline="0">
              <a:solidFill>
                <a:schemeClr val="accent2"/>
              </a:solidFill>
              <a:latin typeface="Garamond" panose="02020404030301010803" pitchFamily="18" charset="0"/>
            </a:rPr>
            <a:t>Upper bound</a:t>
          </a:r>
        </a:p>
      </cdr:txBody>
    </cdr:sp>
  </cdr:relSizeAnchor>
  <cdr:relSizeAnchor xmlns:cdr="http://schemas.openxmlformats.org/drawingml/2006/chartDrawing">
    <cdr:from>
      <cdr:x>0.49257</cdr:x>
      <cdr:y>0.71505</cdr:y>
    </cdr:from>
    <cdr:to>
      <cdr:x>0.68166</cdr:x>
      <cdr:y>0.78537</cdr:y>
    </cdr:to>
    <cdr:sp macro="" textlink="">
      <cdr:nvSpPr>
        <cdr:cNvPr id="6" name="TextBox 1">
          <a:extLst xmlns:a="http://schemas.openxmlformats.org/drawingml/2006/main">
            <a:ext uri="{FF2B5EF4-FFF2-40B4-BE49-F238E27FC236}">
              <a16:creationId xmlns:a16="http://schemas.microsoft.com/office/drawing/2014/main" id="{9A58E287-45E3-BFAF-0CC9-37327943F773}"/>
            </a:ext>
          </a:extLst>
        </cdr:cNvPr>
        <cdr:cNvSpPr txBox="1"/>
      </cdr:nvSpPr>
      <cdr:spPr>
        <a:xfrm xmlns:a="http://schemas.openxmlformats.org/drawingml/2006/main">
          <a:off x="4577623" y="4337573"/>
          <a:ext cx="1757291" cy="42656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600">
              <a:solidFill>
                <a:srgbClr val="0070C0"/>
              </a:solidFill>
              <a:latin typeface="Garamond" panose="02020404030301010803" pitchFamily="18" charset="0"/>
            </a:rPr>
            <a:t>Lower bound</a:t>
          </a:r>
          <a:endParaRPr lang="en-DK" sz="1600">
            <a:solidFill>
              <a:srgbClr val="0070C0"/>
            </a:solidFill>
            <a:latin typeface="Garamond" panose="02020404030301010803" pitchFamily="18" charset="0"/>
          </a:endParaRPr>
        </a:p>
      </cdr:txBody>
    </cdr:sp>
  </cdr:relSizeAnchor>
  <cdr:relSizeAnchor xmlns:cdr="http://schemas.openxmlformats.org/drawingml/2006/chartDrawing">
    <cdr:from>
      <cdr:x>0.38841</cdr:x>
      <cdr:y>0.40375</cdr:y>
    </cdr:from>
    <cdr:to>
      <cdr:x>0.56211</cdr:x>
      <cdr:y>0.47231</cdr:y>
    </cdr:to>
    <cdr:sp macro="" textlink="">
      <cdr:nvSpPr>
        <cdr:cNvPr id="8" name="TextBox 1">
          <a:extLst xmlns:a="http://schemas.openxmlformats.org/drawingml/2006/main">
            <a:ext uri="{FF2B5EF4-FFF2-40B4-BE49-F238E27FC236}">
              <a16:creationId xmlns:a16="http://schemas.microsoft.com/office/drawing/2014/main" id="{AC5F3C5C-D3AA-8495-BB4F-03B1C3BD7DF9}"/>
            </a:ext>
          </a:extLst>
        </cdr:cNvPr>
        <cdr:cNvSpPr txBox="1"/>
      </cdr:nvSpPr>
      <cdr:spPr>
        <a:xfrm xmlns:a="http://schemas.openxmlformats.org/drawingml/2006/main">
          <a:off x="3609615" y="2449220"/>
          <a:ext cx="1614265" cy="41589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600" baseline="0">
              <a:solidFill>
                <a:schemeClr val="accent2"/>
              </a:solidFill>
              <a:latin typeface="Garamond" panose="02020404030301010803" pitchFamily="18" charset="0"/>
            </a:rPr>
            <a:t>High-end</a:t>
          </a:r>
        </a:p>
      </cdr:txBody>
    </cdr:sp>
  </cdr:relSizeAnchor>
  <cdr:relSizeAnchor xmlns:cdr="http://schemas.openxmlformats.org/drawingml/2006/chartDrawing">
    <cdr:from>
      <cdr:x>0.58605</cdr:x>
      <cdr:y>0.57059</cdr:y>
    </cdr:from>
    <cdr:to>
      <cdr:x>0.77514</cdr:x>
      <cdr:y>0.64091</cdr:y>
    </cdr:to>
    <cdr:sp macro="" textlink="">
      <cdr:nvSpPr>
        <cdr:cNvPr id="9" name="TextBox 1">
          <a:extLst xmlns:a="http://schemas.openxmlformats.org/drawingml/2006/main">
            <a:ext uri="{FF2B5EF4-FFF2-40B4-BE49-F238E27FC236}">
              <a16:creationId xmlns:a16="http://schemas.microsoft.com/office/drawing/2014/main" id="{60185A2E-D455-75B8-B01F-0069A7AFE5DF}"/>
            </a:ext>
          </a:extLst>
        </cdr:cNvPr>
        <cdr:cNvSpPr txBox="1"/>
      </cdr:nvSpPr>
      <cdr:spPr>
        <a:xfrm xmlns:a="http://schemas.openxmlformats.org/drawingml/2006/main">
          <a:off x="5446378" y="3461276"/>
          <a:ext cx="1757291" cy="42657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600">
              <a:solidFill>
                <a:srgbClr val="0070C0"/>
              </a:solidFill>
              <a:latin typeface="Garamond" panose="02020404030301010803" pitchFamily="18" charset="0"/>
            </a:rPr>
            <a:t>Low-end</a:t>
          </a:r>
          <a:endParaRPr lang="en-DK" sz="1600">
            <a:solidFill>
              <a:srgbClr val="0070C0"/>
            </a:solidFill>
            <a:latin typeface="Garamond" panose="02020404030301010803" pitchFamily="18" charset="0"/>
          </a:endParaRPr>
        </a:p>
      </cdr:txBody>
    </cdr:sp>
  </cdr:relSizeAnchor>
</c:userShapes>
</file>

<file path=xl/drawings/drawing14.xml><?xml version="1.0" encoding="utf-8"?>
<xdr:wsDr xmlns:xdr="http://schemas.openxmlformats.org/drawingml/2006/spreadsheetDrawing" xmlns:a="http://schemas.openxmlformats.org/drawingml/2006/main">
  <xdr:absoluteAnchor>
    <xdr:pos x="0" y="0"/>
    <xdr:ext cx="9289143" cy="6059714"/>
    <xdr:graphicFrame macro="">
      <xdr:nvGraphicFramePr>
        <xdr:cNvPr id="2" name="Chart 1">
          <a:extLst>
            <a:ext uri="{FF2B5EF4-FFF2-40B4-BE49-F238E27FC236}">
              <a16:creationId xmlns:a16="http://schemas.microsoft.com/office/drawing/2014/main" id="{AA205726-8E24-A19A-D06B-EA338CB24541}"/>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5.xml><?xml version="1.0" encoding="utf-8"?>
<c:userShapes xmlns:c="http://schemas.openxmlformats.org/drawingml/2006/chart">
  <cdr:relSizeAnchor xmlns:cdr="http://schemas.openxmlformats.org/drawingml/2006/chartDrawing">
    <cdr:from>
      <cdr:x>0.28427</cdr:x>
      <cdr:y>0.64672</cdr:y>
    </cdr:from>
    <cdr:to>
      <cdr:x>0.45807</cdr:x>
      <cdr:y>0.71519</cdr:y>
    </cdr:to>
    <cdr:sp macro="" textlink="">
      <cdr:nvSpPr>
        <cdr:cNvPr id="2" name="TextBox 1">
          <a:extLst xmlns:a="http://schemas.openxmlformats.org/drawingml/2006/main">
            <a:ext uri="{FF2B5EF4-FFF2-40B4-BE49-F238E27FC236}">
              <a16:creationId xmlns:a16="http://schemas.microsoft.com/office/drawing/2014/main" id="{4536E319-A116-F5DF-832F-896FD0E78EB0}"/>
            </a:ext>
          </a:extLst>
        </cdr:cNvPr>
        <cdr:cNvSpPr txBox="1"/>
      </cdr:nvSpPr>
      <cdr:spPr>
        <a:xfrm xmlns:a="http://schemas.openxmlformats.org/drawingml/2006/main">
          <a:off x="2645808" y="3918951"/>
          <a:ext cx="1617606" cy="41490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600" baseline="0">
              <a:solidFill>
                <a:schemeClr val="accent2"/>
              </a:solidFill>
              <a:latin typeface="Garamond" panose="02020404030301010803" pitchFamily="18" charset="0"/>
            </a:rPr>
            <a:t>Upper bound</a:t>
          </a:r>
        </a:p>
      </cdr:txBody>
    </cdr:sp>
  </cdr:relSizeAnchor>
  <cdr:relSizeAnchor xmlns:cdr="http://schemas.openxmlformats.org/drawingml/2006/chartDrawing">
    <cdr:from>
      <cdr:x>0.67021</cdr:x>
      <cdr:y>0.73594</cdr:y>
    </cdr:from>
    <cdr:to>
      <cdr:x>0.88807</cdr:x>
      <cdr:y>0.80616</cdr:y>
    </cdr:to>
    <cdr:sp macro="" textlink="">
      <cdr:nvSpPr>
        <cdr:cNvPr id="3" name="TextBox 1">
          <a:extLst xmlns:a="http://schemas.openxmlformats.org/drawingml/2006/main">
            <a:ext uri="{FF2B5EF4-FFF2-40B4-BE49-F238E27FC236}">
              <a16:creationId xmlns:a16="http://schemas.microsoft.com/office/drawing/2014/main" id="{5EA5B06F-0E4D-A107-25A1-69D414CD0EF0}"/>
            </a:ext>
          </a:extLst>
        </cdr:cNvPr>
        <cdr:cNvSpPr txBox="1"/>
      </cdr:nvSpPr>
      <cdr:spPr>
        <a:xfrm xmlns:a="http://schemas.openxmlformats.org/drawingml/2006/main">
          <a:off x="6239036" y="4467611"/>
          <a:ext cx="2028081" cy="42627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600">
              <a:solidFill>
                <a:srgbClr val="0070C0"/>
              </a:solidFill>
              <a:latin typeface="Garamond" panose="02020404030301010803" pitchFamily="18" charset="0"/>
            </a:rPr>
            <a:t>Lower bound</a:t>
          </a:r>
          <a:endParaRPr lang="en-DK" sz="1600">
            <a:solidFill>
              <a:srgbClr val="0070C0"/>
            </a:solidFill>
            <a:latin typeface="Garamond" panose="02020404030301010803" pitchFamily="18" charset="0"/>
          </a:endParaRPr>
        </a:p>
      </cdr:txBody>
    </cdr:sp>
  </cdr:relSizeAnchor>
  <cdr:relSizeAnchor xmlns:cdr="http://schemas.openxmlformats.org/drawingml/2006/chartDrawing">
    <cdr:from>
      <cdr:x>0.85866</cdr:x>
      <cdr:y>0.32761</cdr:y>
    </cdr:from>
    <cdr:to>
      <cdr:x>0.96296</cdr:x>
      <cdr:y>0.3997</cdr:y>
    </cdr:to>
    <cdr:sp macro="" textlink="">
      <cdr:nvSpPr>
        <cdr:cNvPr id="4" name="Tekstfelt 5">
          <a:extLst xmlns:a="http://schemas.openxmlformats.org/drawingml/2006/main">
            <a:ext uri="{FF2B5EF4-FFF2-40B4-BE49-F238E27FC236}">
              <a16:creationId xmlns:a16="http://schemas.microsoft.com/office/drawing/2014/main" id="{E7B7AEE9-F9F7-C07A-AB28-1DC1501DC7AC}"/>
            </a:ext>
          </a:extLst>
        </cdr:cNvPr>
        <cdr:cNvSpPr txBox="1"/>
      </cdr:nvSpPr>
      <cdr:spPr>
        <a:xfrm xmlns:a="http://schemas.openxmlformats.org/drawingml/2006/main">
          <a:off x="7976253" y="1985204"/>
          <a:ext cx="968858" cy="43684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a-DK" sz="1800">
              <a:latin typeface="Garamond" panose="02020404030301010803" pitchFamily="18" charset="0"/>
            </a:rPr>
            <a:t>Central</a:t>
          </a:r>
        </a:p>
      </cdr:txBody>
    </cdr:sp>
  </cdr:relSizeAnchor>
  <cdr:relSizeAnchor xmlns:cdr="http://schemas.openxmlformats.org/drawingml/2006/chartDrawing">
    <cdr:from>
      <cdr:x>0.71016</cdr:x>
      <cdr:y>0.2891</cdr:y>
    </cdr:from>
    <cdr:to>
      <cdr:x>0.88386</cdr:x>
      <cdr:y>0.35766</cdr:y>
    </cdr:to>
    <cdr:sp macro="" textlink="">
      <cdr:nvSpPr>
        <cdr:cNvPr id="5" name="TextBox 1">
          <a:extLst xmlns:a="http://schemas.openxmlformats.org/drawingml/2006/main">
            <a:ext uri="{FF2B5EF4-FFF2-40B4-BE49-F238E27FC236}">
              <a16:creationId xmlns:a16="http://schemas.microsoft.com/office/drawing/2014/main" id="{5FFBCFF0-D2C5-9BC9-9A6B-756AA89D4232}"/>
            </a:ext>
          </a:extLst>
        </cdr:cNvPr>
        <cdr:cNvSpPr txBox="1"/>
      </cdr:nvSpPr>
      <cdr:spPr>
        <a:xfrm xmlns:a="http://schemas.openxmlformats.org/drawingml/2006/main">
          <a:off x="6596818" y="1751863"/>
          <a:ext cx="1613524" cy="41545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600" baseline="0">
              <a:solidFill>
                <a:schemeClr val="accent2"/>
              </a:solidFill>
              <a:latin typeface="Garamond" panose="02020404030301010803" pitchFamily="18" charset="0"/>
            </a:rPr>
            <a:t>High-end</a:t>
          </a:r>
        </a:p>
      </cdr:txBody>
    </cdr:sp>
  </cdr:relSizeAnchor>
  <cdr:relSizeAnchor xmlns:cdr="http://schemas.openxmlformats.org/drawingml/2006/chartDrawing">
    <cdr:from>
      <cdr:x>0.67122</cdr:x>
      <cdr:y>0.56902</cdr:y>
    </cdr:from>
    <cdr:to>
      <cdr:x>0.86031</cdr:x>
      <cdr:y>0.63934</cdr:y>
    </cdr:to>
    <cdr:sp macro="" textlink="">
      <cdr:nvSpPr>
        <cdr:cNvPr id="6" name="TextBox 1">
          <a:extLst xmlns:a="http://schemas.openxmlformats.org/drawingml/2006/main">
            <a:ext uri="{FF2B5EF4-FFF2-40B4-BE49-F238E27FC236}">
              <a16:creationId xmlns:a16="http://schemas.microsoft.com/office/drawing/2014/main" id="{79FDA77E-713F-7018-5894-625419ABDE60}"/>
            </a:ext>
          </a:extLst>
        </cdr:cNvPr>
        <cdr:cNvSpPr txBox="1"/>
      </cdr:nvSpPr>
      <cdr:spPr>
        <a:xfrm xmlns:a="http://schemas.openxmlformats.org/drawingml/2006/main">
          <a:off x="6235059" y="3448081"/>
          <a:ext cx="1756484" cy="42611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600">
              <a:solidFill>
                <a:srgbClr val="0070C0"/>
              </a:solidFill>
              <a:latin typeface="Garamond" panose="02020404030301010803" pitchFamily="18" charset="0"/>
            </a:rPr>
            <a:t>Low-end</a:t>
          </a:r>
          <a:endParaRPr lang="en-DK" sz="1600">
            <a:solidFill>
              <a:srgbClr val="0070C0"/>
            </a:solidFill>
            <a:latin typeface="Garamond" panose="02020404030301010803" pitchFamily="18" charset="0"/>
          </a:endParaRPr>
        </a:p>
      </cdr:txBody>
    </cdr:sp>
  </cdr:relSizeAnchor>
</c:userShapes>
</file>

<file path=xl/drawings/drawing16.xml><?xml version="1.0" encoding="utf-8"?>
<xdr:wsDr xmlns:xdr="http://schemas.openxmlformats.org/drawingml/2006/spreadsheetDrawing" xmlns:a="http://schemas.openxmlformats.org/drawingml/2006/main">
  <xdr:absoluteAnchor>
    <xdr:pos x="0" y="0"/>
    <xdr:ext cx="9271000" cy="5842000"/>
    <xdr:graphicFrame macro="">
      <xdr:nvGraphicFramePr>
        <xdr:cNvPr id="2" name="Diagram 1">
          <a:extLst>
            <a:ext uri="{FF2B5EF4-FFF2-40B4-BE49-F238E27FC236}">
              <a16:creationId xmlns:a16="http://schemas.microsoft.com/office/drawing/2014/main" id="{00000000-0008-0000-1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7.xml><?xml version="1.0" encoding="utf-8"?>
<c:userShapes xmlns:c="http://schemas.openxmlformats.org/drawingml/2006/chart">
  <cdr:relSizeAnchor xmlns:cdr="http://schemas.openxmlformats.org/drawingml/2006/chartDrawing">
    <cdr:from>
      <cdr:x>0.53559</cdr:x>
      <cdr:y>0.64512</cdr:y>
    </cdr:from>
    <cdr:to>
      <cdr:x>0.85583</cdr:x>
      <cdr:y>0.71786</cdr:y>
    </cdr:to>
    <cdr:sp macro="" textlink="">
      <cdr:nvSpPr>
        <cdr:cNvPr id="3" name="Rectangle 2"/>
        <cdr:cNvSpPr/>
      </cdr:nvSpPr>
      <cdr:spPr>
        <a:xfrm xmlns:a="http://schemas.openxmlformats.org/drawingml/2006/main">
          <a:off x="4887193" y="3766769"/>
          <a:ext cx="2922186" cy="424717"/>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1">
          <a:schemeClr val="accent1"/>
        </a:lnRef>
        <a:fillRef xmlns:a="http://schemas.openxmlformats.org/drawingml/2006/main" idx="3">
          <a:schemeClr val="accent1"/>
        </a:fillRef>
        <a:effectRef xmlns:a="http://schemas.openxmlformats.org/drawingml/2006/main" idx="2">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r>
            <a:rPr lang="fr-FR" sz="1800" u="none" baseline="0">
              <a:ln>
                <a:noFill/>
              </a:ln>
              <a:solidFill>
                <a:schemeClr val="bg1"/>
              </a:solidFill>
              <a:effectLst/>
              <a:latin typeface="Garamond" panose="02020404030301010803" pitchFamily="18" charset="0"/>
              <a:cs typeface="Palatino"/>
            </a:rPr>
            <a:t>Profits shited to tax havens (not justified by wage bill)</a:t>
          </a:r>
        </a:p>
        <a:p xmlns:a="http://schemas.openxmlformats.org/drawingml/2006/main">
          <a:endParaRPr lang="fr-FR" sz="1800" u="none" baseline="0">
            <a:ln>
              <a:noFill/>
            </a:ln>
            <a:solidFill>
              <a:schemeClr val="bg1"/>
            </a:solidFill>
            <a:effectLst/>
            <a:latin typeface="Garamond" panose="02020404030301010803" pitchFamily="18" charset="0"/>
            <a:cs typeface="Palatino"/>
          </a:endParaRPr>
        </a:p>
      </cdr:txBody>
    </cdr:sp>
  </cdr:relSizeAnchor>
  <cdr:relSizeAnchor xmlns:cdr="http://schemas.openxmlformats.org/drawingml/2006/chartDrawing">
    <cdr:from>
      <cdr:x>0.13707</cdr:x>
      <cdr:y>0.37279</cdr:y>
    </cdr:from>
    <cdr:to>
      <cdr:x>0.54208</cdr:x>
      <cdr:y>0.44553</cdr:y>
    </cdr:to>
    <cdr:sp macro="" textlink="">
      <cdr:nvSpPr>
        <cdr:cNvPr id="7" name="Rectangle 6"/>
        <cdr:cNvSpPr/>
      </cdr:nvSpPr>
      <cdr:spPr>
        <a:xfrm xmlns:a="http://schemas.openxmlformats.org/drawingml/2006/main">
          <a:off x="1249317" y="2177813"/>
          <a:ext cx="3691309" cy="424947"/>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1">
          <a:schemeClr val="accent1"/>
        </a:lnRef>
        <a:fillRef xmlns:a="http://schemas.openxmlformats.org/drawingml/2006/main" idx="3">
          <a:schemeClr val="accent1"/>
        </a:fillRef>
        <a:effectRef xmlns:a="http://schemas.openxmlformats.org/drawingml/2006/main" idx="2">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r>
            <a:rPr lang="fr-FR" sz="1800" u="none" baseline="0">
              <a:ln>
                <a:noFill/>
              </a:ln>
              <a:solidFill>
                <a:schemeClr val="tx1"/>
              </a:solidFill>
              <a:effectLst/>
              <a:latin typeface="Garamond" panose="02020404030301010803" pitchFamily="18" charset="0"/>
              <a:cs typeface="Palatino"/>
            </a:rPr>
            <a:t>Profits booked in tax havens that can be justified by real activity (wage bill) </a:t>
          </a:r>
        </a:p>
        <a:p xmlns:a="http://schemas.openxmlformats.org/drawingml/2006/main">
          <a:endParaRPr lang="fr-FR" sz="1800" u="none" baseline="0">
            <a:ln>
              <a:noFill/>
            </a:ln>
            <a:solidFill>
              <a:schemeClr val="tx1"/>
            </a:solidFill>
            <a:effectLst/>
            <a:latin typeface="Garamond" panose="02020404030301010803" pitchFamily="18" charset="0"/>
            <a:cs typeface="Palatino"/>
          </a:endParaRPr>
        </a:p>
      </cdr:txBody>
    </cdr:sp>
  </cdr:relSizeAnchor>
  <cdr:relSizeAnchor xmlns:cdr="http://schemas.openxmlformats.org/drawingml/2006/chartDrawing">
    <cdr:from>
      <cdr:x>0.34139</cdr:x>
      <cdr:y>0.49945</cdr:y>
    </cdr:from>
    <cdr:to>
      <cdr:x>0.42295</cdr:x>
      <cdr:y>0.6087</cdr:y>
    </cdr:to>
    <cdr:cxnSp macro="">
      <cdr:nvCxnSpPr>
        <cdr:cNvPr id="16" name="Connecteur droit avec flèche 7">
          <a:extLst xmlns:a="http://schemas.openxmlformats.org/drawingml/2006/main">
            <a:ext uri="{FF2B5EF4-FFF2-40B4-BE49-F238E27FC236}">
              <a16:creationId xmlns:a16="http://schemas.microsoft.com/office/drawing/2014/main" id="{2AB2A12D-1B44-3943-9000-70505307EA8D}"/>
            </a:ext>
          </a:extLst>
        </cdr:cNvPr>
        <cdr:cNvCxnSpPr/>
      </cdr:nvCxnSpPr>
      <cdr:spPr>
        <a:xfrm xmlns:a="http://schemas.openxmlformats.org/drawingml/2006/main">
          <a:off x="3111513" y="2917761"/>
          <a:ext cx="743311" cy="638239"/>
        </a:xfrm>
        <a:prstGeom xmlns:a="http://schemas.openxmlformats.org/drawingml/2006/main" prst="straightConnector1">
          <a:avLst/>
        </a:prstGeom>
        <a:ln xmlns:a="http://schemas.openxmlformats.org/drawingml/2006/main" w="12700">
          <a:solidFill>
            <a:schemeClr val="tx1"/>
          </a:solidFill>
          <a:tailEnd type="arrow"/>
        </a:ln>
        <a:effectLst xmlns:a="http://schemas.openxmlformats.org/drawingml/2006/mai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0.82423</cdr:x>
      <cdr:y>0.03581</cdr:y>
    </cdr:from>
    <cdr:to>
      <cdr:x>0.89761</cdr:x>
      <cdr:y>0.06394</cdr:y>
    </cdr:to>
    <cdr:cxnSp macro="">
      <cdr:nvCxnSpPr>
        <cdr:cNvPr id="15" name="Connecteur droit avec flèche 7">
          <a:extLst xmlns:a="http://schemas.openxmlformats.org/drawingml/2006/main">
            <a:ext uri="{FF2B5EF4-FFF2-40B4-BE49-F238E27FC236}">
              <a16:creationId xmlns:a16="http://schemas.microsoft.com/office/drawing/2014/main" id="{55EAB25B-68E6-EC4F-97F5-09B72C3FC7E9}"/>
            </a:ext>
          </a:extLst>
        </cdr:cNvPr>
        <cdr:cNvCxnSpPr/>
      </cdr:nvCxnSpPr>
      <cdr:spPr>
        <a:xfrm xmlns:a="http://schemas.openxmlformats.org/drawingml/2006/main">
          <a:off x="7216588" y="209176"/>
          <a:ext cx="642471" cy="164353"/>
        </a:xfrm>
        <a:prstGeom xmlns:a="http://schemas.openxmlformats.org/drawingml/2006/main" prst="straightConnector1">
          <a:avLst/>
        </a:prstGeom>
        <a:ln xmlns:a="http://schemas.openxmlformats.org/drawingml/2006/main" w="12700">
          <a:solidFill>
            <a:schemeClr val="tx1"/>
          </a:solidFill>
          <a:tailEnd type="arrow"/>
        </a:ln>
        <a:effectLst xmlns:a="http://schemas.openxmlformats.org/drawingml/2006/mai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0.90111</cdr:x>
      <cdr:y>0.03844</cdr:y>
    </cdr:from>
    <cdr:to>
      <cdr:x>0.90164</cdr:x>
      <cdr:y>0.91304</cdr:y>
    </cdr:to>
    <cdr:sp macro="" textlink="">
      <cdr:nvSpPr>
        <cdr:cNvPr id="12" name="Line 1">
          <a:extLst xmlns:a="http://schemas.openxmlformats.org/drawingml/2006/main">
            <a:ext uri="{FF2B5EF4-FFF2-40B4-BE49-F238E27FC236}">
              <a16:creationId xmlns:a16="http://schemas.microsoft.com/office/drawing/2014/main" id="{B4ED1484-54F9-DE49-A502-29F049E3601E}"/>
            </a:ext>
          </a:extLst>
        </cdr:cNvPr>
        <cdr:cNvSpPr>
          <a:spLocks xmlns:a="http://schemas.openxmlformats.org/drawingml/2006/main" noChangeShapeType="1"/>
        </cdr:cNvSpPr>
      </cdr:nvSpPr>
      <cdr:spPr bwMode="auto">
        <a:xfrm xmlns:a="http://schemas.openxmlformats.org/drawingml/2006/main">
          <a:off x="8212847" y="224566"/>
          <a:ext cx="4831" cy="5109414"/>
        </a:xfrm>
        <a:prstGeom xmlns:a="http://schemas.openxmlformats.org/drawingml/2006/main" prst="line">
          <a:avLst/>
        </a:prstGeom>
        <a:noFill xmlns:a="http://schemas.openxmlformats.org/drawingml/2006/main"/>
        <a:ln xmlns:a="http://schemas.openxmlformats.org/drawingml/2006/main" w="19050">
          <a:solidFill>
            <a:srgbClr xmlns:mc="http://schemas.openxmlformats.org/markup-compatibility/2006" xmlns:a14="http://schemas.microsoft.com/office/drawing/2010/main" val="000000" mc:Ignorable="a14" a14:legacySpreadsheetColorIndex="64"/>
          </a:solidFill>
          <a:prstDash val="dash"/>
          <a:round/>
          <a:headEnd/>
          <a:tailEnd type="none" w="med" len="med"/>
        </a:ln>
        <a:extLst xmlns:a="http://schemas.openxmlformats.org/drawingml/2006/main">
          <a:ext uri="{909E8E84-426E-40dd-AFC4-6F175D3DCCD1}">
            <a14:hiddenFill xmlns:lc="http://schemas.openxmlformats.org/drawingml/2006/lockedCanvas" xmlns="" xmlns:a14="http://schemas.microsoft.com/office/drawing/2010/main">
              <a:noFill/>
            </a14:hiddenFill>
          </a:ext>
        </a:extLst>
      </cdr:spPr>
      <cdr:txBody>
        <a:bodyPr xmlns:a="http://schemas.openxmlformats.org/drawingml/2006/main"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endParaRPr lang="fr-FR"/>
        </a:p>
      </cdr:txBody>
    </cdr:sp>
  </cdr:relSizeAnchor>
  <cdr:relSizeAnchor xmlns:cdr="http://schemas.openxmlformats.org/drawingml/2006/chartDrawing">
    <cdr:from>
      <cdr:x>0.56721</cdr:x>
      <cdr:y>0</cdr:y>
    </cdr:from>
    <cdr:to>
      <cdr:x>0.85832</cdr:x>
      <cdr:y>0.07504</cdr:y>
    </cdr:to>
    <cdr:sp macro="" textlink="">
      <cdr:nvSpPr>
        <cdr:cNvPr id="6" name="Tekstfelt 5"/>
        <cdr:cNvSpPr txBox="1"/>
      </cdr:nvSpPr>
      <cdr:spPr>
        <a:xfrm xmlns:a="http://schemas.openxmlformats.org/drawingml/2006/main">
          <a:off x="5169644" y="0"/>
          <a:ext cx="2653211" cy="43838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a-DK" sz="1800">
              <a:latin typeface="Garamond" panose="02020404030301010803" pitchFamily="18" charset="0"/>
            </a:rPr>
            <a:t>Tax Cuts and Jobs Act</a:t>
          </a:r>
        </a:p>
      </cdr:txBody>
    </cdr:sp>
  </cdr:relSizeAnchor>
</c:userShapes>
</file>

<file path=xl/drawings/drawing18.xml><?xml version="1.0" encoding="utf-8"?>
<xdr:wsDr xmlns:xdr="http://schemas.openxmlformats.org/drawingml/2006/spreadsheetDrawing" xmlns:a="http://schemas.openxmlformats.org/drawingml/2006/main">
  <xdr:absoluteAnchor>
    <xdr:pos x="0" y="0"/>
    <xdr:ext cx="9305636" cy="6084455"/>
    <xdr:graphicFrame macro="">
      <xdr:nvGraphicFramePr>
        <xdr:cNvPr id="2" name="Chart 1">
          <a:extLst>
            <a:ext uri="{FF2B5EF4-FFF2-40B4-BE49-F238E27FC236}">
              <a16:creationId xmlns:a16="http://schemas.microsoft.com/office/drawing/2014/main" id="{B5E49D6B-75AB-4586-A2E1-529B6882C2BB}"/>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9.xml><?xml version="1.0" encoding="utf-8"?>
<c:userShapes xmlns:c="http://schemas.openxmlformats.org/drawingml/2006/chart">
  <cdr:relSizeAnchor xmlns:cdr="http://schemas.openxmlformats.org/drawingml/2006/chartDrawing">
    <cdr:from>
      <cdr:x>0.46589</cdr:x>
      <cdr:y>0.55197</cdr:y>
    </cdr:from>
    <cdr:to>
      <cdr:x>0.48174</cdr:x>
      <cdr:y>0.59451</cdr:y>
    </cdr:to>
    <cdr:sp macro="" textlink="">
      <cdr:nvSpPr>
        <cdr:cNvPr id="2" name="TextBox 1">
          <a:extLst xmlns:a="http://schemas.openxmlformats.org/drawingml/2006/main">
            <a:ext uri="{FF2B5EF4-FFF2-40B4-BE49-F238E27FC236}">
              <a16:creationId xmlns:a16="http://schemas.microsoft.com/office/drawing/2014/main" id="{1F4D6482-55D2-4A25-BE86-532C187F9DE4}"/>
            </a:ext>
          </a:extLst>
        </cdr:cNvPr>
        <cdr:cNvSpPr txBox="1"/>
      </cdr:nvSpPr>
      <cdr:spPr>
        <a:xfrm xmlns:a="http://schemas.openxmlformats.org/drawingml/2006/main">
          <a:off x="4332514" y="3352801"/>
          <a:ext cx="147419" cy="25838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0">
              <a:solidFill>
                <a:schemeClr val="tx1">
                  <a:lumMod val="65000"/>
                  <a:lumOff val="35000"/>
                </a:schemeClr>
              </a:solidFill>
              <a:latin typeface="Garamond" panose="02020404030301010803" pitchFamily="18" charset="0"/>
            </a:rPr>
            <a:t>0</a:t>
          </a:r>
        </a:p>
      </cdr:txBody>
    </cdr:sp>
  </cdr:relSizeAnchor>
  <cdr:relSizeAnchor xmlns:cdr="http://schemas.openxmlformats.org/drawingml/2006/chartDrawing">
    <cdr:from>
      <cdr:x>0.04253</cdr:x>
      <cdr:y>0.76254</cdr:y>
    </cdr:from>
    <cdr:to>
      <cdr:x>0.09458</cdr:x>
      <cdr:y>0.80508</cdr:y>
    </cdr:to>
    <cdr:sp macro="" textlink="">
      <cdr:nvSpPr>
        <cdr:cNvPr id="4" name="TextBox 1">
          <a:extLst xmlns:a="http://schemas.openxmlformats.org/drawingml/2006/main">
            <a:ext uri="{FF2B5EF4-FFF2-40B4-BE49-F238E27FC236}">
              <a16:creationId xmlns:a16="http://schemas.microsoft.com/office/drawing/2014/main" id="{B0793B43-0957-4FFD-ADCD-C04040C7E86E}"/>
            </a:ext>
          </a:extLst>
        </cdr:cNvPr>
        <cdr:cNvSpPr txBox="1"/>
      </cdr:nvSpPr>
      <cdr:spPr>
        <a:xfrm xmlns:a="http://schemas.openxmlformats.org/drawingml/2006/main">
          <a:off x="395514" y="4631872"/>
          <a:ext cx="484057" cy="25838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600" b="1">
              <a:solidFill>
                <a:schemeClr val="accent1">
                  <a:lumMod val="60000"/>
                  <a:lumOff val="40000"/>
                </a:schemeClr>
              </a:solidFill>
              <a:latin typeface="Garamond" panose="02020404030301010803" pitchFamily="18" charset="0"/>
            </a:rPr>
            <a:t>United States</a:t>
          </a:r>
        </a:p>
      </cdr:txBody>
    </cdr:sp>
  </cdr:relSizeAnchor>
  <cdr:relSizeAnchor xmlns:cdr="http://schemas.openxmlformats.org/drawingml/2006/chartDrawing">
    <cdr:from>
      <cdr:x>0.35859</cdr:x>
      <cdr:y>0.06362</cdr:y>
    </cdr:from>
    <cdr:to>
      <cdr:x>0.41064</cdr:x>
      <cdr:y>0.10616</cdr:y>
    </cdr:to>
    <cdr:sp macro="" textlink="">
      <cdr:nvSpPr>
        <cdr:cNvPr id="5" name="TextBox 1">
          <a:extLst xmlns:a="http://schemas.openxmlformats.org/drawingml/2006/main">
            <a:ext uri="{FF2B5EF4-FFF2-40B4-BE49-F238E27FC236}">
              <a16:creationId xmlns:a16="http://schemas.microsoft.com/office/drawing/2014/main" id="{52846643-87B5-4321-87BD-55BD7E616735}"/>
            </a:ext>
          </a:extLst>
        </cdr:cNvPr>
        <cdr:cNvSpPr txBox="1"/>
      </cdr:nvSpPr>
      <cdr:spPr>
        <a:xfrm xmlns:a="http://schemas.openxmlformats.org/drawingml/2006/main">
          <a:off x="3334657" y="386443"/>
          <a:ext cx="484057" cy="25838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600" b="1">
              <a:solidFill>
                <a:schemeClr val="accent1">
                  <a:lumMod val="60000"/>
                  <a:lumOff val="40000"/>
                </a:schemeClr>
              </a:solidFill>
              <a:latin typeface="Garamond" panose="02020404030301010803" pitchFamily="18" charset="0"/>
            </a:rPr>
            <a:t>Greece</a:t>
          </a:r>
        </a:p>
      </cdr:txBody>
    </cdr:sp>
  </cdr:relSizeAnchor>
  <cdr:relSizeAnchor xmlns:cdr="http://schemas.openxmlformats.org/drawingml/2006/chartDrawing">
    <cdr:from>
      <cdr:x>0.26202</cdr:x>
      <cdr:y>0.4549</cdr:y>
    </cdr:from>
    <cdr:to>
      <cdr:x>0.31407</cdr:x>
      <cdr:y>0.49743</cdr:y>
    </cdr:to>
    <cdr:sp macro="" textlink="">
      <cdr:nvSpPr>
        <cdr:cNvPr id="6" name="TextBox 1">
          <a:extLst xmlns:a="http://schemas.openxmlformats.org/drawingml/2006/main">
            <a:ext uri="{FF2B5EF4-FFF2-40B4-BE49-F238E27FC236}">
              <a16:creationId xmlns:a16="http://schemas.microsoft.com/office/drawing/2014/main" id="{52846643-87B5-4321-87BD-55BD7E616735}"/>
            </a:ext>
          </a:extLst>
        </cdr:cNvPr>
        <cdr:cNvSpPr txBox="1"/>
      </cdr:nvSpPr>
      <cdr:spPr>
        <a:xfrm xmlns:a="http://schemas.openxmlformats.org/drawingml/2006/main">
          <a:off x="2436586" y="2763158"/>
          <a:ext cx="484057" cy="25838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600" b="1">
              <a:solidFill>
                <a:schemeClr val="accent1">
                  <a:lumMod val="60000"/>
                  <a:lumOff val="40000"/>
                </a:schemeClr>
              </a:solidFill>
              <a:latin typeface="Garamond" panose="02020404030301010803" pitchFamily="18" charset="0"/>
            </a:rPr>
            <a:t>France</a:t>
          </a:r>
        </a:p>
      </cdr:txBody>
    </cdr:sp>
  </cdr:relSizeAnchor>
  <cdr:relSizeAnchor xmlns:cdr="http://schemas.openxmlformats.org/drawingml/2006/chartDrawing">
    <cdr:from>
      <cdr:x>0.64928</cdr:x>
      <cdr:y>0.42951</cdr:y>
    </cdr:from>
    <cdr:to>
      <cdr:x>0.70133</cdr:x>
      <cdr:y>0.47204</cdr:y>
    </cdr:to>
    <cdr:sp macro="" textlink="">
      <cdr:nvSpPr>
        <cdr:cNvPr id="7" name="TextBox 1">
          <a:extLst xmlns:a="http://schemas.openxmlformats.org/drawingml/2006/main">
            <a:ext uri="{FF2B5EF4-FFF2-40B4-BE49-F238E27FC236}">
              <a16:creationId xmlns:a16="http://schemas.microsoft.com/office/drawing/2014/main" id="{52846643-87B5-4321-87BD-55BD7E616735}"/>
            </a:ext>
          </a:extLst>
        </cdr:cNvPr>
        <cdr:cNvSpPr txBox="1"/>
      </cdr:nvSpPr>
      <cdr:spPr>
        <a:xfrm xmlns:a="http://schemas.openxmlformats.org/drawingml/2006/main">
          <a:off x="6037942" y="2608943"/>
          <a:ext cx="484057" cy="25838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600" b="1">
              <a:solidFill>
                <a:schemeClr val="accent1">
                  <a:lumMod val="60000"/>
                  <a:lumOff val="40000"/>
                </a:schemeClr>
              </a:solidFill>
              <a:latin typeface="Garamond" panose="02020404030301010803" pitchFamily="18" charset="0"/>
            </a:rPr>
            <a:t>United Kingdom</a:t>
          </a:r>
        </a:p>
      </cdr:txBody>
    </cdr:sp>
  </cdr:relSizeAnchor>
</c:userShapes>
</file>

<file path=xl/drawings/drawing2.xml><?xml version="1.0" encoding="utf-8"?>
<c:userShapes xmlns:c="http://schemas.openxmlformats.org/drawingml/2006/chart">
  <cdr:relSizeAnchor xmlns:cdr="http://schemas.openxmlformats.org/drawingml/2006/chartDrawing">
    <cdr:from>
      <cdr:x>0.10576</cdr:x>
      <cdr:y>0.12226</cdr:y>
    </cdr:from>
    <cdr:to>
      <cdr:x>0.13749</cdr:x>
      <cdr:y>0.1363</cdr:y>
    </cdr:to>
    <cdr:sp macro="" textlink="">
      <cdr:nvSpPr>
        <cdr:cNvPr id="4" name="Rectangle 3"/>
        <cdr:cNvSpPr/>
      </cdr:nvSpPr>
      <cdr:spPr>
        <a:xfrm xmlns:a="http://schemas.openxmlformats.org/drawingml/2006/main">
          <a:off x="984883" y="743927"/>
          <a:ext cx="295472" cy="85430"/>
        </a:xfrm>
        <a:prstGeom xmlns:a="http://schemas.openxmlformats.org/drawingml/2006/main" prst="rect">
          <a:avLst/>
        </a:prstGeom>
        <a:solidFill xmlns:a="http://schemas.openxmlformats.org/drawingml/2006/main">
          <a:schemeClr val="bg1"/>
        </a:solidFill>
        <a:ln xmlns:a="http://schemas.openxmlformats.org/drawingml/2006/main">
          <a:noFill/>
        </a:ln>
        <a:effectLst xmlns:a="http://schemas.openxmlformats.org/drawingml/2006/main"/>
      </cdr:spPr>
      <cdr:style>
        <a:lnRef xmlns:a="http://schemas.openxmlformats.org/drawingml/2006/main" idx="1">
          <a:schemeClr val="accent1"/>
        </a:lnRef>
        <a:fillRef xmlns:a="http://schemas.openxmlformats.org/drawingml/2006/main" idx="3">
          <a:schemeClr val="accent1"/>
        </a:fillRef>
        <a:effectRef xmlns:a="http://schemas.openxmlformats.org/drawingml/2006/main" idx="2">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0.09463</cdr:x>
      <cdr:y>0.12277</cdr:y>
    </cdr:from>
    <cdr:to>
      <cdr:x>0.10716</cdr:x>
      <cdr:y>0.13635</cdr:y>
    </cdr:to>
    <cdr:cxnSp macro="">
      <cdr:nvCxnSpPr>
        <cdr:cNvPr id="7" name="Straight Connector 6">
          <a:extLst xmlns:a="http://schemas.openxmlformats.org/drawingml/2006/main">
            <a:ext uri="{FF2B5EF4-FFF2-40B4-BE49-F238E27FC236}">
              <a16:creationId xmlns:a16="http://schemas.microsoft.com/office/drawing/2014/main" id="{28FDAF86-33B8-3F43-B7E7-A2917E2F919E}"/>
            </a:ext>
          </a:extLst>
        </cdr:cNvPr>
        <cdr:cNvCxnSpPr/>
      </cdr:nvCxnSpPr>
      <cdr:spPr>
        <a:xfrm xmlns:a="http://schemas.openxmlformats.org/drawingml/2006/main">
          <a:off x="881221" y="747015"/>
          <a:ext cx="116680" cy="82631"/>
        </a:xfrm>
        <a:prstGeom xmlns:a="http://schemas.openxmlformats.org/drawingml/2006/main" prst="line">
          <a:avLst/>
        </a:prstGeom>
        <a:ln xmlns:a="http://schemas.openxmlformats.org/drawingml/2006/main" w="9525">
          <a:solidFill>
            <a:schemeClr val="tx1"/>
          </a:solidFill>
        </a:ln>
        <a:effectLst xmlns:a="http://schemas.openxmlformats.org/drawingml/2006/mai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0.0957</cdr:x>
      <cdr:y>0.10938</cdr:y>
    </cdr:from>
    <cdr:to>
      <cdr:x>0.10822</cdr:x>
      <cdr:y>0.12296</cdr:y>
    </cdr:to>
    <cdr:cxnSp macro="">
      <cdr:nvCxnSpPr>
        <cdr:cNvPr id="11" name="Straight Connector 10">
          <a:extLst xmlns:a="http://schemas.openxmlformats.org/drawingml/2006/main">
            <a:ext uri="{FF2B5EF4-FFF2-40B4-BE49-F238E27FC236}">
              <a16:creationId xmlns:a16="http://schemas.microsoft.com/office/drawing/2014/main" id="{EE6B6923-B984-4A43-9585-CD8198898AFD}"/>
            </a:ext>
          </a:extLst>
        </cdr:cNvPr>
        <cdr:cNvCxnSpPr/>
      </cdr:nvCxnSpPr>
      <cdr:spPr>
        <a:xfrm xmlns:a="http://schemas.openxmlformats.org/drawingml/2006/main">
          <a:off x="891178" y="665557"/>
          <a:ext cx="116587" cy="82632"/>
        </a:xfrm>
        <a:prstGeom xmlns:a="http://schemas.openxmlformats.org/drawingml/2006/main" prst="line">
          <a:avLst/>
        </a:prstGeom>
        <a:ln xmlns:a="http://schemas.openxmlformats.org/drawingml/2006/main" w="9525">
          <a:solidFill>
            <a:schemeClr val="tx1"/>
          </a:solidFill>
        </a:ln>
        <a:effectLst xmlns:a="http://schemas.openxmlformats.org/drawingml/2006/mai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userShapes>
</file>

<file path=xl/drawings/drawing20.xml><?xml version="1.0" encoding="utf-8"?>
<xdr:wsDr xmlns:xdr="http://schemas.openxmlformats.org/drawingml/2006/spreadsheetDrawing" xmlns:a="http://schemas.openxmlformats.org/drawingml/2006/main">
  <xdr:absoluteAnchor>
    <xdr:pos x="0" y="0"/>
    <xdr:ext cx="9289143" cy="6059714"/>
    <xdr:graphicFrame macro="">
      <xdr:nvGraphicFramePr>
        <xdr:cNvPr id="2" name="Chart 1">
          <a:extLst>
            <a:ext uri="{FF2B5EF4-FFF2-40B4-BE49-F238E27FC236}">
              <a16:creationId xmlns:a16="http://schemas.microsoft.com/office/drawing/2014/main" id="{C16285B1-A43D-409E-87D6-5A258E857D5B}"/>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1.xml><?xml version="1.0" encoding="utf-8"?>
<c:userShapes xmlns:c="http://schemas.openxmlformats.org/drawingml/2006/chart">
  <cdr:relSizeAnchor xmlns:cdr="http://schemas.openxmlformats.org/drawingml/2006/chartDrawing">
    <cdr:from>
      <cdr:x>0.08724</cdr:x>
      <cdr:y>0.64316</cdr:y>
    </cdr:from>
    <cdr:to>
      <cdr:x>0.13935</cdr:x>
      <cdr:y>0.6858</cdr:y>
    </cdr:to>
    <cdr:sp macro="" textlink="">
      <cdr:nvSpPr>
        <cdr:cNvPr id="2" name="TextBox 1">
          <a:extLst xmlns:a="http://schemas.openxmlformats.org/drawingml/2006/main">
            <a:ext uri="{FF2B5EF4-FFF2-40B4-BE49-F238E27FC236}">
              <a16:creationId xmlns:a16="http://schemas.microsoft.com/office/drawing/2014/main" id="{594406E7-D21B-41DE-9321-AB2E4077695C}"/>
            </a:ext>
          </a:extLst>
        </cdr:cNvPr>
        <cdr:cNvSpPr txBox="1"/>
      </cdr:nvSpPr>
      <cdr:spPr>
        <a:xfrm xmlns:a="http://schemas.openxmlformats.org/drawingml/2006/main">
          <a:off x="810417" y="3897362"/>
          <a:ext cx="484057" cy="25838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800" b="1">
              <a:solidFill>
                <a:schemeClr val="accent1"/>
              </a:solidFill>
              <a:latin typeface="Garamond" panose="02020404030301010803" pitchFamily="18" charset="0"/>
            </a:rPr>
            <a:t>United States</a:t>
          </a:r>
        </a:p>
      </cdr:txBody>
    </cdr:sp>
  </cdr:relSizeAnchor>
  <cdr:relSizeAnchor xmlns:cdr="http://schemas.openxmlformats.org/drawingml/2006/chartDrawing">
    <cdr:from>
      <cdr:x>0.36849</cdr:x>
      <cdr:y>0.04182</cdr:y>
    </cdr:from>
    <cdr:to>
      <cdr:x>0.4206</cdr:x>
      <cdr:y>0.08446</cdr:y>
    </cdr:to>
    <cdr:sp macro="" textlink="">
      <cdr:nvSpPr>
        <cdr:cNvPr id="3" name="TextBox 1">
          <a:extLst xmlns:a="http://schemas.openxmlformats.org/drawingml/2006/main">
            <a:ext uri="{FF2B5EF4-FFF2-40B4-BE49-F238E27FC236}">
              <a16:creationId xmlns:a16="http://schemas.microsoft.com/office/drawing/2014/main" id="{4FE0FBD1-DE4B-41E4-920B-757B81B8AEB5}"/>
            </a:ext>
          </a:extLst>
        </cdr:cNvPr>
        <cdr:cNvSpPr txBox="1"/>
      </cdr:nvSpPr>
      <cdr:spPr>
        <a:xfrm xmlns:a="http://schemas.openxmlformats.org/drawingml/2006/main">
          <a:off x="3422936" y="253399"/>
          <a:ext cx="484057" cy="25838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chemeClr val="accent1"/>
              </a:solidFill>
              <a:latin typeface="Garamond" panose="02020404030301010803" pitchFamily="18" charset="0"/>
              <a:ea typeface="+mn-ea"/>
              <a:cs typeface="+mn-cs"/>
            </a:rPr>
            <a:t>Greece</a:t>
          </a:r>
        </a:p>
      </cdr:txBody>
    </cdr:sp>
  </cdr:relSizeAnchor>
  <cdr:relSizeAnchor xmlns:cdr="http://schemas.openxmlformats.org/drawingml/2006/chartDrawing">
    <cdr:from>
      <cdr:x>0.26384</cdr:x>
      <cdr:y>0.45772</cdr:y>
    </cdr:from>
    <cdr:to>
      <cdr:x>0.31595</cdr:x>
      <cdr:y>0.50035</cdr:y>
    </cdr:to>
    <cdr:sp macro="" textlink="">
      <cdr:nvSpPr>
        <cdr:cNvPr id="4" name="TextBox 1">
          <a:extLst xmlns:a="http://schemas.openxmlformats.org/drawingml/2006/main">
            <a:ext uri="{FF2B5EF4-FFF2-40B4-BE49-F238E27FC236}">
              <a16:creationId xmlns:a16="http://schemas.microsoft.com/office/drawing/2014/main" id="{4FE0FBD1-DE4B-41E4-920B-757B81B8AEB5}"/>
            </a:ext>
          </a:extLst>
        </cdr:cNvPr>
        <cdr:cNvSpPr txBox="1"/>
      </cdr:nvSpPr>
      <cdr:spPr>
        <a:xfrm xmlns:a="http://schemas.openxmlformats.org/drawingml/2006/main">
          <a:off x="2450822" y="2773622"/>
          <a:ext cx="484057" cy="25838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chemeClr val="accent1"/>
              </a:solidFill>
              <a:latin typeface="Garamond" panose="02020404030301010803" pitchFamily="18" charset="0"/>
              <a:ea typeface="+mn-ea"/>
              <a:cs typeface="+mn-cs"/>
            </a:rPr>
            <a:t>France</a:t>
          </a:r>
        </a:p>
      </cdr:txBody>
    </cdr:sp>
  </cdr:relSizeAnchor>
  <cdr:relSizeAnchor xmlns:cdr="http://schemas.openxmlformats.org/drawingml/2006/chartDrawing">
    <cdr:from>
      <cdr:x>0.80944</cdr:x>
      <cdr:y>0.54348</cdr:y>
    </cdr:from>
    <cdr:to>
      <cdr:x>0.86155</cdr:x>
      <cdr:y>0.58612</cdr:y>
    </cdr:to>
    <cdr:sp macro="" textlink="">
      <cdr:nvSpPr>
        <cdr:cNvPr id="5" name="TextBox 1">
          <a:extLst xmlns:a="http://schemas.openxmlformats.org/drawingml/2006/main">
            <a:ext uri="{FF2B5EF4-FFF2-40B4-BE49-F238E27FC236}">
              <a16:creationId xmlns:a16="http://schemas.microsoft.com/office/drawing/2014/main" id="{4FE0FBD1-DE4B-41E4-920B-757B81B8AEB5}"/>
            </a:ext>
          </a:extLst>
        </cdr:cNvPr>
        <cdr:cNvSpPr txBox="1"/>
      </cdr:nvSpPr>
      <cdr:spPr>
        <a:xfrm xmlns:a="http://schemas.openxmlformats.org/drawingml/2006/main">
          <a:off x="7518975" y="3293352"/>
          <a:ext cx="484057" cy="25838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chemeClr val="accent1"/>
              </a:solidFill>
              <a:latin typeface="Garamond" panose="02020404030301010803" pitchFamily="18" charset="0"/>
              <a:ea typeface="+mn-ea"/>
              <a:cs typeface="+mn-cs"/>
            </a:rPr>
            <a:t>Colombia</a:t>
          </a:r>
        </a:p>
      </cdr:txBody>
    </cdr:sp>
  </cdr:relSizeAnchor>
  <cdr:relSizeAnchor xmlns:cdr="http://schemas.openxmlformats.org/drawingml/2006/chartDrawing">
    <cdr:from>
      <cdr:x>0.65451</cdr:x>
      <cdr:y>0.4537</cdr:y>
    </cdr:from>
    <cdr:to>
      <cdr:x>0.70662</cdr:x>
      <cdr:y>0.49634</cdr:y>
    </cdr:to>
    <cdr:sp macro="" textlink="">
      <cdr:nvSpPr>
        <cdr:cNvPr id="6" name="TextBox 1">
          <a:extLst xmlns:a="http://schemas.openxmlformats.org/drawingml/2006/main">
            <a:ext uri="{FF2B5EF4-FFF2-40B4-BE49-F238E27FC236}">
              <a16:creationId xmlns:a16="http://schemas.microsoft.com/office/drawing/2014/main" id="{CBBEACAB-E4AA-4A23-BD38-A65D3A05B3CE}"/>
            </a:ext>
          </a:extLst>
        </cdr:cNvPr>
        <cdr:cNvSpPr txBox="1"/>
      </cdr:nvSpPr>
      <cdr:spPr>
        <a:xfrm xmlns:a="http://schemas.openxmlformats.org/drawingml/2006/main">
          <a:off x="6079875" y="2749304"/>
          <a:ext cx="484057" cy="25838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chemeClr val="accent1"/>
              </a:solidFill>
              <a:latin typeface="Garamond" panose="02020404030301010803" pitchFamily="18" charset="0"/>
              <a:ea typeface="+mn-ea"/>
              <a:cs typeface="+mn-cs"/>
            </a:rPr>
            <a:t>United</a:t>
          </a:r>
          <a:r>
            <a:rPr lang="en-US" sz="1300" b="1">
              <a:solidFill>
                <a:schemeClr val="accent1"/>
              </a:solidFill>
            </a:rPr>
            <a:t> </a:t>
          </a:r>
          <a:r>
            <a:rPr lang="en-US" sz="1800" b="1">
              <a:solidFill>
                <a:schemeClr val="accent1"/>
              </a:solidFill>
              <a:latin typeface="Garamond" panose="02020404030301010803" pitchFamily="18" charset="0"/>
              <a:ea typeface="+mn-ea"/>
              <a:cs typeface="+mn-cs"/>
            </a:rPr>
            <a:t>Kingdom</a:t>
          </a:r>
        </a:p>
      </cdr:txBody>
    </cdr:sp>
  </cdr:relSizeAnchor>
  <cdr:relSizeAnchor xmlns:cdr="http://schemas.openxmlformats.org/drawingml/2006/chartDrawing">
    <cdr:from>
      <cdr:x>0.47019</cdr:x>
      <cdr:y>0.60052</cdr:y>
    </cdr:from>
    <cdr:to>
      <cdr:x>0.48606</cdr:x>
      <cdr:y>0.64316</cdr:y>
    </cdr:to>
    <cdr:sp macro="" textlink="">
      <cdr:nvSpPr>
        <cdr:cNvPr id="7" name="TextBox 1">
          <a:extLst xmlns:a="http://schemas.openxmlformats.org/drawingml/2006/main">
            <a:ext uri="{FF2B5EF4-FFF2-40B4-BE49-F238E27FC236}">
              <a16:creationId xmlns:a16="http://schemas.microsoft.com/office/drawing/2014/main" id="{9BEAA3CF-7701-4D5D-BC63-5E50E682E3E3}"/>
            </a:ext>
          </a:extLst>
        </cdr:cNvPr>
        <cdr:cNvSpPr txBox="1"/>
      </cdr:nvSpPr>
      <cdr:spPr>
        <a:xfrm xmlns:a="http://schemas.openxmlformats.org/drawingml/2006/main">
          <a:off x="4367625" y="3638972"/>
          <a:ext cx="147483" cy="25838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0">
              <a:solidFill>
                <a:schemeClr val="tx1">
                  <a:lumMod val="65000"/>
                  <a:lumOff val="35000"/>
                </a:schemeClr>
              </a:solidFill>
              <a:latin typeface="Garamond" panose="02020404030301010803" pitchFamily="18" charset="0"/>
            </a:rPr>
            <a:t>0</a:t>
          </a:r>
        </a:p>
      </cdr:txBody>
    </cdr:sp>
  </cdr:relSizeAnchor>
</c:userShapes>
</file>

<file path=xl/drawings/drawing22.xml><?xml version="1.0" encoding="utf-8"?>
<xdr:wsDr xmlns:xdr="http://schemas.openxmlformats.org/drawingml/2006/spreadsheetDrawing" xmlns:a="http://schemas.openxmlformats.org/drawingml/2006/main">
  <xdr:absoluteAnchor>
    <xdr:pos x="0" y="0"/>
    <xdr:ext cx="9289143" cy="6059714"/>
    <xdr:graphicFrame macro="">
      <xdr:nvGraphicFramePr>
        <xdr:cNvPr id="2" name="Chart 1">
          <a:extLst>
            <a:ext uri="{FF2B5EF4-FFF2-40B4-BE49-F238E27FC236}">
              <a16:creationId xmlns:a16="http://schemas.microsoft.com/office/drawing/2014/main" id="{314A5B71-DD34-4302-B0C3-70140BAB4086}"/>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3.xml><?xml version="1.0" encoding="utf-8"?>
<c:userShapes xmlns:c="http://schemas.openxmlformats.org/drawingml/2006/chart">
  <cdr:relSizeAnchor xmlns:cdr="http://schemas.openxmlformats.org/drawingml/2006/chartDrawing">
    <cdr:from>
      <cdr:x>0.59233</cdr:x>
      <cdr:y>0.2068</cdr:y>
    </cdr:from>
    <cdr:to>
      <cdr:x>0.87253</cdr:x>
      <cdr:y>0.33443</cdr:y>
    </cdr:to>
    <cdr:sp macro="" textlink="">
      <cdr:nvSpPr>
        <cdr:cNvPr id="2" name="TextBox 1">
          <a:extLst xmlns:a="http://schemas.openxmlformats.org/drawingml/2006/main">
            <a:ext uri="{FF2B5EF4-FFF2-40B4-BE49-F238E27FC236}">
              <a16:creationId xmlns:a16="http://schemas.microsoft.com/office/drawing/2014/main" id="{E98D702F-DA3F-4639-BB02-1E0F49F7D3C6}"/>
            </a:ext>
          </a:extLst>
        </cdr:cNvPr>
        <cdr:cNvSpPr txBox="1"/>
      </cdr:nvSpPr>
      <cdr:spPr>
        <a:xfrm xmlns:a="http://schemas.openxmlformats.org/drawingml/2006/main">
          <a:off x="5502218" y="1253161"/>
          <a:ext cx="2602873" cy="77336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600">
              <a:solidFill>
                <a:schemeClr val="accent3">
                  <a:lumMod val="75000"/>
                </a:schemeClr>
              </a:solidFill>
              <a:latin typeface="Garamond" panose="02020404030301010803" pitchFamily="18" charset="0"/>
            </a:rPr>
            <a:t>Base Erosion &amp;</a:t>
          </a:r>
          <a:r>
            <a:rPr lang="en-GB" sz="1600" baseline="0">
              <a:solidFill>
                <a:schemeClr val="accent3">
                  <a:lumMod val="75000"/>
                </a:schemeClr>
              </a:solidFill>
              <a:latin typeface="Garamond" panose="02020404030301010803" pitchFamily="18" charset="0"/>
            </a:rPr>
            <a:t> </a:t>
          </a:r>
          <a:r>
            <a:rPr lang="en-GB" sz="1600">
              <a:solidFill>
                <a:schemeClr val="accent3">
                  <a:lumMod val="75000"/>
                </a:schemeClr>
              </a:solidFill>
              <a:latin typeface="Garamond" panose="02020404030301010803" pitchFamily="18" charset="0"/>
            </a:rPr>
            <a:t>Profit </a:t>
          </a:r>
        </a:p>
        <a:p xmlns:a="http://schemas.openxmlformats.org/drawingml/2006/main">
          <a:r>
            <a:rPr lang="en-GB" sz="1600">
              <a:solidFill>
                <a:schemeClr val="accent3">
                  <a:lumMod val="75000"/>
                </a:schemeClr>
              </a:solidFill>
              <a:latin typeface="Garamond" panose="02020404030301010803" pitchFamily="18" charset="0"/>
            </a:rPr>
            <a:t>Shifting</a:t>
          </a:r>
          <a:r>
            <a:rPr lang="en-GB" sz="1600" baseline="0">
              <a:solidFill>
                <a:schemeClr val="accent3">
                  <a:lumMod val="75000"/>
                </a:schemeClr>
              </a:solidFill>
              <a:latin typeface="Garamond" panose="02020404030301010803" pitchFamily="18" charset="0"/>
            </a:rPr>
            <a:t> </a:t>
          </a:r>
          <a:r>
            <a:rPr lang="en-GB" sz="1800">
              <a:solidFill>
                <a:schemeClr val="accent3">
                  <a:lumMod val="75000"/>
                </a:schemeClr>
              </a:solidFill>
              <a:latin typeface="Garamond" panose="02020404030301010803" pitchFamily="18" charset="0"/>
            </a:rPr>
            <a:t>initiated</a:t>
          </a:r>
          <a:r>
            <a:rPr lang="en-GB" sz="1600">
              <a:solidFill>
                <a:schemeClr val="accent3">
                  <a:lumMod val="75000"/>
                </a:schemeClr>
              </a:solidFill>
              <a:latin typeface="Garamond" panose="02020404030301010803" pitchFamily="18" charset="0"/>
            </a:rPr>
            <a:t> (2015)</a:t>
          </a:r>
          <a:endParaRPr lang="en-DK" sz="1600">
            <a:solidFill>
              <a:schemeClr val="accent3">
                <a:lumMod val="75000"/>
              </a:schemeClr>
            </a:solidFill>
            <a:latin typeface="Garamond" panose="02020404030301010803" pitchFamily="18" charset="0"/>
          </a:endParaRPr>
        </a:p>
      </cdr:txBody>
    </cdr:sp>
  </cdr:relSizeAnchor>
</c:userShapes>
</file>

<file path=xl/drawings/drawing24.xml><?xml version="1.0" encoding="utf-8"?>
<xdr:wsDr xmlns:xdr="http://schemas.openxmlformats.org/drawingml/2006/spreadsheetDrawing" xmlns:a="http://schemas.openxmlformats.org/drawingml/2006/main">
  <xdr:absoluteAnchor>
    <xdr:pos x="0" y="0"/>
    <xdr:ext cx="9305636" cy="6084455"/>
    <xdr:graphicFrame macro="">
      <xdr:nvGraphicFramePr>
        <xdr:cNvPr id="2" name="Diagram 1">
          <a:extLst>
            <a:ext uri="{FF2B5EF4-FFF2-40B4-BE49-F238E27FC236}">
              <a16:creationId xmlns:a16="http://schemas.microsoft.com/office/drawing/2014/main" id="{00000000-0008-0000-0E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5.xml><?xml version="1.0" encoding="utf-8"?>
<c:userShapes xmlns:c="http://schemas.openxmlformats.org/drawingml/2006/chart">
  <cdr:relSizeAnchor xmlns:cdr="http://schemas.openxmlformats.org/drawingml/2006/chartDrawing">
    <cdr:from>
      <cdr:x>0.57726</cdr:x>
      <cdr:y>0.53331</cdr:y>
    </cdr:from>
    <cdr:to>
      <cdr:x>0.76622</cdr:x>
      <cdr:y>0.6055</cdr:y>
    </cdr:to>
    <cdr:sp macro="" textlink="">
      <cdr:nvSpPr>
        <cdr:cNvPr id="4" name="Tekstfelt 5">
          <a:extLst xmlns:a="http://schemas.openxmlformats.org/drawingml/2006/main">
            <a:ext uri="{FF2B5EF4-FFF2-40B4-BE49-F238E27FC236}">
              <a16:creationId xmlns:a16="http://schemas.microsoft.com/office/drawing/2014/main" id="{D441729D-5548-20D0-A747-BCD67896AAE2}"/>
            </a:ext>
          </a:extLst>
        </cdr:cNvPr>
        <cdr:cNvSpPr txBox="1"/>
      </cdr:nvSpPr>
      <cdr:spPr>
        <a:xfrm xmlns:a="http://schemas.openxmlformats.org/drawingml/2006/main">
          <a:off x="5373741" y="3237541"/>
          <a:ext cx="1759048" cy="43823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a-DK" sz="1800">
              <a:latin typeface="Garamond" panose="02020404030301010803" pitchFamily="18" charset="0"/>
            </a:rPr>
            <a:t>Central scenario</a:t>
          </a:r>
        </a:p>
      </cdr:txBody>
    </cdr:sp>
  </cdr:relSizeAnchor>
  <cdr:relSizeAnchor xmlns:cdr="http://schemas.openxmlformats.org/drawingml/2006/chartDrawing">
    <cdr:from>
      <cdr:x>0.36423</cdr:x>
      <cdr:y>0.27034</cdr:y>
    </cdr:from>
    <cdr:to>
      <cdr:x>0.53793</cdr:x>
      <cdr:y>0.3389</cdr:y>
    </cdr:to>
    <cdr:sp macro="" textlink="">
      <cdr:nvSpPr>
        <cdr:cNvPr id="5" name="TextBox 1">
          <a:extLst xmlns:a="http://schemas.openxmlformats.org/drawingml/2006/main">
            <a:ext uri="{FF2B5EF4-FFF2-40B4-BE49-F238E27FC236}">
              <a16:creationId xmlns:a16="http://schemas.microsoft.com/office/drawing/2014/main" id="{0686B533-CBC6-8894-5B26-4E95E655FE28}"/>
            </a:ext>
          </a:extLst>
        </cdr:cNvPr>
        <cdr:cNvSpPr txBox="1"/>
      </cdr:nvSpPr>
      <cdr:spPr>
        <a:xfrm xmlns:a="http://schemas.openxmlformats.org/drawingml/2006/main">
          <a:off x="3397843" y="1641775"/>
          <a:ext cx="1620400" cy="41635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600" baseline="0">
              <a:solidFill>
                <a:schemeClr val="accent2"/>
              </a:solidFill>
              <a:latin typeface="Garamond" panose="02020404030301010803" pitchFamily="18" charset="0"/>
            </a:rPr>
            <a:t>Upper bound</a:t>
          </a:r>
        </a:p>
      </cdr:txBody>
    </cdr:sp>
  </cdr:relSizeAnchor>
  <cdr:relSizeAnchor xmlns:cdr="http://schemas.openxmlformats.org/drawingml/2006/chartDrawing">
    <cdr:from>
      <cdr:x>0.51873</cdr:x>
      <cdr:y>0.70476</cdr:y>
    </cdr:from>
    <cdr:to>
      <cdr:x>0.70782</cdr:x>
      <cdr:y>0.77508</cdr:y>
    </cdr:to>
    <cdr:sp macro="" textlink="">
      <cdr:nvSpPr>
        <cdr:cNvPr id="6" name="TextBox 1">
          <a:extLst xmlns:a="http://schemas.openxmlformats.org/drawingml/2006/main">
            <a:ext uri="{FF2B5EF4-FFF2-40B4-BE49-F238E27FC236}">
              <a16:creationId xmlns:a16="http://schemas.microsoft.com/office/drawing/2014/main" id="{9A58E287-45E3-BFAF-0CC9-37327943F773}"/>
            </a:ext>
          </a:extLst>
        </cdr:cNvPr>
        <cdr:cNvSpPr txBox="1"/>
      </cdr:nvSpPr>
      <cdr:spPr>
        <a:xfrm xmlns:a="http://schemas.openxmlformats.org/drawingml/2006/main">
          <a:off x="4839063" y="4279943"/>
          <a:ext cx="1763969" cy="42704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600">
              <a:solidFill>
                <a:srgbClr val="0070C0"/>
              </a:solidFill>
              <a:latin typeface="Garamond" panose="02020404030301010803" pitchFamily="18" charset="0"/>
            </a:rPr>
            <a:t>Lower bound</a:t>
          </a:r>
          <a:endParaRPr lang="en-DK" sz="1600">
            <a:solidFill>
              <a:srgbClr val="0070C0"/>
            </a:solidFill>
            <a:latin typeface="Garamond" panose="02020404030301010803" pitchFamily="18" charset="0"/>
          </a:endParaRPr>
        </a:p>
      </cdr:txBody>
    </cdr:sp>
  </cdr:relSizeAnchor>
</c:userShapes>
</file>

<file path=xl/drawings/drawing26.xml><?xml version="1.0" encoding="utf-8"?>
<xdr:wsDr xmlns:xdr="http://schemas.openxmlformats.org/drawingml/2006/spreadsheetDrawing" xmlns:a="http://schemas.openxmlformats.org/drawingml/2006/main">
  <xdr:absoluteAnchor>
    <xdr:pos x="0" y="0"/>
    <xdr:ext cx="9289143" cy="6059714"/>
    <xdr:graphicFrame macro="">
      <xdr:nvGraphicFramePr>
        <xdr:cNvPr id="2" name="Diagram 1">
          <a:extLst>
            <a:ext uri="{FF2B5EF4-FFF2-40B4-BE49-F238E27FC236}">
              <a16:creationId xmlns:a16="http://schemas.microsoft.com/office/drawing/2014/main" id="{00000000-0008-0000-0F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7.xml><?xml version="1.0" encoding="utf-8"?>
<c:userShapes xmlns:c="http://schemas.openxmlformats.org/drawingml/2006/chart">
  <cdr:relSizeAnchor xmlns:cdr="http://schemas.openxmlformats.org/drawingml/2006/chartDrawing">
    <cdr:from>
      <cdr:x>0.28661</cdr:x>
      <cdr:y>0.62904</cdr:y>
    </cdr:from>
    <cdr:to>
      <cdr:x>0.46041</cdr:x>
      <cdr:y>0.69751</cdr:y>
    </cdr:to>
    <cdr:sp macro="" textlink="">
      <cdr:nvSpPr>
        <cdr:cNvPr id="2" name="TextBox 1">
          <a:extLst xmlns:a="http://schemas.openxmlformats.org/drawingml/2006/main">
            <a:ext uri="{FF2B5EF4-FFF2-40B4-BE49-F238E27FC236}">
              <a16:creationId xmlns:a16="http://schemas.microsoft.com/office/drawing/2014/main" id="{4536E319-A116-F5DF-832F-896FD0E78EB0}"/>
            </a:ext>
          </a:extLst>
        </cdr:cNvPr>
        <cdr:cNvSpPr txBox="1"/>
      </cdr:nvSpPr>
      <cdr:spPr>
        <a:xfrm xmlns:a="http://schemas.openxmlformats.org/drawingml/2006/main">
          <a:off x="2668069" y="3818672"/>
          <a:ext cx="1617922" cy="41565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600" baseline="0">
              <a:solidFill>
                <a:schemeClr val="accent2"/>
              </a:solidFill>
              <a:latin typeface="Garamond" panose="02020404030301010803" pitchFamily="18" charset="0"/>
            </a:rPr>
            <a:t>Upper bound</a:t>
          </a:r>
        </a:p>
      </cdr:txBody>
    </cdr:sp>
  </cdr:relSizeAnchor>
  <cdr:relSizeAnchor xmlns:cdr="http://schemas.openxmlformats.org/drawingml/2006/chartDrawing">
    <cdr:from>
      <cdr:x>0.67021</cdr:x>
      <cdr:y>0.73594</cdr:y>
    </cdr:from>
    <cdr:to>
      <cdr:x>0.88807</cdr:x>
      <cdr:y>0.80616</cdr:y>
    </cdr:to>
    <cdr:sp macro="" textlink="">
      <cdr:nvSpPr>
        <cdr:cNvPr id="3" name="TextBox 1">
          <a:extLst xmlns:a="http://schemas.openxmlformats.org/drawingml/2006/main">
            <a:ext uri="{FF2B5EF4-FFF2-40B4-BE49-F238E27FC236}">
              <a16:creationId xmlns:a16="http://schemas.microsoft.com/office/drawing/2014/main" id="{5EA5B06F-0E4D-A107-25A1-69D414CD0EF0}"/>
            </a:ext>
          </a:extLst>
        </cdr:cNvPr>
        <cdr:cNvSpPr txBox="1"/>
      </cdr:nvSpPr>
      <cdr:spPr>
        <a:xfrm xmlns:a="http://schemas.openxmlformats.org/drawingml/2006/main">
          <a:off x="6239036" y="4467611"/>
          <a:ext cx="2028081" cy="42627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600">
              <a:solidFill>
                <a:srgbClr val="0070C0"/>
              </a:solidFill>
              <a:latin typeface="Garamond" panose="02020404030301010803" pitchFamily="18" charset="0"/>
            </a:rPr>
            <a:t>Lower bound</a:t>
          </a:r>
          <a:endParaRPr lang="en-DK" sz="1600">
            <a:solidFill>
              <a:srgbClr val="0070C0"/>
            </a:solidFill>
            <a:latin typeface="Garamond" panose="02020404030301010803" pitchFamily="18" charset="0"/>
          </a:endParaRPr>
        </a:p>
      </cdr:txBody>
    </cdr:sp>
  </cdr:relSizeAnchor>
  <cdr:relSizeAnchor xmlns:cdr="http://schemas.openxmlformats.org/drawingml/2006/chartDrawing">
    <cdr:from>
      <cdr:x>0.63769</cdr:x>
      <cdr:y>0.5014</cdr:y>
    </cdr:from>
    <cdr:to>
      <cdr:x>0.82675</cdr:x>
      <cdr:y>0.57349</cdr:y>
    </cdr:to>
    <cdr:sp macro="" textlink="">
      <cdr:nvSpPr>
        <cdr:cNvPr id="4" name="Tekstfelt 5">
          <a:extLst xmlns:a="http://schemas.openxmlformats.org/drawingml/2006/main">
            <a:ext uri="{FF2B5EF4-FFF2-40B4-BE49-F238E27FC236}">
              <a16:creationId xmlns:a16="http://schemas.microsoft.com/office/drawing/2014/main" id="{E7B7AEE9-F9F7-C07A-AB28-1DC1501DC7AC}"/>
            </a:ext>
          </a:extLst>
        </cdr:cNvPr>
        <cdr:cNvSpPr txBox="1"/>
      </cdr:nvSpPr>
      <cdr:spPr>
        <a:xfrm xmlns:a="http://schemas.openxmlformats.org/drawingml/2006/main">
          <a:off x="5935171" y="3038315"/>
          <a:ext cx="1759636" cy="43684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a-DK" sz="1800">
              <a:latin typeface="Garamond" panose="02020404030301010803" pitchFamily="18" charset="0"/>
            </a:rPr>
            <a:t>Central scenario</a:t>
          </a:r>
        </a:p>
      </cdr:txBody>
    </cdr:sp>
  </cdr:relSizeAnchor>
</c:userShapes>
</file>

<file path=xl/drawings/drawing28.xml><?xml version="1.0" encoding="utf-8"?>
<xdr:wsDr xmlns:xdr="http://schemas.openxmlformats.org/drawingml/2006/spreadsheetDrawing" xmlns:a="http://schemas.openxmlformats.org/drawingml/2006/main">
  <xdr:absoluteAnchor>
    <xdr:pos x="0" y="0"/>
    <xdr:ext cx="9289143" cy="6059714"/>
    <xdr:graphicFrame macro="">
      <xdr:nvGraphicFramePr>
        <xdr:cNvPr id="2" name="Chart 1">
          <a:extLst>
            <a:ext uri="{FF2B5EF4-FFF2-40B4-BE49-F238E27FC236}">
              <a16:creationId xmlns:a16="http://schemas.microsoft.com/office/drawing/2014/main" id="{E1938F8F-11E2-6A4E-A5AF-8FF157B8C2E9}"/>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9.xml><?xml version="1.0" encoding="utf-8"?>
<c:userShapes xmlns:c="http://schemas.openxmlformats.org/drawingml/2006/chart">
  <cdr:relSizeAnchor xmlns:cdr="http://schemas.openxmlformats.org/drawingml/2006/chartDrawing">
    <cdr:from>
      <cdr:x>0.21604</cdr:x>
      <cdr:y>0.19466</cdr:y>
    </cdr:from>
    <cdr:to>
      <cdr:x>0.46794</cdr:x>
      <cdr:y>0.32274</cdr:y>
    </cdr:to>
    <cdr:sp macro="" textlink="">
      <cdr:nvSpPr>
        <cdr:cNvPr id="2" name="TextBox 1">
          <a:extLst xmlns:a="http://schemas.openxmlformats.org/drawingml/2006/main">
            <a:ext uri="{FF2B5EF4-FFF2-40B4-BE49-F238E27FC236}">
              <a16:creationId xmlns:a16="http://schemas.microsoft.com/office/drawing/2014/main" id="{4536E319-A116-F5DF-832F-896FD0E78EB0}"/>
            </a:ext>
          </a:extLst>
        </cdr:cNvPr>
        <cdr:cNvSpPr txBox="1"/>
      </cdr:nvSpPr>
      <cdr:spPr>
        <a:xfrm xmlns:a="http://schemas.openxmlformats.org/drawingml/2006/main">
          <a:off x="2011138" y="1181703"/>
          <a:ext cx="2344962" cy="77752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GB" sz="1600">
              <a:solidFill>
                <a:schemeClr val="accent1">
                  <a:lumMod val="75000"/>
                </a:schemeClr>
              </a:solidFill>
              <a:latin typeface="Garamond" panose="02020404030301010803" pitchFamily="18" charset="0"/>
            </a:rPr>
            <a:t>Corporate</a:t>
          </a:r>
          <a:r>
            <a:rPr lang="en-GB" sz="1600" baseline="0">
              <a:solidFill>
                <a:schemeClr val="accent1">
                  <a:lumMod val="75000"/>
                </a:schemeClr>
              </a:solidFill>
              <a:latin typeface="Garamond" panose="02020404030301010803" pitchFamily="18" charset="0"/>
            </a:rPr>
            <a:t> pre-tax profits </a:t>
          </a:r>
        </a:p>
        <a:p xmlns:a="http://schemas.openxmlformats.org/drawingml/2006/main">
          <a:pPr algn="ctr"/>
          <a:r>
            <a:rPr lang="en-GB" sz="1600" baseline="0">
              <a:solidFill>
                <a:schemeClr val="accent1">
                  <a:lumMod val="75000"/>
                </a:schemeClr>
              </a:solidFill>
              <a:latin typeface="Garamond" panose="02020404030301010803" pitchFamily="18" charset="0"/>
            </a:rPr>
            <a:t>(% of global income)</a:t>
          </a:r>
          <a:endParaRPr lang="en-DK" sz="1600">
            <a:solidFill>
              <a:schemeClr val="accent1">
                <a:lumMod val="75000"/>
              </a:schemeClr>
            </a:solidFill>
            <a:latin typeface="Garamond" panose="02020404030301010803" pitchFamily="18" charset="0"/>
          </a:endParaRPr>
        </a:p>
      </cdr:txBody>
    </cdr:sp>
  </cdr:relSizeAnchor>
  <cdr:relSizeAnchor xmlns:cdr="http://schemas.openxmlformats.org/drawingml/2006/chartDrawing">
    <cdr:from>
      <cdr:x>0.44656</cdr:x>
      <cdr:y>0.66997</cdr:y>
    </cdr:from>
    <cdr:to>
      <cdr:x>0.68708</cdr:x>
      <cdr:y>0.79805</cdr:y>
    </cdr:to>
    <cdr:sp macro="" textlink="">
      <cdr:nvSpPr>
        <cdr:cNvPr id="3" name="TextBox 1">
          <a:extLst xmlns:a="http://schemas.openxmlformats.org/drawingml/2006/main">
            <a:ext uri="{FF2B5EF4-FFF2-40B4-BE49-F238E27FC236}">
              <a16:creationId xmlns:a16="http://schemas.microsoft.com/office/drawing/2014/main" id="{5EA5B06F-0E4D-A107-25A1-69D414CD0EF0}"/>
            </a:ext>
          </a:extLst>
        </cdr:cNvPr>
        <cdr:cNvSpPr txBox="1"/>
      </cdr:nvSpPr>
      <cdr:spPr>
        <a:xfrm xmlns:a="http://schemas.openxmlformats.org/drawingml/2006/main">
          <a:off x="4157086" y="4067135"/>
          <a:ext cx="2239024" cy="77752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GB" sz="1600" baseline="0">
              <a:solidFill>
                <a:sysClr val="windowText" lastClr="000000"/>
              </a:solidFill>
              <a:latin typeface="Garamond" panose="02020404030301010803" pitchFamily="18" charset="0"/>
            </a:rPr>
            <a:t>Foreign pre-tax profits</a:t>
          </a:r>
        </a:p>
        <a:p xmlns:a="http://schemas.openxmlformats.org/drawingml/2006/main">
          <a:pPr algn="ctr"/>
          <a:r>
            <a:rPr lang="en-GB" sz="1600" baseline="0">
              <a:solidFill>
                <a:sysClr val="windowText" lastClr="000000"/>
              </a:solidFill>
              <a:latin typeface="Garamond" panose="02020404030301010803" pitchFamily="18" charset="0"/>
            </a:rPr>
            <a:t>(% of corporate profits)</a:t>
          </a:r>
        </a:p>
        <a:p xmlns:a="http://schemas.openxmlformats.org/drawingml/2006/main">
          <a:endParaRPr lang="en-DK" sz="1600">
            <a:solidFill>
              <a:sysClr val="windowText" lastClr="000000"/>
            </a:solidFill>
            <a:latin typeface="Garamond" panose="02020404030301010803" pitchFamily="18" charset="0"/>
          </a:endParaRPr>
        </a:p>
      </cdr:txBody>
    </cdr:sp>
  </cdr:relSizeAnchor>
</c:userShapes>
</file>

<file path=xl/drawings/drawing3.xml><?xml version="1.0" encoding="utf-8"?>
<xdr:wsDr xmlns:xdr="http://schemas.openxmlformats.org/drawingml/2006/spreadsheetDrawing" xmlns:a="http://schemas.openxmlformats.org/drawingml/2006/main">
  <xdr:absoluteAnchor>
    <xdr:pos x="0" y="0"/>
    <xdr:ext cx="9305636" cy="6084455"/>
    <xdr:graphicFrame macro="">
      <xdr:nvGraphicFramePr>
        <xdr:cNvPr id="2" name="Chart 1">
          <a:extLst>
            <a:ext uri="{FF2B5EF4-FFF2-40B4-BE49-F238E27FC236}">
              <a16:creationId xmlns:a16="http://schemas.microsoft.com/office/drawing/2014/main" id="{00000000-0008-0000-05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0.xml><?xml version="1.0" encoding="utf-8"?>
<xdr:wsDr xmlns:xdr="http://schemas.openxmlformats.org/drawingml/2006/spreadsheetDrawing" xmlns:a="http://schemas.openxmlformats.org/drawingml/2006/main">
  <xdr:absoluteAnchor>
    <xdr:pos x="0" y="0"/>
    <xdr:ext cx="9293412" cy="6066118"/>
    <xdr:graphicFrame macro="">
      <xdr:nvGraphicFramePr>
        <xdr:cNvPr id="2" name="Chart 1">
          <a:extLst>
            <a:ext uri="{FF2B5EF4-FFF2-40B4-BE49-F238E27FC236}">
              <a16:creationId xmlns:a16="http://schemas.microsoft.com/office/drawing/2014/main" id="{002EBAB8-9B64-0F89-D5CB-FF1078464765}"/>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1.xml><?xml version="1.0" encoding="utf-8"?>
<xdr:wsDr xmlns:xdr="http://schemas.openxmlformats.org/drawingml/2006/spreadsheetDrawing" xmlns:a="http://schemas.openxmlformats.org/drawingml/2006/main">
  <xdr:twoCellAnchor>
    <xdr:from>
      <xdr:col>28</xdr:col>
      <xdr:colOff>720109</xdr:colOff>
      <xdr:row>233</xdr:row>
      <xdr:rowOff>75154</xdr:rowOff>
    </xdr:from>
    <xdr:to>
      <xdr:col>34</xdr:col>
      <xdr:colOff>225202</xdr:colOff>
      <xdr:row>248</xdr:row>
      <xdr:rowOff>68870</xdr:rowOff>
    </xdr:to>
    <xdr:graphicFrame macro="">
      <xdr:nvGraphicFramePr>
        <xdr:cNvPr id="2" name="Chart 1">
          <a:extLst>
            <a:ext uri="{FF2B5EF4-FFF2-40B4-BE49-F238E27FC236}">
              <a16:creationId xmlns:a16="http://schemas.microsoft.com/office/drawing/2014/main" id="{C6CD1BE9-C365-4582-5093-F7F5D02A319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0.10576</cdr:x>
      <cdr:y>0.12226</cdr:y>
    </cdr:from>
    <cdr:to>
      <cdr:x>0.13749</cdr:x>
      <cdr:y>0.1363</cdr:y>
    </cdr:to>
    <cdr:sp macro="" textlink="">
      <cdr:nvSpPr>
        <cdr:cNvPr id="4" name="Rectangle 3"/>
        <cdr:cNvSpPr/>
      </cdr:nvSpPr>
      <cdr:spPr>
        <a:xfrm xmlns:a="http://schemas.openxmlformats.org/drawingml/2006/main">
          <a:off x="984883" y="743927"/>
          <a:ext cx="295472" cy="85430"/>
        </a:xfrm>
        <a:prstGeom xmlns:a="http://schemas.openxmlformats.org/drawingml/2006/main" prst="rect">
          <a:avLst/>
        </a:prstGeom>
        <a:solidFill xmlns:a="http://schemas.openxmlformats.org/drawingml/2006/main">
          <a:schemeClr val="bg1"/>
        </a:solidFill>
        <a:ln xmlns:a="http://schemas.openxmlformats.org/drawingml/2006/main">
          <a:noFill/>
        </a:ln>
        <a:effectLst xmlns:a="http://schemas.openxmlformats.org/drawingml/2006/main"/>
      </cdr:spPr>
      <cdr:style>
        <a:lnRef xmlns:a="http://schemas.openxmlformats.org/drawingml/2006/main" idx="1">
          <a:schemeClr val="accent1"/>
        </a:lnRef>
        <a:fillRef xmlns:a="http://schemas.openxmlformats.org/drawingml/2006/main" idx="3">
          <a:schemeClr val="accent1"/>
        </a:fillRef>
        <a:effectRef xmlns:a="http://schemas.openxmlformats.org/drawingml/2006/main" idx="2">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0.09463</cdr:x>
      <cdr:y>0.12277</cdr:y>
    </cdr:from>
    <cdr:to>
      <cdr:x>0.10716</cdr:x>
      <cdr:y>0.13635</cdr:y>
    </cdr:to>
    <cdr:cxnSp macro="">
      <cdr:nvCxnSpPr>
        <cdr:cNvPr id="7" name="Straight Connector 6">
          <a:extLst xmlns:a="http://schemas.openxmlformats.org/drawingml/2006/main">
            <a:ext uri="{FF2B5EF4-FFF2-40B4-BE49-F238E27FC236}">
              <a16:creationId xmlns:a16="http://schemas.microsoft.com/office/drawing/2014/main" id="{0EE372A0-F1F3-E34E-A344-CBB3B2C480F0}"/>
            </a:ext>
          </a:extLst>
        </cdr:cNvPr>
        <cdr:cNvCxnSpPr/>
      </cdr:nvCxnSpPr>
      <cdr:spPr>
        <a:xfrm xmlns:a="http://schemas.openxmlformats.org/drawingml/2006/main">
          <a:off x="881221" y="747015"/>
          <a:ext cx="116680" cy="82631"/>
        </a:xfrm>
        <a:prstGeom xmlns:a="http://schemas.openxmlformats.org/drawingml/2006/main" prst="line">
          <a:avLst/>
        </a:prstGeom>
        <a:ln xmlns:a="http://schemas.openxmlformats.org/drawingml/2006/main" w="9525">
          <a:solidFill>
            <a:schemeClr val="tx1"/>
          </a:solidFill>
        </a:ln>
        <a:effectLst xmlns:a="http://schemas.openxmlformats.org/drawingml/2006/mai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0.0957</cdr:x>
      <cdr:y>0.10938</cdr:y>
    </cdr:from>
    <cdr:to>
      <cdr:x>0.10822</cdr:x>
      <cdr:y>0.12296</cdr:y>
    </cdr:to>
    <cdr:cxnSp macro="">
      <cdr:nvCxnSpPr>
        <cdr:cNvPr id="11" name="Straight Connector 10">
          <a:extLst xmlns:a="http://schemas.openxmlformats.org/drawingml/2006/main">
            <a:ext uri="{FF2B5EF4-FFF2-40B4-BE49-F238E27FC236}">
              <a16:creationId xmlns:a16="http://schemas.microsoft.com/office/drawing/2014/main" id="{6732FDC8-75ED-F545-8CD3-7D7C6DDFC83C}"/>
            </a:ext>
          </a:extLst>
        </cdr:cNvPr>
        <cdr:cNvCxnSpPr/>
      </cdr:nvCxnSpPr>
      <cdr:spPr>
        <a:xfrm xmlns:a="http://schemas.openxmlformats.org/drawingml/2006/main">
          <a:off x="891178" y="665557"/>
          <a:ext cx="116587" cy="82632"/>
        </a:xfrm>
        <a:prstGeom xmlns:a="http://schemas.openxmlformats.org/drawingml/2006/main" prst="line">
          <a:avLst/>
        </a:prstGeom>
        <a:ln xmlns:a="http://schemas.openxmlformats.org/drawingml/2006/main" w="9525">
          <a:solidFill>
            <a:schemeClr val="tx1"/>
          </a:solidFill>
        </a:ln>
        <a:effectLst xmlns:a="http://schemas.openxmlformats.org/drawingml/2006/mai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0.0068</cdr:x>
      <cdr:y>0.02647</cdr:y>
    </cdr:from>
    <cdr:to>
      <cdr:x>0.10491</cdr:x>
      <cdr:y>0.07211</cdr:y>
    </cdr:to>
    <cdr:sp macro="" textlink="">
      <cdr:nvSpPr>
        <cdr:cNvPr id="2" name="TextBox 1"/>
        <cdr:cNvSpPr txBox="1"/>
      </cdr:nvSpPr>
      <cdr:spPr>
        <a:xfrm xmlns:a="http://schemas.openxmlformats.org/drawingml/2006/main">
          <a:off x="63204" y="160382"/>
          <a:ext cx="911358" cy="27656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a-DK" sz="1800">
              <a:latin typeface="Garamond" panose="02020404030301010803" pitchFamily="18" charset="0"/>
            </a:rPr>
            <a:t>1475%</a:t>
          </a:r>
        </a:p>
      </cdr:txBody>
    </cdr:sp>
  </cdr:relSizeAnchor>
</c:userShapes>
</file>

<file path=xl/drawings/drawing5.xml><?xml version="1.0" encoding="utf-8"?>
<xdr:wsDr xmlns:xdr="http://schemas.openxmlformats.org/drawingml/2006/spreadsheetDrawing" xmlns:a="http://schemas.openxmlformats.org/drawingml/2006/main">
  <xdr:absoluteAnchor>
    <xdr:pos x="0" y="0"/>
    <xdr:ext cx="9305636" cy="6084455"/>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6.xml><?xml version="1.0" encoding="utf-8"?>
<c:userShapes xmlns:c="http://schemas.openxmlformats.org/drawingml/2006/chart">
  <cdr:relSizeAnchor xmlns:cdr="http://schemas.openxmlformats.org/drawingml/2006/chartDrawing">
    <cdr:from>
      <cdr:x>0.50728</cdr:x>
      <cdr:y>0.23888</cdr:y>
    </cdr:from>
    <cdr:to>
      <cdr:x>0.82332</cdr:x>
      <cdr:y>0.30823</cdr:y>
    </cdr:to>
    <cdr:sp macro="" textlink="">
      <cdr:nvSpPr>
        <cdr:cNvPr id="3" name="TextBox 2"/>
        <cdr:cNvSpPr txBox="1"/>
      </cdr:nvSpPr>
      <cdr:spPr>
        <a:xfrm xmlns:a="http://schemas.openxmlformats.org/drawingml/2006/main">
          <a:off x="4715891" y="1450124"/>
          <a:ext cx="2937976" cy="42099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a-DK" sz="2000">
            <a:solidFill>
              <a:srgbClr val="FF0000"/>
            </a:solidFill>
            <a:latin typeface="Garamond" panose="02020404030301010803" pitchFamily="18" charset="0"/>
          </a:endParaRPr>
        </a:p>
      </cdr:txBody>
    </cdr:sp>
  </cdr:relSizeAnchor>
</c:userShapes>
</file>

<file path=xl/drawings/drawing7.xml><?xml version="1.0" encoding="utf-8"?>
<xdr:wsDr xmlns:xdr="http://schemas.openxmlformats.org/drawingml/2006/spreadsheetDrawing" xmlns:a="http://schemas.openxmlformats.org/drawingml/2006/main">
  <xdr:twoCellAnchor>
    <xdr:from>
      <xdr:col>61</xdr:col>
      <xdr:colOff>343307</xdr:colOff>
      <xdr:row>53</xdr:row>
      <xdr:rowOff>1770</xdr:rowOff>
    </xdr:from>
    <xdr:to>
      <xdr:col>66</xdr:col>
      <xdr:colOff>345189</xdr:colOff>
      <xdr:row>69</xdr:row>
      <xdr:rowOff>37866</xdr:rowOff>
    </xdr:to>
    <xdr:graphicFrame macro="">
      <xdr:nvGraphicFramePr>
        <xdr:cNvPr id="2" name="Diagram 1">
          <a:extLst>
            <a:ext uri="{FF2B5EF4-FFF2-40B4-BE49-F238E27FC236}">
              <a16:creationId xmlns:a16="http://schemas.microsoft.com/office/drawing/2014/main" id="{C6FC6016-CED2-D242-9265-AE258B9678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68</xdr:col>
      <xdr:colOff>358868</xdr:colOff>
      <xdr:row>52</xdr:row>
      <xdr:rowOff>93684</xdr:rowOff>
    </xdr:from>
    <xdr:to>
      <xdr:col>75</xdr:col>
      <xdr:colOff>127200</xdr:colOff>
      <xdr:row>69</xdr:row>
      <xdr:rowOff>64607</xdr:rowOff>
    </xdr:to>
    <xdr:graphicFrame macro="">
      <xdr:nvGraphicFramePr>
        <xdr:cNvPr id="3" name="Diagram 2">
          <a:extLst>
            <a:ext uri="{FF2B5EF4-FFF2-40B4-BE49-F238E27FC236}">
              <a16:creationId xmlns:a16="http://schemas.microsoft.com/office/drawing/2014/main" id="{ED307F83-A9F2-B048-940C-02ADCE23FD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61</xdr:col>
      <xdr:colOff>343307</xdr:colOff>
      <xdr:row>53</xdr:row>
      <xdr:rowOff>1770</xdr:rowOff>
    </xdr:from>
    <xdr:to>
      <xdr:col>66</xdr:col>
      <xdr:colOff>345189</xdr:colOff>
      <xdr:row>69</xdr:row>
      <xdr:rowOff>37866</xdr:rowOff>
    </xdr:to>
    <xdr:graphicFrame macro="">
      <xdr:nvGraphicFramePr>
        <xdr:cNvPr id="4" name="Diagram 1">
          <a:extLst>
            <a:ext uri="{FF2B5EF4-FFF2-40B4-BE49-F238E27FC236}">
              <a16:creationId xmlns:a16="http://schemas.microsoft.com/office/drawing/2014/main" id="{4ECB76B9-B9DC-42E5-B519-FA925AE179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68</xdr:col>
      <xdr:colOff>358868</xdr:colOff>
      <xdr:row>52</xdr:row>
      <xdr:rowOff>93684</xdr:rowOff>
    </xdr:from>
    <xdr:to>
      <xdr:col>75</xdr:col>
      <xdr:colOff>127200</xdr:colOff>
      <xdr:row>69</xdr:row>
      <xdr:rowOff>64607</xdr:rowOff>
    </xdr:to>
    <xdr:graphicFrame macro="">
      <xdr:nvGraphicFramePr>
        <xdr:cNvPr id="5" name="Diagram 2">
          <a:extLst>
            <a:ext uri="{FF2B5EF4-FFF2-40B4-BE49-F238E27FC236}">
              <a16:creationId xmlns:a16="http://schemas.microsoft.com/office/drawing/2014/main" id="{D008E8B0-1F84-46B6-AF3F-D696C0271B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xdr:wsDr xmlns:xdr="http://schemas.openxmlformats.org/drawingml/2006/spreadsheetDrawing" xmlns:a="http://schemas.openxmlformats.org/drawingml/2006/main">
  <xdr:absoluteAnchor>
    <xdr:pos x="0" y="0"/>
    <xdr:ext cx="9293412" cy="6066118"/>
    <xdr:graphicFrame macro="">
      <xdr:nvGraphicFramePr>
        <xdr:cNvPr id="2" name="Chart 1">
          <a:extLst>
            <a:ext uri="{FF2B5EF4-FFF2-40B4-BE49-F238E27FC236}">
              <a16:creationId xmlns:a16="http://schemas.microsoft.com/office/drawing/2014/main" id="{000CA0AB-2FEA-84CE-26B9-F50193BBE1A1}"/>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9.xml><?xml version="1.0" encoding="utf-8"?>
<c:userShapes xmlns:c="http://schemas.openxmlformats.org/drawingml/2006/chart">
  <cdr:relSizeAnchor xmlns:cdr="http://schemas.openxmlformats.org/drawingml/2006/chartDrawing">
    <cdr:from>
      <cdr:x>0.21604</cdr:x>
      <cdr:y>0.19466</cdr:y>
    </cdr:from>
    <cdr:to>
      <cdr:x>0.46794</cdr:x>
      <cdr:y>0.32274</cdr:y>
    </cdr:to>
    <cdr:sp macro="" textlink="">
      <cdr:nvSpPr>
        <cdr:cNvPr id="2" name="TextBox 1">
          <a:extLst xmlns:a="http://schemas.openxmlformats.org/drawingml/2006/main">
            <a:ext uri="{FF2B5EF4-FFF2-40B4-BE49-F238E27FC236}">
              <a16:creationId xmlns:a16="http://schemas.microsoft.com/office/drawing/2014/main" id="{4536E319-A116-F5DF-832F-896FD0E78EB0}"/>
            </a:ext>
          </a:extLst>
        </cdr:cNvPr>
        <cdr:cNvSpPr txBox="1"/>
      </cdr:nvSpPr>
      <cdr:spPr>
        <a:xfrm xmlns:a="http://schemas.openxmlformats.org/drawingml/2006/main">
          <a:off x="2011138" y="1181703"/>
          <a:ext cx="2344962" cy="77752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GB" sz="1600" baseline="0">
              <a:solidFill>
                <a:schemeClr val="accent1">
                  <a:lumMod val="75000"/>
                </a:schemeClr>
              </a:solidFill>
              <a:latin typeface="Garamond" panose="02020404030301010803" pitchFamily="18" charset="0"/>
            </a:rPr>
            <a:t>Global pre-tax profits </a:t>
          </a:r>
        </a:p>
        <a:p xmlns:a="http://schemas.openxmlformats.org/drawingml/2006/main">
          <a:pPr algn="ctr"/>
          <a:r>
            <a:rPr lang="en-GB" sz="1600" baseline="0">
              <a:solidFill>
                <a:schemeClr val="accent1">
                  <a:lumMod val="75000"/>
                </a:schemeClr>
              </a:solidFill>
              <a:latin typeface="Garamond" panose="02020404030301010803" pitchFamily="18" charset="0"/>
            </a:rPr>
            <a:t>(% of global income)</a:t>
          </a:r>
          <a:endParaRPr lang="en-DK" sz="1600">
            <a:solidFill>
              <a:schemeClr val="accent1">
                <a:lumMod val="75000"/>
              </a:schemeClr>
            </a:solidFill>
            <a:latin typeface="Garamond" panose="02020404030301010803" pitchFamily="18" charset="0"/>
          </a:endParaRPr>
        </a:p>
      </cdr:txBody>
    </cdr:sp>
  </cdr:relSizeAnchor>
  <cdr:relSizeAnchor xmlns:cdr="http://schemas.openxmlformats.org/drawingml/2006/chartDrawing">
    <cdr:from>
      <cdr:x>0.1869</cdr:x>
      <cdr:y>0.52562</cdr:y>
    </cdr:from>
    <cdr:to>
      <cdr:x>0.48381</cdr:x>
      <cdr:y>0.6537</cdr:y>
    </cdr:to>
    <cdr:sp macro="" textlink="">
      <cdr:nvSpPr>
        <cdr:cNvPr id="3" name="TextBox 1">
          <a:extLst xmlns:a="http://schemas.openxmlformats.org/drawingml/2006/main">
            <a:ext uri="{FF2B5EF4-FFF2-40B4-BE49-F238E27FC236}">
              <a16:creationId xmlns:a16="http://schemas.microsoft.com/office/drawing/2014/main" id="{5EA5B06F-0E4D-A107-25A1-69D414CD0EF0}"/>
            </a:ext>
          </a:extLst>
        </cdr:cNvPr>
        <cdr:cNvSpPr txBox="1"/>
      </cdr:nvSpPr>
      <cdr:spPr>
        <a:xfrm xmlns:a="http://schemas.openxmlformats.org/drawingml/2006/main">
          <a:off x="1739900" y="3190820"/>
          <a:ext cx="2763896" cy="77752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GB" sz="1600" baseline="0">
              <a:solidFill>
                <a:schemeClr val="bg1">
                  <a:lumMod val="65000"/>
                </a:schemeClr>
              </a:solidFill>
              <a:latin typeface="Garamond" panose="02020404030301010803" pitchFamily="18" charset="0"/>
            </a:rPr>
            <a:t>Foreign pre-tax profits</a:t>
          </a:r>
        </a:p>
        <a:p xmlns:a="http://schemas.openxmlformats.org/drawingml/2006/main">
          <a:pPr algn="ctr"/>
          <a:r>
            <a:rPr lang="en-GB" sz="1600" baseline="0">
              <a:solidFill>
                <a:schemeClr val="bg1">
                  <a:lumMod val="65000"/>
                </a:schemeClr>
              </a:solidFill>
              <a:latin typeface="Garamond" panose="02020404030301010803" pitchFamily="18" charset="0"/>
            </a:rPr>
            <a:t>(% of global pre-tax profits)</a:t>
          </a:r>
        </a:p>
        <a:p xmlns:a="http://schemas.openxmlformats.org/drawingml/2006/main">
          <a:endParaRPr lang="en-DK" sz="1600">
            <a:solidFill>
              <a:schemeClr val="bg1">
                <a:lumMod val="65000"/>
              </a:schemeClr>
            </a:solidFill>
            <a:latin typeface="Garamond" panose="02020404030301010803" pitchFamily="18" charset="0"/>
          </a:endParaRPr>
        </a:p>
      </cdr:txBody>
    </cdr:sp>
  </cdr:relSizeAnchor>
  <cdr:relSizeAnchor xmlns:cdr="http://schemas.openxmlformats.org/drawingml/2006/chartDrawing">
    <cdr:from>
      <cdr:x>0.39154</cdr:x>
      <cdr:y>0.73431</cdr:y>
    </cdr:from>
    <cdr:to>
      <cdr:x>0.68844</cdr:x>
      <cdr:y>0.86239</cdr:y>
    </cdr:to>
    <cdr:sp macro="" textlink="">
      <cdr:nvSpPr>
        <cdr:cNvPr id="4" name="TextBox 1">
          <a:extLst xmlns:a="http://schemas.openxmlformats.org/drawingml/2006/main">
            <a:ext uri="{FF2B5EF4-FFF2-40B4-BE49-F238E27FC236}">
              <a16:creationId xmlns:a16="http://schemas.microsoft.com/office/drawing/2014/main" id="{F97C3231-FBAC-7B1F-12A1-C8E2846B0612}"/>
            </a:ext>
          </a:extLst>
        </cdr:cNvPr>
        <cdr:cNvSpPr txBox="1"/>
      </cdr:nvSpPr>
      <cdr:spPr>
        <a:xfrm xmlns:a="http://schemas.openxmlformats.org/drawingml/2006/main">
          <a:off x="3644900" y="4457700"/>
          <a:ext cx="2763896" cy="77752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GB" sz="1600" baseline="0">
              <a:solidFill>
                <a:schemeClr val="tx1"/>
              </a:solidFill>
              <a:latin typeface="Garamond" panose="02020404030301010803" pitchFamily="18" charset="0"/>
            </a:rPr>
            <a:t>Foreign post-tax profits</a:t>
          </a:r>
        </a:p>
        <a:p xmlns:a="http://schemas.openxmlformats.org/drawingml/2006/main">
          <a:pPr algn="ctr"/>
          <a:r>
            <a:rPr lang="en-GB" sz="1600" baseline="0">
              <a:solidFill>
                <a:schemeClr val="tx1"/>
              </a:solidFill>
              <a:latin typeface="Garamond" panose="02020404030301010803" pitchFamily="18" charset="0"/>
            </a:rPr>
            <a:t>(% of global post-tax profits)</a:t>
          </a:r>
        </a:p>
        <a:p xmlns:a="http://schemas.openxmlformats.org/drawingml/2006/main">
          <a:endParaRPr lang="en-DK" sz="1600">
            <a:solidFill>
              <a:schemeClr val="tx1"/>
            </a:solidFill>
            <a:latin typeface="Garamond" panose="02020404030301010803" pitchFamily="18" charset="0"/>
          </a:endParaRPr>
        </a:p>
      </cdr:txBody>
    </cdr:sp>
  </cdr:relSizeAnchor>
</c:userShapes>
</file>

<file path=xl/persons/person.xml><?xml version="1.0" encoding="utf-8"?>
<personList xmlns="http://schemas.microsoft.com/office/spreadsheetml/2018/threadedcomments" xmlns:x="http://schemas.openxmlformats.org/spreadsheetml/2006/main">
  <person displayName="Gabriel Zucman" id="{7D04EC82-6622-E14C-9BD5-7F782F874D0B}" userId="S::zucman@BERKELEY.EDU::7fa3b0bc-bf52-426c-8906-b77895a90652"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AO205" dT="2023-07-10T01:56:56.12" personId="{7D04EC82-6622-E14C-9BD5-7F782F874D0B}" id="{E359A151-CACA-E245-A8AA-E9ED6E39F7F9}">
    <text>Retrieved from ONS</text>
  </threadedComment>
  <threadedComment ref="AT206" dT="2023-07-12T23:33:10.26" personId="{7D04EC82-6622-E14C-9BD5-7F782F874D0B}" id="{AB2007F2-A2EC-6C4D-B685-D7301BD6D181}">
    <text>Replace by more up to date US numbers</text>
  </threadedComment>
</ThreadedComments>
</file>

<file path=xl/threadedComments/threadedComment2.xml><?xml version="1.0" encoding="utf-8"?>
<ThreadedComments xmlns="http://schemas.microsoft.com/office/spreadsheetml/2018/threadedcomments" xmlns:x="http://schemas.openxmlformats.org/spreadsheetml/2006/main">
  <threadedComment ref="T8" dT="2023-07-14T00:30:12.86" personId="{7D04EC82-6622-E14C-9BD5-7F782F874D0B}" id="{6C6359BA-02A8-1241-AFAF-6F517F2E7AB4}">
    <text>Total non-farm employment, BLS, retrieved from Fred: https://fred.stlouisfed.org/series/SMS72000000000000001#0</text>
  </threadedComment>
  <threadedComment ref="U8" dT="2023-07-14T00:32:30.50" personId="{7D04EC82-6622-E14C-9BD5-7F782F874D0B}" id="{BF77F5A8-B0D5-7647-AF9E-305C93CEE323}">
    <text>Average hourly earnings of all employees x 2080 hours/year, BLS, retrieved from Fred: https://fred.stlouisfed.org/series/SMU72000000500000003#0</text>
  </threadedComment>
</ThreadedComment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1.xml"/><Relationship Id="rId4" Type="http://schemas.microsoft.com/office/2017/10/relationships/threadedComment" Target="../threadedComments/threadedComment1.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4.bin"/><Relationship Id="rId4" Type="http://schemas.microsoft.com/office/2017/10/relationships/threadedComment" Target="../threadedComments/threadedComment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B2:C35"/>
  <sheetViews>
    <sheetView tabSelected="1" zoomScale="89" workbookViewId="0">
      <selection activeCell="B2" sqref="B2"/>
    </sheetView>
  </sheetViews>
  <sheetFormatPr baseColWidth="10" defaultColWidth="8.83203125" defaultRowHeight="16" x14ac:dyDescent="0.2"/>
  <cols>
    <col min="1" max="1" width="8.83203125" style="59"/>
    <col min="2" max="2" width="29.5" style="59" customWidth="1"/>
    <col min="3" max="16384" width="8.83203125" style="59"/>
  </cols>
  <sheetData>
    <row r="2" spans="2:3" ht="24" x14ac:dyDescent="0.3">
      <c r="B2" s="138" t="s">
        <v>1076</v>
      </c>
    </row>
    <row r="3" spans="2:3" x14ac:dyDescent="0.2">
      <c r="B3" s="68" t="s">
        <v>1071</v>
      </c>
    </row>
    <row r="4" spans="2:3" x14ac:dyDescent="0.2">
      <c r="B4" s="69"/>
    </row>
    <row r="5" spans="2:3" x14ac:dyDescent="0.2">
      <c r="B5" s="69" t="s">
        <v>0</v>
      </c>
    </row>
    <row r="6" spans="2:3" x14ac:dyDescent="0.2">
      <c r="B6" s="70" t="s">
        <v>1</v>
      </c>
      <c r="C6" s="59" t="str">
        <f>Table1!B4</f>
        <v>Global profits: comparing 2015 and 2023 estimates</v>
      </c>
    </row>
    <row r="8" spans="2:3" x14ac:dyDescent="0.2">
      <c r="B8" s="71" t="s">
        <v>2</v>
      </c>
    </row>
    <row r="9" spans="2:3" x14ac:dyDescent="0.2">
      <c r="B9" s="59" t="s">
        <v>3</v>
      </c>
      <c r="C9" s="59" t="s">
        <v>4</v>
      </c>
    </row>
    <row r="10" spans="2:3" x14ac:dyDescent="0.2">
      <c r="B10" s="59" t="s">
        <v>5</v>
      </c>
      <c r="C10" s="59" t="s">
        <v>1070</v>
      </c>
    </row>
    <row r="11" spans="2:3" x14ac:dyDescent="0.2">
      <c r="B11" s="59" t="s">
        <v>6</v>
      </c>
      <c r="C11" s="59" t="s">
        <v>1072</v>
      </c>
    </row>
    <row r="12" spans="2:3" x14ac:dyDescent="0.2">
      <c r="B12" s="59" t="s">
        <v>7</v>
      </c>
      <c r="C12" s="59" t="s">
        <v>1073</v>
      </c>
    </row>
    <row r="13" spans="2:3" x14ac:dyDescent="0.2">
      <c r="B13" s="59" t="s">
        <v>8</v>
      </c>
      <c r="C13" s="59" t="s">
        <v>1074</v>
      </c>
    </row>
    <row r="15" spans="2:3" x14ac:dyDescent="0.2">
      <c r="B15" s="71" t="s">
        <v>9</v>
      </c>
    </row>
    <row r="16" spans="2:3" x14ac:dyDescent="0.2">
      <c r="B16" s="70" t="s">
        <v>10</v>
      </c>
      <c r="C16" s="59" t="str">
        <f>TableA1!B2</f>
        <v>Profit shifting: US vs. non-US multinationals</v>
      </c>
    </row>
    <row r="17" spans="2:3" x14ac:dyDescent="0.2">
      <c r="B17" s="70" t="s">
        <v>11</v>
      </c>
      <c r="C17" s="59" t="str">
        <f>TableA2!C3</f>
        <v>Shifted profits (billions of current US$)</v>
      </c>
    </row>
    <row r="18" spans="2:3" x14ac:dyDescent="0.2">
      <c r="B18" s="70" t="s">
        <v>12</v>
      </c>
      <c r="C18" s="470" t="str">
        <f>TableA3!B2</f>
        <v>Corporate tax revenue loss (% of corporate tax revenue collected)</v>
      </c>
    </row>
    <row r="20" spans="2:3" x14ac:dyDescent="0.2">
      <c r="B20" s="71" t="s">
        <v>13</v>
      </c>
    </row>
    <row r="21" spans="2:3" x14ac:dyDescent="0.2">
      <c r="B21" s="59" t="s">
        <v>14</v>
      </c>
      <c r="C21" s="59" t="s">
        <v>15</v>
      </c>
    </row>
    <row r="22" spans="2:3" x14ac:dyDescent="0.2">
      <c r="B22" s="59" t="s">
        <v>16</v>
      </c>
      <c r="C22" s="59" t="s">
        <v>17</v>
      </c>
    </row>
    <row r="23" spans="2:3" x14ac:dyDescent="0.2">
      <c r="B23" s="59" t="s">
        <v>18</v>
      </c>
      <c r="C23" s="59" t="s">
        <v>1075</v>
      </c>
    </row>
    <row r="25" spans="2:3" x14ac:dyDescent="0.2">
      <c r="B25" s="71" t="s">
        <v>19</v>
      </c>
    </row>
    <row r="26" spans="2:3" x14ac:dyDescent="0.2">
      <c r="B26" s="70" t="s">
        <v>20</v>
      </c>
      <c r="C26" s="59" t="s">
        <v>21</v>
      </c>
    </row>
    <row r="27" spans="2:3" x14ac:dyDescent="0.2">
      <c r="B27" s="70" t="s">
        <v>22</v>
      </c>
      <c r="C27" s="59" t="s">
        <v>23</v>
      </c>
    </row>
    <row r="28" spans="2:3" x14ac:dyDescent="0.2">
      <c r="B28" s="70" t="s">
        <v>24</v>
      </c>
      <c r="C28" s="59" t="s">
        <v>25</v>
      </c>
    </row>
    <row r="29" spans="2:3" x14ac:dyDescent="0.2">
      <c r="B29" s="70" t="s">
        <v>26</v>
      </c>
      <c r="C29" s="59" t="s">
        <v>27</v>
      </c>
    </row>
    <row r="30" spans="2:3" x14ac:dyDescent="0.2">
      <c r="B30" s="70" t="s">
        <v>28</v>
      </c>
      <c r="C30" s="59" t="s">
        <v>29</v>
      </c>
    </row>
    <row r="31" spans="2:3" x14ac:dyDescent="0.2">
      <c r="B31" s="70" t="s">
        <v>30</v>
      </c>
      <c r="C31" s="59" t="s">
        <v>31</v>
      </c>
    </row>
    <row r="32" spans="2:3" x14ac:dyDescent="0.2">
      <c r="B32" s="70" t="s">
        <v>32</v>
      </c>
      <c r="C32" s="59" t="s">
        <v>33</v>
      </c>
    </row>
    <row r="33" spans="2:3" x14ac:dyDescent="0.2">
      <c r="B33" s="70" t="s">
        <v>34</v>
      </c>
      <c r="C33" s="59" t="s">
        <v>33</v>
      </c>
    </row>
    <row r="34" spans="2:3" x14ac:dyDescent="0.2">
      <c r="B34" s="70" t="s">
        <v>35</v>
      </c>
      <c r="C34" s="59" t="s">
        <v>36</v>
      </c>
    </row>
    <row r="35" spans="2:3" x14ac:dyDescent="0.2">
      <c r="B35" s="70" t="s">
        <v>37</v>
      </c>
      <c r="C35" s="59" t="s">
        <v>38</v>
      </c>
    </row>
  </sheetData>
  <hyperlinks>
    <hyperlink ref="B6" location="Table1!A1" display="Table 1" xr:uid="{357C3817-3F9E-E74E-B3F7-C9D35C7022A1}"/>
    <hyperlink ref="B16" location="TableA1!A1" display="Table 2" xr:uid="{22D6F58B-5AC7-CD4F-A515-B8C2860C5014}"/>
    <hyperlink ref="B26" location="'Table U1'!A1" display="Table U1" xr:uid="{97676474-EA66-2043-981B-5843DA79010A}"/>
    <hyperlink ref="B27" location="TableB10!A1" display="Table B10" xr:uid="{EBA0A654-FFB1-2E4D-B535-091E973AA30D}"/>
    <hyperlink ref="B28" location="TableB11!A1" display="Table B11" xr:uid="{6E684396-D359-4142-8D96-B41B418DB981}"/>
    <hyperlink ref="B29" location="TableC1!A1" display="Table C1" xr:uid="{EF9F4FBE-5DCF-2141-9CA5-6E93DE045EFE}"/>
    <hyperlink ref="B30" location="TableC2!A1" display="Table C2" xr:uid="{862DB642-25BB-AD43-8218-B33BBD683851}"/>
    <hyperlink ref="B31" location="TableC3!A1" display="Table C3" xr:uid="{18B17E85-C509-0F4B-9CCE-553DD0CD0A5F}"/>
    <hyperlink ref="B32" location="TableC4!A1" display="Table C4" xr:uid="{89F63199-1F4D-5C45-9D9E-D077C47254EA}"/>
    <hyperlink ref="B33" location="TableC4b!A1" display="Table C4b" xr:uid="{FC12E031-6672-9849-B358-868F193D19A4}"/>
    <hyperlink ref="B34" location="TableC4c!A1" display="Table C4c" xr:uid="{EAD591AF-4443-574F-B10A-781B61831111}"/>
    <hyperlink ref="B35" location="TableC4d!A1" display="Table C4d" xr:uid="{BFB3D2D9-AA35-A844-8D8B-BCD8073918D5}"/>
    <hyperlink ref="B17" location="TableA2!A1" display="Appendix Table A2" xr:uid="{3149C97A-F8D7-434D-ADEA-1C2CFB370395}"/>
    <hyperlink ref="B18" location="TableA3!A1" display="Appendix Table A2" xr:uid="{F34210E2-3FF7-FF45-B996-8C97859E5620}"/>
  </hyperlinks>
  <pageMargins left="0.7" right="0.7" top="0.75" bottom="0.75" header="0.3" footer="0.3"/>
  <pageSetup orientation="portrait" horizontalDpi="0" verticalDpi="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Q53"/>
  <sheetViews>
    <sheetView zoomScale="34" zoomScaleNormal="50" zoomScalePageLayoutView="50" workbookViewId="0">
      <pane xSplit="1" ySplit="4" topLeftCell="B5" activePane="bottomRight" state="frozen"/>
      <selection pane="topRight" activeCell="B5" sqref="B5"/>
      <selection pane="bottomLeft" activeCell="B5" sqref="B5"/>
      <selection pane="bottomRight" activeCell="M34" sqref="M34"/>
    </sheetView>
  </sheetViews>
  <sheetFormatPr baseColWidth="10" defaultColWidth="11.83203125" defaultRowHeight="16" x14ac:dyDescent="0.2"/>
  <cols>
    <col min="1" max="1" width="11.83203125" style="60"/>
    <col min="2" max="2" width="35.1640625" customWidth="1"/>
    <col min="3" max="11" width="17.5" customWidth="1"/>
    <col min="12" max="12" width="30" style="60" customWidth="1"/>
    <col min="13" max="16384" width="11.83203125" style="60"/>
  </cols>
  <sheetData>
    <row r="1" spans="1:14" ht="17" thickBot="1" x14ac:dyDescent="0.25">
      <c r="A1" s="482"/>
      <c r="B1" s="481"/>
      <c r="C1" s="481"/>
      <c r="D1" s="481"/>
      <c r="E1" s="481"/>
      <c r="F1" s="481"/>
      <c r="G1" s="481"/>
      <c r="H1" s="481"/>
      <c r="I1" s="481"/>
      <c r="J1" s="481"/>
      <c r="K1" s="481"/>
      <c r="L1" s="482"/>
    </row>
    <row r="2" spans="1:14" ht="34.5" customHeight="1" x14ac:dyDescent="0.4">
      <c r="A2" s="483"/>
      <c r="B2" s="549" t="s">
        <v>227</v>
      </c>
      <c r="C2" s="549"/>
      <c r="D2" s="549"/>
      <c r="E2" s="549"/>
      <c r="F2" s="549"/>
      <c r="G2" s="549"/>
      <c r="H2" s="549"/>
      <c r="I2" s="549"/>
      <c r="J2" s="549"/>
      <c r="K2" s="549"/>
      <c r="L2" s="549"/>
    </row>
    <row r="3" spans="1:14" ht="60" customHeight="1" x14ac:dyDescent="0.2">
      <c r="C3" s="411">
        <v>2015</v>
      </c>
      <c r="D3" s="411">
        <v>2016</v>
      </c>
      <c r="E3" s="411">
        <f>D3+1</f>
        <v>2017</v>
      </c>
      <c r="F3" s="411">
        <f t="shared" ref="F3:K3" si="0">E3+1</f>
        <v>2018</v>
      </c>
      <c r="G3" s="411">
        <f t="shared" si="0"/>
        <v>2019</v>
      </c>
      <c r="H3" s="411">
        <f t="shared" si="0"/>
        <v>2020</v>
      </c>
      <c r="I3" s="411">
        <f t="shared" si="0"/>
        <v>2021</v>
      </c>
      <c r="J3" s="411">
        <f t="shared" si="0"/>
        <v>2022</v>
      </c>
      <c r="K3" s="411">
        <f t="shared" si="0"/>
        <v>2023</v>
      </c>
      <c r="L3" s="416" t="s">
        <v>77</v>
      </c>
    </row>
    <row r="4" spans="1:14" s="61" customFormat="1" ht="80.25" customHeight="1" x14ac:dyDescent="0.4">
      <c r="B4" s="362" t="s">
        <v>186</v>
      </c>
      <c r="C4" s="362"/>
      <c r="L4" s="63"/>
    </row>
    <row r="5" spans="1:14" ht="40" customHeight="1" x14ac:dyDescent="0.4">
      <c r="B5" s="62" t="s">
        <v>68</v>
      </c>
      <c r="C5" s="180">
        <v>7.3234785047652198E-2</v>
      </c>
      <c r="D5" s="63">
        <v>7.5893379747867584E-2</v>
      </c>
      <c r="E5" s="63">
        <v>7.925889641046524E-2</v>
      </c>
      <c r="F5" s="63">
        <v>8.2788757979869843E-2</v>
      </c>
      <c r="G5" s="63">
        <v>0.28525075316429138</v>
      </c>
      <c r="H5" s="63">
        <v>7.3925025761127472E-2</v>
      </c>
      <c r="I5" s="63">
        <v>6.1887670308351517E-2</v>
      </c>
      <c r="J5" s="63">
        <v>5.4356474429368973E-2</v>
      </c>
      <c r="K5" s="63">
        <v>6.5176770091056824E-2</v>
      </c>
      <c r="L5" s="417">
        <f>K5-C5</f>
        <v>-8.0580149565953746E-3</v>
      </c>
    </row>
    <row r="6" spans="1:14" ht="34" x14ac:dyDescent="0.4">
      <c r="B6" s="62" t="s">
        <v>187</v>
      </c>
      <c r="C6" s="180">
        <v>0.10563824176055445</v>
      </c>
      <c r="D6" s="63">
        <v>6.8650379776954651E-2</v>
      </c>
      <c r="E6" s="63">
        <v>7.5282551348209381E-2</v>
      </c>
      <c r="F6" s="63">
        <v>7.966921478509903E-2</v>
      </c>
      <c r="G6" s="63">
        <v>8.0502986907958984E-2</v>
      </c>
      <c r="H6" s="63">
        <v>0.1197090744972229</v>
      </c>
      <c r="I6" s="63">
        <v>0.12212511897087097</v>
      </c>
      <c r="J6" s="63">
        <v>0.10421455651521683</v>
      </c>
      <c r="K6" s="63">
        <v>0.11151330173015594</v>
      </c>
      <c r="L6" s="417">
        <f t="shared" ref="L6:L34" si="1">K6-C6</f>
        <v>5.8750599696014982E-3</v>
      </c>
      <c r="M6" s="65"/>
      <c r="N6" s="65"/>
    </row>
    <row r="7" spans="1:14" ht="34" x14ac:dyDescent="0.4">
      <c r="B7" s="62" t="s">
        <v>82</v>
      </c>
      <c r="C7" s="180">
        <v>0.10131006286761744</v>
      </c>
      <c r="D7" s="63">
        <v>7.0026762783527374E-2</v>
      </c>
      <c r="E7" s="63">
        <v>7.906053215265274E-2</v>
      </c>
      <c r="F7" s="63">
        <v>7.2066590189933777E-2</v>
      </c>
      <c r="G7" s="63">
        <v>8.5226424038410187E-2</v>
      </c>
      <c r="H7" s="63">
        <v>6.2352444976568222E-2</v>
      </c>
      <c r="I7" s="63">
        <v>6.3265040516853333E-2</v>
      </c>
      <c r="J7" s="63">
        <v>5.4134953767061234E-2</v>
      </c>
      <c r="K7" s="63">
        <v>5.887187272310257E-2</v>
      </c>
      <c r="L7" s="417">
        <f t="shared" si="1"/>
        <v>-4.2438190144514873E-2</v>
      </c>
    </row>
    <row r="8" spans="1:14" ht="34" x14ac:dyDescent="0.4">
      <c r="B8" s="62" t="s">
        <v>188</v>
      </c>
      <c r="C8" s="180">
        <v>0.11894894394587266</v>
      </c>
      <c r="D8" s="63">
        <v>0.17414329946041107</v>
      </c>
      <c r="E8" s="63">
        <v>0.21788026392459869</v>
      </c>
      <c r="F8" s="63">
        <v>0.12175706028938293</v>
      </c>
      <c r="G8" s="63">
        <v>0.12204720079898834</v>
      </c>
      <c r="H8" s="63">
        <v>0.10098043084144592</v>
      </c>
      <c r="I8" s="63">
        <v>0.1022341176867485</v>
      </c>
      <c r="J8" s="63">
        <v>7.4957385659217834E-2</v>
      </c>
      <c r="K8" s="63">
        <v>7.9421758651733398E-2</v>
      </c>
      <c r="L8" s="417">
        <f t="shared" si="1"/>
        <v>-3.9527185294139261E-2</v>
      </c>
    </row>
    <row r="9" spans="1:14" ht="34" x14ac:dyDescent="0.4">
      <c r="B9" s="62" t="s">
        <v>189</v>
      </c>
      <c r="C9" s="180">
        <v>4.9844079449585167E-2</v>
      </c>
      <c r="D9" s="63">
        <v>3.3878885209560394E-2</v>
      </c>
      <c r="E9" s="63">
        <v>3.8663923740386963E-2</v>
      </c>
      <c r="F9" s="63">
        <v>4.7088082879781723E-2</v>
      </c>
      <c r="G9" s="63">
        <v>5.2747368812561035E-2</v>
      </c>
      <c r="H9" s="63">
        <v>5.5286996066570282E-2</v>
      </c>
      <c r="I9" s="63">
        <v>6.6943936049938202E-2</v>
      </c>
      <c r="J9" s="63">
        <v>5.526348203420639E-2</v>
      </c>
      <c r="K9" s="63">
        <v>5.9875838458538055E-2</v>
      </c>
      <c r="L9" s="417">
        <f t="shared" si="1"/>
        <v>1.0031759008952888E-2</v>
      </c>
    </row>
    <row r="10" spans="1:14" ht="34" x14ac:dyDescent="0.4">
      <c r="B10" s="62" t="s">
        <v>190</v>
      </c>
      <c r="C10" s="180">
        <v>8.4310816146709378E-2</v>
      </c>
      <c r="D10" s="63">
        <v>8.117462694644928E-2</v>
      </c>
      <c r="E10" s="63">
        <v>8.3310477435588837E-2</v>
      </c>
      <c r="F10" s="63">
        <v>0.12591820955276489</v>
      </c>
      <c r="G10" s="63">
        <v>9.5556698739528656E-2</v>
      </c>
      <c r="H10" s="63">
        <v>0.10897603631019592</v>
      </c>
      <c r="I10" s="63">
        <v>0.10447137802839279</v>
      </c>
      <c r="J10" s="63">
        <v>0.21051760017871857</v>
      </c>
      <c r="K10" s="63">
        <v>0.22688567638397217</v>
      </c>
      <c r="L10" s="417">
        <f t="shared" si="1"/>
        <v>0.14257486023726279</v>
      </c>
    </row>
    <row r="11" spans="1:14" ht="34" x14ac:dyDescent="0.4">
      <c r="B11" s="62" t="s">
        <v>191</v>
      </c>
      <c r="C11" s="180">
        <v>0.10357464690128163</v>
      </c>
      <c r="D11" s="63">
        <v>0.59102529287338257</v>
      </c>
      <c r="E11" s="63">
        <v>0.11393646150827408</v>
      </c>
      <c r="F11" s="63">
        <v>0.10981347411870956</v>
      </c>
      <c r="G11" s="63">
        <v>0.10886574536561966</v>
      </c>
      <c r="H11" s="63">
        <v>0.15267756581306458</v>
      </c>
      <c r="I11" s="63">
        <v>0.2469756156206131</v>
      </c>
      <c r="J11" s="63">
        <v>0.24839116632938385</v>
      </c>
      <c r="K11" s="63">
        <v>0.28798025846481323</v>
      </c>
      <c r="L11" s="417">
        <f t="shared" si="1"/>
        <v>0.18440561156353161</v>
      </c>
    </row>
    <row r="12" spans="1:14" ht="34" x14ac:dyDescent="0.4">
      <c r="B12" s="62" t="s">
        <v>192</v>
      </c>
      <c r="C12" s="180">
        <v>0.10767039354958928</v>
      </c>
      <c r="D12" s="63">
        <v>9.2681974172592163E-2</v>
      </c>
      <c r="E12" s="63">
        <v>8.6573764681816101E-2</v>
      </c>
      <c r="F12" s="63">
        <v>0.11277685314416885</v>
      </c>
      <c r="G12" s="63">
        <v>0.10453919321298599</v>
      </c>
      <c r="H12" s="63">
        <v>0.14043232798576355</v>
      </c>
      <c r="I12" s="63">
        <v>0.14662691950798035</v>
      </c>
      <c r="J12" s="63">
        <v>0.14088337123394012</v>
      </c>
      <c r="K12" s="63">
        <v>0.15281952917575836</v>
      </c>
      <c r="L12" s="417">
        <f t="shared" si="1"/>
        <v>4.5149135626169082E-2</v>
      </c>
    </row>
    <row r="13" spans="1:14" ht="34" x14ac:dyDescent="0.4">
      <c r="B13" s="62" t="s">
        <v>71</v>
      </c>
      <c r="C13" s="180">
        <v>0.20997996704769475</v>
      </c>
      <c r="D13" s="63">
        <v>0.16964839398860931</v>
      </c>
      <c r="E13" s="63">
        <v>0.16100874543190002</v>
      </c>
      <c r="F13" s="63">
        <v>0.20492164790630341</v>
      </c>
      <c r="G13" s="63">
        <v>0.14944957196712494</v>
      </c>
      <c r="H13" s="63">
        <v>0.11684364080429077</v>
      </c>
      <c r="I13" s="63">
        <v>0.12400642782449722</v>
      </c>
      <c r="J13" s="63">
        <v>0.16970516741275787</v>
      </c>
      <c r="K13" s="63">
        <v>0.24758236110210419</v>
      </c>
      <c r="L13" s="417">
        <f t="shared" si="1"/>
        <v>3.7602394054409433E-2</v>
      </c>
    </row>
    <row r="14" spans="1:14" ht="34" x14ac:dyDescent="0.4">
      <c r="B14" s="62" t="s">
        <v>75</v>
      </c>
      <c r="C14" s="180">
        <v>0.27916595513803488</v>
      </c>
      <c r="D14" s="63">
        <v>0.19776676595211029</v>
      </c>
      <c r="E14" s="63">
        <v>0.20546270906925201</v>
      </c>
      <c r="F14" s="63">
        <v>0.2300875186920166</v>
      </c>
      <c r="G14" s="63">
        <v>0.2142937183380127</v>
      </c>
      <c r="H14" s="63">
        <v>0.30100667476654053</v>
      </c>
      <c r="I14" s="63">
        <v>0.2899014949798584</v>
      </c>
      <c r="J14" s="63">
        <v>0.29917597770690918</v>
      </c>
      <c r="K14" s="63">
        <v>0.33520799875259399</v>
      </c>
      <c r="L14" s="417">
        <f t="shared" si="1"/>
        <v>5.6042043614559112E-2</v>
      </c>
    </row>
    <row r="15" spans="1:14" ht="34" x14ac:dyDescent="0.4">
      <c r="B15" s="62" t="s">
        <v>193</v>
      </c>
      <c r="C15" s="180">
        <v>7.2011378873881565E-2</v>
      </c>
      <c r="D15" s="63">
        <v>7.4396848678588867E-2</v>
      </c>
      <c r="E15" s="63">
        <v>0.1051248237490654</v>
      </c>
      <c r="F15" s="63">
        <v>0.11475540697574615</v>
      </c>
      <c r="G15" s="63">
        <v>0.10783436894416809</v>
      </c>
      <c r="H15" s="63">
        <v>0.23664979636669159</v>
      </c>
      <c r="I15" s="63">
        <v>0.23094354569911957</v>
      </c>
      <c r="J15" s="63">
        <v>0.47477877140045166</v>
      </c>
      <c r="K15" s="63">
        <v>0.36296415328979492</v>
      </c>
      <c r="L15" s="417">
        <f t="shared" si="1"/>
        <v>0.29095277441591338</v>
      </c>
    </row>
    <row r="16" spans="1:14" ht="34" x14ac:dyDescent="0.4">
      <c r="B16" s="62" t="s">
        <v>194</v>
      </c>
      <c r="C16" s="180">
        <v>0.20717165133116644</v>
      </c>
      <c r="D16" s="63">
        <v>0.15427806973457336</v>
      </c>
      <c r="E16" s="63">
        <v>9.3267247080802917E-2</v>
      </c>
      <c r="F16" s="63">
        <v>0.17467577755451202</v>
      </c>
      <c r="G16" s="63">
        <v>0.16869276762008667</v>
      </c>
      <c r="H16" s="63">
        <v>0.18383459746837616</v>
      </c>
      <c r="I16" s="63">
        <v>0.76026856899261475</v>
      </c>
      <c r="J16" s="63">
        <v>0.13405181467533112</v>
      </c>
      <c r="K16" s="63">
        <v>0.13224796950817108</v>
      </c>
      <c r="L16" s="417">
        <f t="shared" si="1"/>
        <v>-7.4923681822995358E-2</v>
      </c>
    </row>
    <row r="17" spans="2:17" ht="34" x14ac:dyDescent="0.4">
      <c r="B17" s="62" t="s">
        <v>195</v>
      </c>
      <c r="C17" s="180">
        <v>0.21980592416387462</v>
      </c>
      <c r="D17" s="63">
        <v>0.33168908953666687</v>
      </c>
      <c r="E17" s="63">
        <v>0.16308140754699707</v>
      </c>
      <c r="F17" s="63">
        <v>0.28167358040809631</v>
      </c>
      <c r="G17" s="63">
        <v>0.28754013776779175</v>
      </c>
      <c r="H17" s="63">
        <v>0.13759492337703705</v>
      </c>
      <c r="I17" s="63">
        <v>0.23612913489341736</v>
      </c>
      <c r="J17" s="63">
        <v>9.791199117898941E-2</v>
      </c>
      <c r="K17" s="63">
        <v>0.10098977386951447</v>
      </c>
      <c r="L17" s="417">
        <f t="shared" si="1"/>
        <v>-0.11881615029436016</v>
      </c>
    </row>
    <row r="18" spans="2:17" ht="34" x14ac:dyDescent="0.4">
      <c r="B18" s="62" t="s">
        <v>196</v>
      </c>
      <c r="C18" s="180">
        <v>1.9073748557127242E-2</v>
      </c>
      <c r="D18" s="63">
        <v>7.0396333932876587E-2</v>
      </c>
      <c r="E18" s="63">
        <v>6.7287735641002655E-2</v>
      </c>
      <c r="F18" s="63">
        <v>8.5609838366508484E-2</v>
      </c>
      <c r="G18" s="63">
        <v>9.6093781292438507E-2</v>
      </c>
      <c r="H18" s="63">
        <v>7.4906729161739349E-2</v>
      </c>
      <c r="I18" s="63">
        <v>6.6319026052951813E-2</v>
      </c>
      <c r="J18" s="63">
        <v>5.1879499107599258E-2</v>
      </c>
      <c r="K18" s="63">
        <v>6.6743917763233185E-2</v>
      </c>
      <c r="L18" s="417">
        <f t="shared" si="1"/>
        <v>4.7670169206105943E-2</v>
      </c>
    </row>
    <row r="19" spans="2:17" ht="34" x14ac:dyDescent="0.4">
      <c r="B19" s="62" t="s">
        <v>74</v>
      </c>
      <c r="C19" s="180">
        <v>0.19118227241411057</v>
      </c>
      <c r="D19" s="63">
        <v>0.10910267382860184</v>
      </c>
      <c r="E19" s="63">
        <v>9.6577942371368408E-2</v>
      </c>
      <c r="F19" s="63">
        <v>0.13077092170715332</v>
      </c>
      <c r="G19" s="63">
        <v>0.10697689652442932</v>
      </c>
      <c r="H19" s="63">
        <v>0.12233802676200867</v>
      </c>
      <c r="I19" s="63">
        <v>0.20137739181518555</v>
      </c>
      <c r="J19" s="63">
        <v>0.1148563027381897</v>
      </c>
      <c r="K19" s="63">
        <v>0.15602707862854004</v>
      </c>
      <c r="L19" s="417">
        <f t="shared" si="1"/>
        <v>-3.5155193785570527E-2</v>
      </c>
    </row>
    <row r="20" spans="2:17" ht="34" x14ac:dyDescent="0.4">
      <c r="B20" s="62" t="s">
        <v>73</v>
      </c>
      <c r="C20" s="180">
        <v>1.7437633144078594E-2</v>
      </c>
      <c r="D20" s="63">
        <v>1.5449835918843746E-2</v>
      </c>
      <c r="E20" s="63">
        <v>1.7561823129653931E-2</v>
      </c>
      <c r="F20" s="63">
        <v>1.7855320125818253E-2</v>
      </c>
      <c r="G20" s="63">
        <v>1.9944453611969948E-2</v>
      </c>
      <c r="H20" s="63">
        <v>1.8761293962597847E-2</v>
      </c>
      <c r="I20" s="63">
        <v>2.0358085632324219E-2</v>
      </c>
      <c r="J20" s="63">
        <v>1.9024292007088661E-2</v>
      </c>
      <c r="K20" s="63">
        <v>2.3224834352731705E-2</v>
      </c>
      <c r="L20" s="417">
        <f t="shared" si="1"/>
        <v>5.7872012086531109E-3</v>
      </c>
    </row>
    <row r="21" spans="2:17" ht="34" x14ac:dyDescent="0.4">
      <c r="B21" s="62" t="s">
        <v>197</v>
      </c>
      <c r="C21" s="180">
        <v>2.5672298890945015E-2</v>
      </c>
      <c r="D21" s="63">
        <v>3.786933422088623E-2</v>
      </c>
      <c r="E21" s="63">
        <v>2.1559827029705048E-2</v>
      </c>
      <c r="F21" s="63">
        <v>2.3106001317501068E-2</v>
      </c>
      <c r="G21" s="63">
        <v>2.2275364026427269E-2</v>
      </c>
      <c r="H21" s="63">
        <v>2.595667727291584E-2</v>
      </c>
      <c r="I21" s="63">
        <v>2.6164956390857697E-2</v>
      </c>
      <c r="J21" s="63">
        <v>2.1421149373054504E-2</v>
      </c>
      <c r="K21" s="63">
        <v>3.3351555466651917E-2</v>
      </c>
      <c r="L21" s="417">
        <f t="shared" si="1"/>
        <v>7.6792565757069012E-3</v>
      </c>
    </row>
    <row r="22" spans="2:17" ht="34" x14ac:dyDescent="0.4">
      <c r="B22" s="62" t="s">
        <v>198</v>
      </c>
      <c r="C22" s="180">
        <v>6.9945021635384561E-2</v>
      </c>
      <c r="D22" s="63">
        <v>5.4024741053581238E-2</v>
      </c>
      <c r="E22" s="63">
        <v>7.0608906447887421E-2</v>
      </c>
      <c r="F22" s="63">
        <v>0.19915106892585754</v>
      </c>
      <c r="G22" s="63">
        <v>0.1392703503370285</v>
      </c>
      <c r="H22" s="63">
        <v>0.2953886091709137</v>
      </c>
      <c r="I22" s="63">
        <v>0.35500895977020264</v>
      </c>
      <c r="J22" s="63">
        <v>0.31417149305343628</v>
      </c>
      <c r="K22" s="63">
        <v>0.28517523407936096</v>
      </c>
      <c r="L22" s="417">
        <f t="shared" si="1"/>
        <v>0.21523021244397639</v>
      </c>
    </row>
    <row r="23" spans="2:17" ht="34" x14ac:dyDescent="0.4">
      <c r="B23" s="62" t="s">
        <v>81</v>
      </c>
      <c r="C23" s="180">
        <v>0.10509727731973387</v>
      </c>
      <c r="D23" s="63">
        <v>7.0470750331878662E-2</v>
      </c>
      <c r="E23" s="63">
        <v>8.2597024738788605E-2</v>
      </c>
      <c r="F23" s="63">
        <v>0.10017956048250198</v>
      </c>
      <c r="G23" s="63">
        <v>0.11196979880332947</v>
      </c>
      <c r="H23" s="63">
        <v>8.2430832087993622E-2</v>
      </c>
      <c r="I23" s="63">
        <v>8.9914597570896149E-2</v>
      </c>
      <c r="J23" s="63">
        <v>7.8329198062419891E-2</v>
      </c>
      <c r="K23" s="63">
        <v>7.6753728091716766E-2</v>
      </c>
      <c r="L23" s="417">
        <f t="shared" si="1"/>
        <v>-2.8343549228017101E-2</v>
      </c>
    </row>
    <row r="24" spans="2:17" ht="34" x14ac:dyDescent="0.4">
      <c r="B24" s="62" t="s">
        <v>199</v>
      </c>
      <c r="C24" s="180">
        <v>5.3623417899033209E-2</v>
      </c>
      <c r="D24" s="63">
        <v>8.4582798182964325E-2</v>
      </c>
      <c r="E24" s="63">
        <v>5.1980290561914444E-2</v>
      </c>
      <c r="F24" s="63">
        <v>5.2245065569877625E-2</v>
      </c>
      <c r="G24" s="63">
        <v>7.3943167924880981E-2</v>
      </c>
      <c r="H24" s="63">
        <v>4.8896770924329758E-2</v>
      </c>
      <c r="I24" s="63">
        <v>4.7900859266519547E-2</v>
      </c>
      <c r="J24" s="63">
        <v>6.6636092960834503E-2</v>
      </c>
      <c r="K24" s="63">
        <v>6.8697422742843628E-2</v>
      </c>
      <c r="L24" s="417">
        <f t="shared" si="1"/>
        <v>1.5074004843810419E-2</v>
      </c>
    </row>
    <row r="25" spans="2:17" ht="34" x14ac:dyDescent="0.4">
      <c r="B25" s="62" t="s">
        <v>200</v>
      </c>
      <c r="C25" s="180">
        <v>8.2933723016851785E-2</v>
      </c>
      <c r="D25" s="63">
        <v>8.4812797605991364E-2</v>
      </c>
      <c r="E25" s="63">
        <v>7.0440828800201416E-2</v>
      </c>
      <c r="F25" s="63">
        <v>5.2306666970252991E-2</v>
      </c>
      <c r="G25" s="63">
        <v>5.6583382189273834E-2</v>
      </c>
      <c r="H25" s="63">
        <v>0.11866164207458496</v>
      </c>
      <c r="I25" s="63">
        <v>3.191264346241951E-2</v>
      </c>
      <c r="J25" s="63">
        <v>1.309156883507967E-2</v>
      </c>
      <c r="K25" s="63">
        <v>3.0232053250074387E-2</v>
      </c>
      <c r="L25" s="417">
        <f t="shared" si="1"/>
        <v>-5.2701669766777398E-2</v>
      </c>
      <c r="Q25" s="541"/>
    </row>
    <row r="26" spans="2:17" ht="34" x14ac:dyDescent="0.4">
      <c r="B26" s="62" t="s">
        <v>201</v>
      </c>
      <c r="C26" s="180">
        <v>7.996006497283209E-2</v>
      </c>
      <c r="D26" s="63">
        <v>6.7665033042430878E-2</v>
      </c>
      <c r="E26" s="63">
        <v>7.1508936583995819E-2</v>
      </c>
      <c r="F26" s="63">
        <v>8.3375230431556702E-2</v>
      </c>
      <c r="G26" s="63">
        <v>6.1590749770402908E-2</v>
      </c>
      <c r="H26" s="63">
        <v>7.5641989707946777E-2</v>
      </c>
      <c r="I26" s="63">
        <v>7.781335711479187E-2</v>
      </c>
      <c r="J26" s="63">
        <v>7.1040764451026917E-2</v>
      </c>
      <c r="K26" s="63">
        <v>8.7897367775440216E-2</v>
      </c>
      <c r="L26" s="417">
        <f t="shared" si="1"/>
        <v>7.937302802608126E-3</v>
      </c>
    </row>
    <row r="27" spans="2:17" ht="34" x14ac:dyDescent="0.4">
      <c r="B27" s="62" t="s">
        <v>202</v>
      </c>
      <c r="C27" s="180">
        <v>8.8987018527531159E-2</v>
      </c>
      <c r="D27" s="63">
        <v>6.8357497453689575E-2</v>
      </c>
      <c r="E27" s="63">
        <v>6.9992825388908386E-2</v>
      </c>
      <c r="F27" s="63">
        <v>7.566678524017334E-2</v>
      </c>
      <c r="G27" s="63">
        <v>7.6110213994979858E-2</v>
      </c>
      <c r="H27" s="63">
        <v>0.10088663548231125</v>
      </c>
      <c r="I27" s="63">
        <v>0.19941002130508423</v>
      </c>
      <c r="J27" s="63">
        <v>0.13961385190486908</v>
      </c>
      <c r="K27" s="63">
        <v>0.15270596742630005</v>
      </c>
      <c r="L27" s="417">
        <f t="shared" si="1"/>
        <v>6.371894889876889E-2</v>
      </c>
    </row>
    <row r="28" spans="2:17" ht="34" x14ac:dyDescent="0.4">
      <c r="B28" s="62" t="s">
        <v>203</v>
      </c>
      <c r="C28" s="180">
        <v>4.8028448162720727E-2</v>
      </c>
      <c r="D28" s="63">
        <v>4.1198514401912689E-2</v>
      </c>
      <c r="E28" s="63">
        <v>4.1558928787708282E-2</v>
      </c>
      <c r="F28" s="63">
        <v>5.1532387733459473E-2</v>
      </c>
      <c r="G28" s="63">
        <v>4.6378489583730698E-2</v>
      </c>
      <c r="H28" s="63">
        <v>4.2443685233592987E-2</v>
      </c>
      <c r="I28" s="63">
        <v>5.6536071002483368E-2</v>
      </c>
      <c r="J28" s="63">
        <v>5.2732236683368683E-2</v>
      </c>
      <c r="K28" s="63">
        <v>5.9685550630092621E-2</v>
      </c>
      <c r="L28" s="417">
        <f t="shared" si="1"/>
        <v>1.1657102467371894E-2</v>
      </c>
    </row>
    <row r="29" spans="2:17" ht="34" x14ac:dyDescent="0.4">
      <c r="B29" s="62" t="s">
        <v>204</v>
      </c>
      <c r="C29" s="180">
        <v>6.0803338265822897E-2</v>
      </c>
      <c r="D29" s="63">
        <v>0.10103318840265274</v>
      </c>
      <c r="E29" s="63">
        <v>0.242650106549263</v>
      </c>
      <c r="F29" s="63">
        <v>5.7541973888874054E-2</v>
      </c>
      <c r="G29" s="63">
        <v>4.7390040010213852E-2</v>
      </c>
      <c r="H29" s="63">
        <v>7.6488219201564789E-2</v>
      </c>
      <c r="I29" s="63">
        <v>7.9463444650173187E-2</v>
      </c>
      <c r="J29" s="63">
        <v>9.7581461071968079E-2</v>
      </c>
      <c r="K29" s="63">
        <v>9.884391725063324E-2</v>
      </c>
      <c r="L29" s="417">
        <f t="shared" si="1"/>
        <v>3.8040578984810343E-2</v>
      </c>
    </row>
    <row r="30" spans="2:17" ht="34" x14ac:dyDescent="0.4">
      <c r="B30" s="62" t="s">
        <v>72</v>
      </c>
      <c r="C30" s="180">
        <v>0.14169566205750209</v>
      </c>
      <c r="D30" s="63">
        <v>8.8051103055477142E-2</v>
      </c>
      <c r="E30" s="63">
        <v>0.10264790058135986</v>
      </c>
      <c r="F30" s="63">
        <v>0.11049634218215942</v>
      </c>
      <c r="G30" s="63">
        <v>0.10509660094976425</v>
      </c>
      <c r="H30" s="63">
        <v>0.13761083781719208</v>
      </c>
      <c r="I30" s="63">
        <v>0.13632257282733917</v>
      </c>
      <c r="J30" s="63">
        <v>0.12425217777490616</v>
      </c>
      <c r="K30" s="63">
        <v>0.12364050000905991</v>
      </c>
      <c r="L30" s="417">
        <f t="shared" si="1"/>
        <v>-1.805516204844218E-2</v>
      </c>
    </row>
    <row r="31" spans="2:17" ht="34" x14ac:dyDescent="0.4">
      <c r="B31" s="62" t="s">
        <v>205</v>
      </c>
      <c r="C31" s="180">
        <v>0.12759064303400486</v>
      </c>
      <c r="D31" s="63">
        <v>0.11059598624706268</v>
      </c>
      <c r="E31" s="63">
        <v>0.12509003281593323</v>
      </c>
      <c r="F31" s="63">
        <v>0.1452774852514267</v>
      </c>
      <c r="G31" s="63">
        <v>0.11516477912664413</v>
      </c>
      <c r="H31" s="63">
        <v>0.13663533329963684</v>
      </c>
      <c r="I31" s="63">
        <v>0.15625821053981781</v>
      </c>
      <c r="J31" s="63">
        <v>0.14444799721240997</v>
      </c>
      <c r="K31" s="63">
        <v>0.16397447884082794</v>
      </c>
      <c r="L31" s="417">
        <f t="shared" si="1"/>
        <v>3.6383835806823084E-2</v>
      </c>
    </row>
    <row r="32" spans="2:17" ht="34" x14ac:dyDescent="0.4">
      <c r="B32" s="62" t="s">
        <v>206</v>
      </c>
      <c r="C32" s="180">
        <v>8.1066999260363509E-2</v>
      </c>
      <c r="D32" s="63">
        <v>6.4844593405723572E-2</v>
      </c>
      <c r="E32" s="63">
        <v>6.5501555800437927E-2</v>
      </c>
      <c r="F32" s="63">
        <v>5.8336824178695679E-2</v>
      </c>
      <c r="G32" s="63">
        <v>5.9839788824319839E-2</v>
      </c>
      <c r="H32" s="63">
        <v>4.1401252150535583E-2</v>
      </c>
      <c r="I32" s="63">
        <v>2.6075398549437523E-2</v>
      </c>
      <c r="J32" s="63">
        <v>1.0032881982624531E-2</v>
      </c>
      <c r="K32" s="63">
        <v>4.3533213436603546E-2</v>
      </c>
      <c r="L32" s="417">
        <f t="shared" si="1"/>
        <v>-3.7533785823759963E-2</v>
      </c>
    </row>
    <row r="33" spans="2:13" ht="34" x14ac:dyDescent="0.4">
      <c r="B33" s="62" t="s">
        <v>70</v>
      </c>
      <c r="C33" s="180">
        <v>0.17523172069902965</v>
      </c>
      <c r="D33" s="63">
        <v>0.13713526725769043</v>
      </c>
      <c r="E33" s="63">
        <v>0.14782355725765228</v>
      </c>
      <c r="F33" s="63">
        <v>0.18776457011699677</v>
      </c>
      <c r="G33" s="63">
        <v>0.20369528234004974</v>
      </c>
      <c r="H33" s="63">
        <v>0.22553081810474396</v>
      </c>
      <c r="I33" s="63">
        <v>0.22466140985488892</v>
      </c>
      <c r="J33" s="63">
        <v>0.16083528101444244</v>
      </c>
      <c r="K33" s="63">
        <v>0.22605521976947784</v>
      </c>
      <c r="L33" s="417">
        <f t="shared" si="1"/>
        <v>5.0823499070448197E-2</v>
      </c>
    </row>
    <row r="34" spans="2:13" ht="34" x14ac:dyDescent="0.4">
      <c r="B34" s="72" t="s">
        <v>67</v>
      </c>
      <c r="C34" s="75">
        <v>0.14080811485538131</v>
      </c>
      <c r="D34" s="74">
        <v>0.11346540600061417</v>
      </c>
      <c r="E34" s="74">
        <v>0.16830137372016907</v>
      </c>
      <c r="F34" s="74">
        <v>0.13347600400447845</v>
      </c>
      <c r="G34" s="74">
        <v>0.14917169511318207</v>
      </c>
      <c r="H34" s="74">
        <v>0.13125339150428772</v>
      </c>
      <c r="I34" s="74">
        <v>0.11683913320302963</v>
      </c>
      <c r="J34" s="74">
        <v>8.3188280463218689E-2</v>
      </c>
      <c r="K34" s="74">
        <v>7.4536189436912537E-2</v>
      </c>
      <c r="L34" s="74">
        <f t="shared" si="1"/>
        <v>-6.6271925418468769E-2</v>
      </c>
    </row>
    <row r="35" spans="2:13" ht="34" x14ac:dyDescent="0.4">
      <c r="B35" s="64" t="s">
        <v>207</v>
      </c>
      <c r="C35" s="64"/>
      <c r="D35" s="63"/>
      <c r="E35" s="63"/>
      <c r="F35" s="63"/>
      <c r="G35" s="63"/>
      <c r="H35" s="63"/>
      <c r="I35" s="63"/>
      <c r="J35" s="63"/>
      <c r="K35" s="63"/>
      <c r="L35" s="417"/>
    </row>
    <row r="36" spans="2:13" ht="40" customHeight="1" x14ac:dyDescent="0.4">
      <c r="B36" s="62" t="s">
        <v>83</v>
      </c>
      <c r="C36" s="180">
        <v>9.0271246129663765E-2</v>
      </c>
      <c r="D36" s="63">
        <v>9.9283434450626373E-2</v>
      </c>
      <c r="E36" s="63">
        <v>0.12063156813383102</v>
      </c>
      <c r="F36" s="63">
        <v>0.11298453062772751</v>
      </c>
      <c r="G36" s="63">
        <v>0.113036148250103</v>
      </c>
      <c r="H36" s="63">
        <v>9.4397015869617462E-2</v>
      </c>
      <c r="I36" s="63">
        <v>7.0688299834728241E-2</v>
      </c>
      <c r="J36" s="63">
        <v>5.3711596876382828E-2</v>
      </c>
      <c r="K36" s="63">
        <v>0.10257255285978317</v>
      </c>
      <c r="L36" s="417">
        <f>K36-C36</f>
        <v>1.2301306730119407E-2</v>
      </c>
    </row>
    <row r="37" spans="2:13" ht="40" customHeight="1" x14ac:dyDescent="0.4">
      <c r="B37" s="62" t="s">
        <v>208</v>
      </c>
      <c r="C37" s="180">
        <v>3.5861224922702772E-2</v>
      </c>
      <c r="D37" s="63">
        <v>2.480800449848175E-2</v>
      </c>
      <c r="E37" s="63">
        <v>2.5841385126113892E-2</v>
      </c>
      <c r="F37" s="63">
        <v>2.7016723528504372E-2</v>
      </c>
      <c r="G37" s="63">
        <v>2.7487773448228836E-2</v>
      </c>
      <c r="H37" s="63">
        <v>2.4033961817622185E-2</v>
      </c>
      <c r="I37" s="63">
        <v>2.6775676757097244E-2</v>
      </c>
      <c r="J37" s="63">
        <v>2.6167238131165504E-2</v>
      </c>
      <c r="K37" s="63">
        <v>2.8251226991415024E-2</v>
      </c>
      <c r="L37" s="417">
        <f t="shared" ref="L37:L42" si="2">K37-C37</f>
        <v>-7.6099979312877486E-3</v>
      </c>
    </row>
    <row r="38" spans="2:13" ht="34" x14ac:dyDescent="0.4">
      <c r="B38" s="62" t="s">
        <v>209</v>
      </c>
      <c r="C38" s="180">
        <v>2.060605590013246E-2</v>
      </c>
      <c r="D38" s="63">
        <v>3.1496480107307434E-2</v>
      </c>
      <c r="E38" s="63">
        <v>2.9903162270784378E-2</v>
      </c>
      <c r="F38" s="63">
        <v>2.9785996302962303E-2</v>
      </c>
      <c r="G38" s="63">
        <v>3.0761206522583961E-2</v>
      </c>
      <c r="H38" s="63">
        <v>2.0628646016120911E-2</v>
      </c>
      <c r="I38" s="63">
        <v>1.7959631979465485E-2</v>
      </c>
      <c r="J38" s="63">
        <v>1.4667571522295475E-2</v>
      </c>
      <c r="K38" s="63">
        <v>1.4563089236617088E-2</v>
      </c>
      <c r="L38" s="417">
        <f t="shared" si="2"/>
        <v>-6.0429666635153714E-3</v>
      </c>
    </row>
    <row r="39" spans="2:13" ht="34" x14ac:dyDescent="0.4">
      <c r="B39" s="62" t="s">
        <v>210</v>
      </c>
      <c r="C39" s="180">
        <v>0.20608794998489571</v>
      </c>
      <c r="D39" s="63">
        <v>0.2762373685836792</v>
      </c>
      <c r="E39" s="63">
        <v>0.17187567055225372</v>
      </c>
      <c r="F39" s="63">
        <v>0.18869660794734955</v>
      </c>
      <c r="G39" s="63">
        <v>0.19544103741645813</v>
      </c>
      <c r="H39" s="63">
        <v>0.134206622838974</v>
      </c>
      <c r="I39" s="63">
        <v>0.12210574746131897</v>
      </c>
      <c r="J39" s="63">
        <v>0.11667812615633011</v>
      </c>
      <c r="K39" s="63">
        <v>0.16112746298313141</v>
      </c>
      <c r="L39" s="417">
        <f t="shared" si="2"/>
        <v>-4.4960487001764304E-2</v>
      </c>
    </row>
    <row r="40" spans="2:13" ht="34" x14ac:dyDescent="0.4">
      <c r="B40" s="62" t="s">
        <v>84</v>
      </c>
      <c r="C40" s="180">
        <v>8.7746373397239688E-2</v>
      </c>
      <c r="D40" s="63">
        <v>4.2366288602352142E-2</v>
      </c>
      <c r="E40" s="63">
        <v>5.3702477365732193E-2</v>
      </c>
      <c r="F40" s="63">
        <v>5.6728530675172806E-2</v>
      </c>
      <c r="G40" s="63">
        <v>3.5311609506607056E-2</v>
      </c>
      <c r="H40" s="63">
        <v>3.9664529263973236E-2</v>
      </c>
      <c r="I40" s="63">
        <v>5.1112212240695953E-2</v>
      </c>
      <c r="J40" s="63">
        <v>2.7474869042634964E-2</v>
      </c>
      <c r="K40" s="63">
        <v>3.7710230797529221E-2</v>
      </c>
      <c r="L40" s="417">
        <f t="shared" si="2"/>
        <v>-5.0036142599710468E-2</v>
      </c>
    </row>
    <row r="41" spans="2:13" ht="34" x14ac:dyDescent="0.4">
      <c r="B41" s="62" t="s">
        <v>211</v>
      </c>
      <c r="C41" s="180">
        <v>5.640790843651218E-2</v>
      </c>
      <c r="D41" s="63">
        <v>4.5250836759805679E-2</v>
      </c>
      <c r="E41" s="63">
        <v>4.6720154583454132E-2</v>
      </c>
      <c r="F41" s="63">
        <v>4.3705951422452927E-2</v>
      </c>
      <c r="G41" s="63">
        <v>4.3121736496686935E-2</v>
      </c>
      <c r="H41" s="63">
        <v>4.4402770698070526E-2</v>
      </c>
      <c r="I41" s="63">
        <v>3.5205800086259842E-2</v>
      </c>
      <c r="J41" s="63">
        <v>9.169580414891243E-3</v>
      </c>
      <c r="K41" s="63">
        <v>9.4529436901211739E-3</v>
      </c>
      <c r="L41" s="417">
        <f t="shared" si="2"/>
        <v>-4.6954964746391006E-2</v>
      </c>
    </row>
    <row r="42" spans="2:13" ht="34" x14ac:dyDescent="0.4">
      <c r="B42" s="62" t="s">
        <v>86</v>
      </c>
      <c r="C42" s="180">
        <v>7.0004884806695672E-2</v>
      </c>
      <c r="D42" s="63">
        <v>6.3508301973342896E-2</v>
      </c>
      <c r="E42" s="63">
        <v>7.3636122047901154E-2</v>
      </c>
      <c r="F42" s="63">
        <v>7.8676961362361908E-2</v>
      </c>
      <c r="G42" s="63">
        <v>8.3365477621555328E-2</v>
      </c>
      <c r="H42" s="63">
        <v>8.1971593201160431E-2</v>
      </c>
      <c r="I42" s="63">
        <v>7.5426690280437469E-2</v>
      </c>
      <c r="J42" s="63">
        <v>6.4223118126392365E-2</v>
      </c>
      <c r="K42" s="63">
        <v>9.3509286642074585E-2</v>
      </c>
      <c r="L42" s="417">
        <f t="shared" si="2"/>
        <v>2.3504401835378913E-2</v>
      </c>
    </row>
    <row r="43" spans="2:13" ht="34" x14ac:dyDescent="0.4">
      <c r="B43" s="62" t="s">
        <v>212</v>
      </c>
      <c r="C43" s="62"/>
      <c r="D43" s="63">
        <v>0.10936325043439865</v>
      </c>
      <c r="E43" s="63">
        <v>7.2493575513362885E-2</v>
      </c>
      <c r="F43" s="63">
        <v>6.514451652765274E-2</v>
      </c>
      <c r="G43" s="63">
        <v>4.2834419757127762E-2</v>
      </c>
      <c r="H43" s="63">
        <v>3.1158098950982094E-2</v>
      </c>
      <c r="I43" s="63">
        <v>2.6363890618085861E-2</v>
      </c>
      <c r="J43" s="63">
        <v>1.4375944621860981E-2</v>
      </c>
      <c r="K43" s="63">
        <v>7.1288682520389557E-2</v>
      </c>
      <c r="L43" s="417">
        <f t="shared" ref="L43:L48" si="3">K43-D43</f>
        <v>-3.8074567914009094E-2</v>
      </c>
    </row>
    <row r="44" spans="2:13" ht="34" x14ac:dyDescent="0.4">
      <c r="B44" s="62" t="s">
        <v>213</v>
      </c>
      <c r="C44" s="62"/>
      <c r="D44" s="63">
        <v>6.8855211138725281E-3</v>
      </c>
      <c r="E44" s="63">
        <v>7.492847740650177E-3</v>
      </c>
      <c r="F44" s="63">
        <v>6.4027761109173298E-3</v>
      </c>
      <c r="G44" s="63">
        <v>5.9608323499560356E-3</v>
      </c>
      <c r="H44" s="63">
        <v>6.990465335547924E-3</v>
      </c>
      <c r="I44" s="63">
        <v>9.2657329514622688E-3</v>
      </c>
      <c r="J44" s="63">
        <v>7.8192455694079399E-3</v>
      </c>
      <c r="K44" s="63">
        <v>1.1051170527935028E-2</v>
      </c>
      <c r="L44" s="417">
        <f t="shared" si="3"/>
        <v>4.1656494140625E-3</v>
      </c>
    </row>
    <row r="45" spans="2:13" ht="34" x14ac:dyDescent="0.4">
      <c r="B45" s="62" t="s">
        <v>214</v>
      </c>
      <c r="C45" s="62"/>
      <c r="D45" s="63">
        <v>0.10867111384868622</v>
      </c>
      <c r="E45" s="63">
        <v>0.12682940065860748</v>
      </c>
      <c r="F45" s="63">
        <v>7.8358292579650879E-2</v>
      </c>
      <c r="G45" s="63">
        <v>8.2816392183303833E-2</v>
      </c>
      <c r="H45" s="63">
        <v>5.0546467304229736E-2</v>
      </c>
      <c r="I45" s="63">
        <v>4.3135054409503937E-2</v>
      </c>
      <c r="J45" s="63">
        <v>4.2275425046682358E-2</v>
      </c>
      <c r="K45" s="63">
        <v>4.1247334331274033E-2</v>
      </c>
      <c r="L45" s="417">
        <f t="shared" si="3"/>
        <v>-6.7423779517412186E-2</v>
      </c>
    </row>
    <row r="46" spans="2:13" ht="34" x14ac:dyDescent="0.4">
      <c r="B46" s="62" t="s">
        <v>215</v>
      </c>
      <c r="C46" s="62"/>
      <c r="D46" s="63">
        <v>0.12992960214614868</v>
      </c>
      <c r="E46" s="63">
        <v>6.9474197924137115E-2</v>
      </c>
      <c r="F46" s="63">
        <v>6.1656773090362549E-2</v>
      </c>
      <c r="G46" s="63">
        <v>5.9480622410774231E-2</v>
      </c>
      <c r="H46" s="63">
        <v>4.8232082277536392E-2</v>
      </c>
      <c r="I46" s="63">
        <v>5.4692108184099197E-2</v>
      </c>
      <c r="J46" s="63">
        <v>2.4096185341477394E-2</v>
      </c>
      <c r="K46" s="63">
        <v>4.1405119001865387E-2</v>
      </c>
      <c r="L46" s="417">
        <f t="shared" si="3"/>
        <v>-8.8524483144283295E-2</v>
      </c>
      <c r="M46" s="63"/>
    </row>
    <row r="47" spans="2:13" ht="34" x14ac:dyDescent="0.4">
      <c r="B47" s="62" t="s">
        <v>216</v>
      </c>
      <c r="C47" s="62"/>
      <c r="D47" s="63">
        <v>7.598152756690979E-2</v>
      </c>
      <c r="E47" s="63">
        <v>5.1980093121528625E-2</v>
      </c>
      <c r="F47" s="63">
        <v>5.9017959982156754E-2</v>
      </c>
      <c r="G47" s="63">
        <v>6.4674519002437592E-2</v>
      </c>
      <c r="H47" s="63">
        <v>6.2640376389026642E-2</v>
      </c>
      <c r="I47" s="63">
        <v>5.5994100868701935E-2</v>
      </c>
      <c r="J47" s="63">
        <v>6.3743628561496735E-2</v>
      </c>
      <c r="K47" s="63">
        <v>6.9468215107917786E-2</v>
      </c>
      <c r="L47" s="417">
        <f t="shared" si="3"/>
        <v>-6.5133124589920044E-3</v>
      </c>
    </row>
    <row r="48" spans="2:13" ht="35" thickBot="1" x14ac:dyDescent="0.45">
      <c r="B48" s="412" t="s">
        <v>217</v>
      </c>
      <c r="C48" s="412"/>
      <c r="D48" s="415">
        <v>0.23105978965759277</v>
      </c>
      <c r="E48" s="415">
        <v>0.11328355967998505</v>
      </c>
      <c r="F48" s="415">
        <v>0.60255056619644165</v>
      </c>
      <c r="G48" s="415">
        <v>0.12660028040409088</v>
      </c>
      <c r="H48" s="415">
        <v>9.0164385735988617E-2</v>
      </c>
      <c r="I48" s="415">
        <v>8.9510031044483185E-2</v>
      </c>
      <c r="J48" s="415">
        <v>8.4164127707481384E-2</v>
      </c>
      <c r="K48" s="415">
        <v>9.7322776913642883E-2</v>
      </c>
      <c r="L48" s="415">
        <f t="shared" si="3"/>
        <v>-0.13373701274394989</v>
      </c>
    </row>
    <row r="49" spans="2:12" ht="35" thickTop="1" x14ac:dyDescent="0.4">
      <c r="B49" s="60"/>
      <c r="C49" s="60"/>
      <c r="D49" s="60"/>
      <c r="E49" s="60"/>
      <c r="F49" s="60"/>
      <c r="G49" s="60"/>
      <c r="H49" s="60"/>
      <c r="I49" s="63"/>
      <c r="J49" s="63"/>
      <c r="K49" s="63"/>
      <c r="L49" s="63"/>
    </row>
    <row r="50" spans="2:12" ht="34" x14ac:dyDescent="0.4">
      <c r="L50" s="63"/>
    </row>
    <row r="51" spans="2:12" ht="34" x14ac:dyDescent="0.4">
      <c r="L51" s="63"/>
    </row>
    <row r="52" spans="2:12" ht="34" x14ac:dyDescent="0.4">
      <c r="L52" s="63"/>
    </row>
    <row r="53" spans="2:12" ht="34" x14ac:dyDescent="0.4">
      <c r="L53" s="63"/>
    </row>
  </sheetData>
  <mergeCells count="1">
    <mergeCell ref="B2:L2"/>
  </mergeCells>
  <printOptions horizontalCentered="1"/>
  <pageMargins left="0.25" right="0.25" top="0.75" bottom="0.75" header="0.3" footer="0.3"/>
  <pageSetup scale="39" orientation="portrait" horizontalDpi="4294967292" verticalDpi="4294967292"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3DFC9-6488-42EB-BECF-D88D65EB4658}">
  <dimension ref="A1:R252"/>
  <sheetViews>
    <sheetView zoomScale="43" zoomScaleNormal="55" workbookViewId="0">
      <selection activeCell="M14" sqref="M14"/>
    </sheetView>
  </sheetViews>
  <sheetFormatPr baseColWidth="10" defaultColWidth="8.83203125" defaultRowHeight="16" x14ac:dyDescent="0.2"/>
  <cols>
    <col min="2" max="2" width="23.5" customWidth="1"/>
    <col min="3" max="6" width="15.1640625" customWidth="1"/>
    <col min="7" max="8" width="20.6640625" customWidth="1"/>
    <col min="13" max="13" width="28.6640625" customWidth="1"/>
    <col min="14" max="14" width="11.83203125" customWidth="1"/>
    <col min="15" max="15" width="12" customWidth="1"/>
    <col min="16" max="16" width="13.5" customWidth="1"/>
    <col min="17" max="17" width="15.83203125" customWidth="1"/>
    <col min="18" max="18" width="13.5" customWidth="1"/>
  </cols>
  <sheetData>
    <row r="1" spans="1:18" x14ac:dyDescent="0.2">
      <c r="A1" t="s">
        <v>1146</v>
      </c>
      <c r="B1" s="503" t="s">
        <v>1082</v>
      </c>
      <c r="C1" t="s">
        <v>1067</v>
      </c>
      <c r="D1" t="s">
        <v>1068</v>
      </c>
      <c r="E1" s="537" t="s">
        <v>1066</v>
      </c>
      <c r="F1" t="s">
        <v>1147</v>
      </c>
      <c r="G1" t="s">
        <v>57</v>
      </c>
      <c r="I1" t="s">
        <v>1077</v>
      </c>
      <c r="M1" s="503" t="s">
        <v>1153</v>
      </c>
      <c r="N1" t="s">
        <v>1154</v>
      </c>
      <c r="O1" t="s">
        <v>1155</v>
      </c>
      <c r="P1" t="s">
        <v>1156</v>
      </c>
      <c r="Q1" t="s">
        <v>1157</v>
      </c>
      <c r="R1" t="s">
        <v>1158</v>
      </c>
    </row>
    <row r="2" spans="1:18" x14ac:dyDescent="0.2">
      <c r="A2" t="s">
        <v>80</v>
      </c>
      <c r="B2" t="s">
        <v>1055</v>
      </c>
      <c r="C2">
        <v>38.997500000000002</v>
      </c>
      <c r="D2">
        <v>25.768000000000001</v>
      </c>
      <c r="E2" s="537">
        <f t="shared" ref="E2:E44" si="0">(D2-C2)/100</f>
        <v>-0.13229500000000002</v>
      </c>
      <c r="F2" s="537">
        <v>-6.6271925418468769E-2</v>
      </c>
      <c r="G2">
        <v>176033.78125</v>
      </c>
      <c r="H2">
        <f>E2*100</f>
        <v>-13.229500000000002</v>
      </c>
      <c r="I2" t="s">
        <v>1078</v>
      </c>
      <c r="N2">
        <f>G2</f>
        <v>176033.78125</v>
      </c>
      <c r="O2">
        <f>G2*E2</f>
        <v>-23288.389090468754</v>
      </c>
      <c r="P2">
        <f>G2*F2</f>
        <v>-11666.097622131047</v>
      </c>
      <c r="Q2">
        <f>G2*E2^2</f>
        <v>3080.9374347235644</v>
      </c>
      <c r="R2">
        <f>G2*E2*F2</f>
        <v>1543.3663849198269</v>
      </c>
    </row>
    <row r="3" spans="1:18" x14ac:dyDescent="0.2">
      <c r="A3" t="s">
        <v>641</v>
      </c>
      <c r="B3" t="s">
        <v>194</v>
      </c>
      <c r="C3">
        <v>19</v>
      </c>
      <c r="D3">
        <v>9</v>
      </c>
      <c r="E3" s="537">
        <f t="shared" si="0"/>
        <v>-0.1</v>
      </c>
      <c r="F3" s="537">
        <f>VLOOKUP(B3,TableA3!$B$5:$L$48,11,FALSE)</f>
        <v>-7.4923681822995358E-2</v>
      </c>
      <c r="G3">
        <v>7013.32275390625</v>
      </c>
      <c r="N3">
        <f t="shared" ref="N3:N44" si="1">G3</f>
        <v>7013.32275390625</v>
      </c>
      <c r="O3">
        <f t="shared" ref="O3:O44" si="2">G3*E3</f>
        <v>-701.332275390625</v>
      </c>
      <c r="P3">
        <f t="shared" ref="P3:P44" si="3">G3*F3</f>
        <v>-525.46396253564546</v>
      </c>
      <c r="Q3">
        <f t="shared" ref="Q3:Q44" si="4">G3*E3^2</f>
        <v>70.133227539062517</v>
      </c>
      <c r="R3">
        <f t="shared" ref="R3:R44" si="5">G3*E3*F3</f>
        <v>52.546396253564545</v>
      </c>
    </row>
    <row r="4" spans="1:18" x14ac:dyDescent="0.2">
      <c r="A4" t="s">
        <v>638</v>
      </c>
      <c r="B4" t="s">
        <v>71</v>
      </c>
      <c r="C4">
        <v>33.33</v>
      </c>
      <c r="D4">
        <v>25.824999999999999</v>
      </c>
      <c r="E4" s="537">
        <f t="shared" si="0"/>
        <v>-7.5049999999999992E-2</v>
      </c>
      <c r="F4" s="537">
        <f>VLOOKUP(B4,TableA3!$B$5:$L$48,11,FALSE)</f>
        <v>3.7602394054409433E-2</v>
      </c>
      <c r="G4">
        <v>68760.9296875</v>
      </c>
      <c r="I4" t="s">
        <v>1079</v>
      </c>
      <c r="N4">
        <f t="shared" si="1"/>
        <v>68760.9296875</v>
      </c>
      <c r="O4">
        <f t="shared" si="2"/>
        <v>-5160.5077730468747</v>
      </c>
      <c r="P4">
        <f t="shared" si="3"/>
        <v>2585.5755736569149</v>
      </c>
      <c r="Q4">
        <f t="shared" si="4"/>
        <v>387.2961083671679</v>
      </c>
      <c r="R4">
        <f t="shared" si="5"/>
        <v>-194.04744680295147</v>
      </c>
    </row>
    <row r="5" spans="1:18" x14ac:dyDescent="0.2">
      <c r="A5" t="s">
        <v>649</v>
      </c>
      <c r="B5" t="s">
        <v>200</v>
      </c>
      <c r="C5">
        <v>27</v>
      </c>
      <c r="D5">
        <v>22</v>
      </c>
      <c r="E5" s="537">
        <f t="shared" si="0"/>
        <v>-0.05</v>
      </c>
      <c r="F5" s="537">
        <f>VLOOKUP(B5,TableA3!$B$5:$L$48,11,FALSE)</f>
        <v>-5.2701669766777398E-2</v>
      </c>
      <c r="G5">
        <v>7963.798828125</v>
      </c>
      <c r="I5" t="s">
        <v>1080</v>
      </c>
      <c r="N5">
        <f t="shared" si="1"/>
        <v>7963.798828125</v>
      </c>
      <c r="O5">
        <f t="shared" si="2"/>
        <v>-398.18994140625</v>
      </c>
      <c r="P5">
        <f t="shared" si="3"/>
        <v>-419.70549592889256</v>
      </c>
      <c r="Q5">
        <f t="shared" si="4"/>
        <v>19.909497070312504</v>
      </c>
      <c r="R5">
        <f t="shared" si="5"/>
        <v>20.985274796444628</v>
      </c>
    </row>
    <row r="6" spans="1:18" x14ac:dyDescent="0.2">
      <c r="A6" t="s">
        <v>670</v>
      </c>
      <c r="B6" t="s">
        <v>84</v>
      </c>
      <c r="C6">
        <v>34.61</v>
      </c>
      <c r="D6">
        <v>30</v>
      </c>
      <c r="E6" s="537">
        <f t="shared" si="0"/>
        <v>-4.6099999999999995E-2</v>
      </c>
      <c r="F6" s="537">
        <f>VLOOKUP(B6,TableA3!$B$5:$L$48,11,FALSE)</f>
        <v>-5.0036142599710468E-2</v>
      </c>
      <c r="G6">
        <v>19624.54296875</v>
      </c>
      <c r="N6">
        <f t="shared" si="1"/>
        <v>19624.54296875</v>
      </c>
      <c r="O6">
        <f t="shared" si="2"/>
        <v>-904.69143085937492</v>
      </c>
      <c r="P6">
        <f t="shared" si="3"/>
        <v>-981.93643043852035</v>
      </c>
      <c r="Q6">
        <f t="shared" si="4"/>
        <v>41.706274962617172</v>
      </c>
      <c r="R6">
        <f t="shared" si="5"/>
        <v>45.267269443215788</v>
      </c>
    </row>
    <row r="7" spans="1:18" x14ac:dyDescent="0.2">
      <c r="A7" t="s">
        <v>640</v>
      </c>
      <c r="B7" t="s">
        <v>193</v>
      </c>
      <c r="C7">
        <v>26</v>
      </c>
      <c r="D7">
        <v>22</v>
      </c>
      <c r="E7" s="537">
        <f t="shared" si="0"/>
        <v>-0.04</v>
      </c>
      <c r="F7" s="537">
        <f>VLOOKUP(B7,TableA3!$B$5:$L$48,11,FALSE)</f>
        <v>0.29095277441591338</v>
      </c>
      <c r="G7">
        <v>11565.1279296875</v>
      </c>
      <c r="N7">
        <f t="shared" si="1"/>
        <v>11565.1279296875</v>
      </c>
      <c r="O7">
        <f t="shared" si="2"/>
        <v>-462.60511718750001</v>
      </c>
      <c r="P7">
        <f t="shared" si="3"/>
        <v>3364.9060576175466</v>
      </c>
      <c r="Q7">
        <f t="shared" si="4"/>
        <v>18.5042046875</v>
      </c>
      <c r="R7">
        <f t="shared" si="5"/>
        <v>-134.59624230470186</v>
      </c>
    </row>
    <row r="8" spans="1:18" x14ac:dyDescent="0.2">
      <c r="A8" t="s">
        <v>643</v>
      </c>
      <c r="B8" t="s">
        <v>196</v>
      </c>
      <c r="C8">
        <v>26.5</v>
      </c>
      <c r="D8">
        <v>23</v>
      </c>
      <c r="E8" s="537">
        <f t="shared" si="0"/>
        <v>-3.5000000000000003E-2</v>
      </c>
      <c r="F8" s="537">
        <f>VLOOKUP(B8,TableA3!$B$5:$L$48,11,FALSE)</f>
        <v>4.7670169206105943E-2</v>
      </c>
      <c r="G8">
        <v>5475.953125</v>
      </c>
      <c r="N8">
        <f t="shared" si="1"/>
        <v>5475.953125</v>
      </c>
      <c r="O8">
        <f t="shared" si="2"/>
        <v>-191.65835937500003</v>
      </c>
      <c r="P8">
        <f t="shared" si="3"/>
        <v>261.0396120334546</v>
      </c>
      <c r="Q8">
        <f t="shared" si="4"/>
        <v>6.708042578125001</v>
      </c>
      <c r="R8">
        <f t="shared" si="5"/>
        <v>-9.1363864211709132</v>
      </c>
    </row>
    <row r="9" spans="1:18" x14ac:dyDescent="0.2">
      <c r="A9" t="s">
        <v>644</v>
      </c>
      <c r="B9" t="s">
        <v>74</v>
      </c>
      <c r="C9">
        <v>31.292750000000002</v>
      </c>
      <c r="D9">
        <v>27.81</v>
      </c>
      <c r="E9" s="537">
        <f t="shared" si="0"/>
        <v>-3.4827500000000032E-2</v>
      </c>
      <c r="F9" s="537">
        <f>VLOOKUP(B9,TableA3!$B$5:$L$48,11,FALSE)</f>
        <v>-3.5155193785570527E-2</v>
      </c>
      <c r="G9">
        <v>35560.76953125</v>
      </c>
      <c r="N9">
        <f t="shared" si="1"/>
        <v>35560.76953125</v>
      </c>
      <c r="O9">
        <f t="shared" si="2"/>
        <v>-1238.4927008496104</v>
      </c>
      <c r="P9">
        <f t="shared" si="3"/>
        <v>-1250.1457440351057</v>
      </c>
      <c r="Q9">
        <f t="shared" si="4"/>
        <v>43.133604538839855</v>
      </c>
      <c r="R9">
        <f t="shared" si="5"/>
        <v>43.539450900382683</v>
      </c>
    </row>
    <row r="10" spans="1:18" x14ac:dyDescent="0.2">
      <c r="A10" t="s">
        <v>635</v>
      </c>
      <c r="B10" t="s">
        <v>72</v>
      </c>
      <c r="C10">
        <v>28</v>
      </c>
      <c r="D10">
        <v>25</v>
      </c>
      <c r="E10" s="537">
        <f t="shared" si="0"/>
        <v>-0.03</v>
      </c>
      <c r="F10" s="537">
        <f>VLOOKUP(B10,TableA3!$B$5:$L$48,11,FALSE)</f>
        <v>-1.805516204844218E-2</v>
      </c>
      <c r="G10">
        <v>23262.337890625</v>
      </c>
      <c r="N10">
        <f t="shared" si="1"/>
        <v>23262.337890625</v>
      </c>
      <c r="O10">
        <f t="shared" si="2"/>
        <v>-697.87013671875002</v>
      </c>
      <c r="P10">
        <f t="shared" si="3"/>
        <v>-420.00528024085105</v>
      </c>
      <c r="Q10">
        <f t="shared" si="4"/>
        <v>20.936104101562499</v>
      </c>
      <c r="R10">
        <f t="shared" si="5"/>
        <v>12.600158407225532</v>
      </c>
    </row>
    <row r="11" spans="1:18" x14ac:dyDescent="0.2">
      <c r="A11" t="s">
        <v>645</v>
      </c>
      <c r="B11" t="s">
        <v>73</v>
      </c>
      <c r="C11">
        <v>32.11</v>
      </c>
      <c r="D11">
        <v>29.74</v>
      </c>
      <c r="E11" s="537">
        <f t="shared" si="0"/>
        <v>-2.3700000000000009E-2</v>
      </c>
      <c r="F11" s="537">
        <f>VLOOKUP(B11,TableA3!$B$5:$L$48,11,FALSE)</f>
        <v>5.7872012086531109E-3</v>
      </c>
      <c r="G11">
        <v>15531.7099609375</v>
      </c>
      <c r="N11">
        <f t="shared" si="1"/>
        <v>15531.7099609375</v>
      </c>
      <c r="O11">
        <f t="shared" si="2"/>
        <v>-368.1015260742189</v>
      </c>
      <c r="P11">
        <f t="shared" si="3"/>
        <v>89.885130658387055</v>
      </c>
      <c r="Q11">
        <f t="shared" si="4"/>
        <v>8.7240061679589918</v>
      </c>
      <c r="R11">
        <f t="shared" si="5"/>
        <v>-2.1302775966037744</v>
      </c>
    </row>
    <row r="12" spans="1:18" x14ac:dyDescent="0.2">
      <c r="A12" t="s">
        <v>634</v>
      </c>
      <c r="B12" t="s">
        <v>190</v>
      </c>
      <c r="C12">
        <v>23.5</v>
      </c>
      <c r="D12">
        <v>22</v>
      </c>
      <c r="E12" s="537">
        <f t="shared" si="0"/>
        <v>-1.4999999999999999E-2</v>
      </c>
      <c r="F12" s="537">
        <f>VLOOKUP(B12,TableA3!$B$5:$L$48,11,FALSE)</f>
        <v>0.14257486023726279</v>
      </c>
      <c r="G12">
        <v>15392.607421875</v>
      </c>
      <c r="N12">
        <f t="shared" si="1"/>
        <v>15392.607421875</v>
      </c>
      <c r="O12">
        <f t="shared" si="2"/>
        <v>-230.88911132812498</v>
      </c>
      <c r="P12">
        <f t="shared" si="3"/>
        <v>2194.598851860882</v>
      </c>
      <c r="Q12">
        <f t="shared" si="4"/>
        <v>3.4633366699218748</v>
      </c>
      <c r="R12">
        <f t="shared" si="5"/>
        <v>-32.918982777913229</v>
      </c>
    </row>
    <row r="13" spans="1:18" x14ac:dyDescent="0.2">
      <c r="A13" t="s">
        <v>655</v>
      </c>
      <c r="B13" t="s">
        <v>205</v>
      </c>
      <c r="C13">
        <v>22</v>
      </c>
      <c r="D13">
        <v>20.6</v>
      </c>
      <c r="E13" s="537">
        <f t="shared" si="0"/>
        <v>-1.3999999999999986E-2</v>
      </c>
      <c r="F13" s="537">
        <f>VLOOKUP(B13,TableA3!$B$5:$L$48,11,FALSE)</f>
        <v>3.6383835806823084E-2</v>
      </c>
      <c r="G13">
        <v>16416.58984375</v>
      </c>
      <c r="N13">
        <f t="shared" si="1"/>
        <v>16416.58984375</v>
      </c>
      <c r="O13">
        <f t="shared" si="2"/>
        <v>-229.83225781249979</v>
      </c>
      <c r="P13">
        <f t="shared" si="3"/>
        <v>597.29850938295942</v>
      </c>
      <c r="Q13">
        <f t="shared" si="4"/>
        <v>3.2176516093749936</v>
      </c>
      <c r="R13">
        <f t="shared" si="5"/>
        <v>-8.3621791313614242</v>
      </c>
    </row>
    <row r="14" spans="1:18" x14ac:dyDescent="0.2">
      <c r="A14" t="s">
        <v>816</v>
      </c>
      <c r="B14" t="s">
        <v>214</v>
      </c>
      <c r="C14">
        <v>25</v>
      </c>
      <c r="D14">
        <v>24</v>
      </c>
      <c r="E14" s="537">
        <f t="shared" si="0"/>
        <v>-0.01</v>
      </c>
      <c r="F14" s="537">
        <f>VLOOKUP(B14,TableA3!$B$5:$L$48,11,FALSE)</f>
        <v>-6.7423779517412186E-2</v>
      </c>
      <c r="G14">
        <v>4484.00244140625</v>
      </c>
      <c r="N14">
        <f t="shared" si="1"/>
        <v>4484.00244140625</v>
      </c>
      <c r="O14">
        <f t="shared" si="2"/>
        <v>-44.840024414062498</v>
      </c>
      <c r="P14">
        <f t="shared" si="3"/>
        <v>-302.32839196491295</v>
      </c>
      <c r="Q14">
        <f t="shared" si="4"/>
        <v>0.44840024414062502</v>
      </c>
      <c r="R14">
        <f t="shared" si="5"/>
        <v>3.0232839196491295</v>
      </c>
    </row>
    <row r="15" spans="1:18" x14ac:dyDescent="0.2">
      <c r="A15" t="s">
        <v>629</v>
      </c>
      <c r="B15" t="s">
        <v>187</v>
      </c>
      <c r="C15">
        <v>25</v>
      </c>
      <c r="D15">
        <v>24</v>
      </c>
      <c r="E15" s="537">
        <f t="shared" si="0"/>
        <v>-0.01</v>
      </c>
      <c r="F15" s="537">
        <f>VLOOKUP(B15,TableA3!$B$5:$L$48,11,FALSE)</f>
        <v>5.8750599696014982E-3</v>
      </c>
      <c r="G15">
        <v>7844.314453125</v>
      </c>
      <c r="N15">
        <f t="shared" si="1"/>
        <v>7844.314453125</v>
      </c>
      <c r="O15">
        <f t="shared" si="2"/>
        <v>-78.443144531249999</v>
      </c>
      <c r="P15">
        <f t="shared" si="3"/>
        <v>46.085817832521158</v>
      </c>
      <c r="Q15">
        <f t="shared" si="4"/>
        <v>0.78443144531250009</v>
      </c>
      <c r="R15">
        <f t="shared" si="5"/>
        <v>-0.46085817832521153</v>
      </c>
    </row>
    <row r="16" spans="1:18" x14ac:dyDescent="0.2">
      <c r="A16" t="s">
        <v>653</v>
      </c>
      <c r="B16" t="s">
        <v>582</v>
      </c>
      <c r="C16">
        <v>22</v>
      </c>
      <c r="D16">
        <v>21</v>
      </c>
      <c r="E16" s="537">
        <f t="shared" si="0"/>
        <v>-0.01</v>
      </c>
      <c r="F16" s="537">
        <v>1.1657102467371894E-2</v>
      </c>
      <c r="G16">
        <v>1380.08544921875</v>
      </c>
      <c r="N16">
        <f t="shared" si="1"/>
        <v>1380.08544921875</v>
      </c>
      <c r="O16">
        <f t="shared" si="2"/>
        <v>-13.800854492187501</v>
      </c>
      <c r="P16">
        <f t="shared" si="3"/>
        <v>16.087797495271939</v>
      </c>
      <c r="Q16">
        <f t="shared" si="4"/>
        <v>0.138008544921875</v>
      </c>
      <c r="R16">
        <f t="shared" si="5"/>
        <v>-0.16087797495271941</v>
      </c>
    </row>
    <row r="17" spans="1:18" x14ac:dyDescent="0.2">
      <c r="A17" t="s">
        <v>672</v>
      </c>
      <c r="B17" t="s">
        <v>86</v>
      </c>
      <c r="C17">
        <v>28</v>
      </c>
      <c r="D17">
        <v>27</v>
      </c>
      <c r="E17" s="537">
        <f t="shared" si="0"/>
        <v>-0.01</v>
      </c>
      <c r="F17" s="537">
        <f>VLOOKUP(B17,TableA3!$B$5:$L$48,11,FALSE)</f>
        <v>2.3504401835378913E-2</v>
      </c>
      <c r="G17">
        <v>5742.095703125</v>
      </c>
      <c r="N17">
        <f t="shared" si="1"/>
        <v>5742.095703125</v>
      </c>
      <c r="O17">
        <f t="shared" si="2"/>
        <v>-57.420957031249998</v>
      </c>
      <c r="P17">
        <f t="shared" si="3"/>
        <v>134.96452478345262</v>
      </c>
      <c r="Q17">
        <f t="shared" si="4"/>
        <v>0.57420957031249997</v>
      </c>
      <c r="R17">
        <f t="shared" si="5"/>
        <v>-1.3496452478345262</v>
      </c>
    </row>
    <row r="18" spans="1:18" x14ac:dyDescent="0.2">
      <c r="A18" t="s">
        <v>630</v>
      </c>
      <c r="B18" t="s">
        <v>82</v>
      </c>
      <c r="C18">
        <v>26.5</v>
      </c>
      <c r="D18">
        <v>26.21</v>
      </c>
      <c r="E18" s="537">
        <f t="shared" si="0"/>
        <v>-2.8999999999999916E-3</v>
      </c>
      <c r="F18" s="537">
        <f>VLOOKUP(B18,TableA3!$B$5:$L$48,11,FALSE)</f>
        <v>-4.2438190144514873E-2</v>
      </c>
      <c r="G18">
        <v>23557.56640625</v>
      </c>
      <c r="N18">
        <f t="shared" si="1"/>
        <v>23557.56640625</v>
      </c>
      <c r="O18">
        <f t="shared" si="2"/>
        <v>-68.316942578124795</v>
      </c>
      <c r="P18">
        <f t="shared" si="3"/>
        <v>-999.74048249047337</v>
      </c>
      <c r="Q18">
        <f t="shared" si="4"/>
        <v>0.19811913347656135</v>
      </c>
      <c r="R18">
        <f t="shared" si="5"/>
        <v>2.899247399222364</v>
      </c>
    </row>
    <row r="19" spans="1:18" x14ac:dyDescent="0.2">
      <c r="A19" t="s">
        <v>633</v>
      </c>
      <c r="B19" t="s">
        <v>75</v>
      </c>
      <c r="C19">
        <v>30.175000000000001</v>
      </c>
      <c r="D19">
        <v>29.940999999999999</v>
      </c>
      <c r="E19" s="537">
        <f t="shared" si="0"/>
        <v>-2.3400000000000174E-3</v>
      </c>
      <c r="F19" s="537">
        <f>VLOOKUP(B19,TableA3!$B$5:$L$48,11,FALSE)</f>
        <v>5.6042043614559112E-2</v>
      </c>
      <c r="G19">
        <v>114494.7109375</v>
      </c>
      <c r="N19">
        <f t="shared" si="1"/>
        <v>114494.7109375</v>
      </c>
      <c r="O19">
        <f t="shared" si="2"/>
        <v>-267.91762359375201</v>
      </c>
      <c r="P19">
        <f t="shared" si="3"/>
        <v>6416.5175839957128</v>
      </c>
      <c r="Q19">
        <f t="shared" si="4"/>
        <v>0.62692723920938442</v>
      </c>
      <c r="R19">
        <f t="shared" si="5"/>
        <v>-15.014651146550081</v>
      </c>
    </row>
    <row r="20" spans="1:18" x14ac:dyDescent="0.2">
      <c r="A20" t="s">
        <v>862</v>
      </c>
      <c r="B20" t="s">
        <v>217</v>
      </c>
      <c r="C20">
        <v>25</v>
      </c>
      <c r="D20">
        <v>25</v>
      </c>
      <c r="E20" s="537">
        <f t="shared" si="0"/>
        <v>0</v>
      </c>
      <c r="F20" s="537">
        <f>VLOOKUP(B20,TableA3!$B$5:$L$48,11,FALSE)</f>
        <v>-0.13373701274394989</v>
      </c>
      <c r="G20">
        <v>837.62054443359375</v>
      </c>
      <c r="N20">
        <f t="shared" si="1"/>
        <v>837.62054443359375</v>
      </c>
      <c r="O20">
        <f t="shared" si="2"/>
        <v>0</v>
      </c>
      <c r="P20">
        <f t="shared" si="3"/>
        <v>-112.02086942550977</v>
      </c>
      <c r="Q20">
        <f t="shared" si="4"/>
        <v>0</v>
      </c>
      <c r="R20">
        <f t="shared" si="5"/>
        <v>0</v>
      </c>
    </row>
    <row r="21" spans="1:18" x14ac:dyDescent="0.2">
      <c r="A21" t="s">
        <v>642</v>
      </c>
      <c r="B21" t="s">
        <v>195</v>
      </c>
      <c r="C21">
        <v>20</v>
      </c>
      <c r="D21">
        <v>20</v>
      </c>
      <c r="E21" s="537">
        <f t="shared" si="0"/>
        <v>0</v>
      </c>
      <c r="F21" s="537">
        <f>VLOOKUP(B21,TableA3!$B$5:$L$48,11,FALSE)</f>
        <v>-0.11881615029436016</v>
      </c>
      <c r="G21">
        <v>532.6114501953125</v>
      </c>
      <c r="N21">
        <f t="shared" si="1"/>
        <v>532.6114501953125</v>
      </c>
      <c r="O21">
        <f t="shared" si="2"/>
        <v>0</v>
      </c>
      <c r="P21">
        <f t="shared" si="3"/>
        <v>-63.282842114903367</v>
      </c>
      <c r="Q21">
        <f t="shared" si="4"/>
        <v>0</v>
      </c>
      <c r="R21">
        <f t="shared" si="5"/>
        <v>0</v>
      </c>
    </row>
    <row r="22" spans="1:18" x14ac:dyDescent="0.2">
      <c r="A22" t="s">
        <v>820</v>
      </c>
      <c r="B22" t="s">
        <v>215</v>
      </c>
      <c r="C22">
        <v>30</v>
      </c>
      <c r="D22">
        <v>30</v>
      </c>
      <c r="E22" s="537">
        <f t="shared" si="0"/>
        <v>0</v>
      </c>
      <c r="F22" s="537">
        <f>VLOOKUP(B22,TableA3!$B$5:$L$48,11,FALSE)</f>
        <v>-8.8524483144283295E-2</v>
      </c>
      <c r="G22">
        <v>1794.69580078125</v>
      </c>
      <c r="N22">
        <f t="shared" si="1"/>
        <v>1794.69580078125</v>
      </c>
      <c r="O22">
        <f t="shared" si="2"/>
        <v>0</v>
      </c>
      <c r="P22">
        <f t="shared" si="3"/>
        <v>-158.87451816537578</v>
      </c>
      <c r="Q22">
        <f t="shared" si="4"/>
        <v>0</v>
      </c>
      <c r="R22">
        <f t="shared" si="5"/>
        <v>0</v>
      </c>
    </row>
    <row r="23" spans="1:18" x14ac:dyDescent="0.2">
      <c r="A23" t="s">
        <v>671</v>
      </c>
      <c r="B23" t="s">
        <v>211</v>
      </c>
      <c r="C23">
        <v>20</v>
      </c>
      <c r="D23">
        <v>20</v>
      </c>
      <c r="E23" s="537">
        <f t="shared" si="0"/>
        <v>0</v>
      </c>
      <c r="F23" s="537">
        <f>VLOOKUP(B23,TableA3!$B$5:$L$48,11,FALSE)</f>
        <v>-4.6954964746391006E-2</v>
      </c>
      <c r="G23">
        <v>4181.83984375</v>
      </c>
      <c r="N23">
        <f t="shared" si="1"/>
        <v>4181.83984375</v>
      </c>
      <c r="O23">
        <f t="shared" si="2"/>
        <v>0</v>
      </c>
      <c r="P23">
        <f t="shared" si="3"/>
        <v>-196.35814243833451</v>
      </c>
      <c r="Q23">
        <f t="shared" si="4"/>
        <v>0</v>
      </c>
      <c r="R23">
        <f t="shared" si="5"/>
        <v>0</v>
      </c>
    </row>
    <row r="24" spans="1:18" x14ac:dyDescent="0.2">
      <c r="A24" t="s">
        <v>669</v>
      </c>
      <c r="B24" t="s">
        <v>210</v>
      </c>
      <c r="C24">
        <v>30</v>
      </c>
      <c r="D24">
        <v>30</v>
      </c>
      <c r="E24" s="537">
        <f t="shared" si="0"/>
        <v>0</v>
      </c>
      <c r="F24" s="537">
        <f>VLOOKUP(B24,TableA3!$B$5:$L$48,11,FALSE)</f>
        <v>-4.4960487001764304E-2</v>
      </c>
      <c r="G24">
        <v>1229.0068359375</v>
      </c>
      <c r="N24">
        <f t="shared" si="1"/>
        <v>1229.0068359375</v>
      </c>
      <c r="O24">
        <f t="shared" si="2"/>
        <v>0</v>
      </c>
      <c r="P24">
        <f t="shared" si="3"/>
        <v>-55.256745872247443</v>
      </c>
      <c r="Q24">
        <f t="shared" si="4"/>
        <v>0</v>
      </c>
      <c r="R24">
        <f t="shared" si="5"/>
        <v>0</v>
      </c>
    </row>
    <row r="25" spans="1:18" x14ac:dyDescent="0.2">
      <c r="A25" t="s">
        <v>738</v>
      </c>
      <c r="B25" t="s">
        <v>212</v>
      </c>
      <c r="C25">
        <v>35</v>
      </c>
      <c r="D25">
        <v>35</v>
      </c>
      <c r="E25" s="537">
        <f t="shared" si="0"/>
        <v>0</v>
      </c>
      <c r="F25" s="537">
        <f>VLOOKUP(B25,TableA3!$B$5:$L$48,11,FALSE)</f>
        <v>-3.8074567914009094E-2</v>
      </c>
      <c r="G25">
        <v>3370.518798828125</v>
      </c>
      <c r="N25">
        <f t="shared" si="1"/>
        <v>3370.518798828125</v>
      </c>
      <c r="O25">
        <f t="shared" si="2"/>
        <v>0</v>
      </c>
      <c r="P25">
        <f t="shared" si="3"/>
        <v>-128.3310469114258</v>
      </c>
      <c r="Q25">
        <f t="shared" si="4"/>
        <v>0</v>
      </c>
      <c r="R25">
        <f t="shared" si="5"/>
        <v>0</v>
      </c>
    </row>
    <row r="26" spans="1:18" x14ac:dyDescent="0.2">
      <c r="A26" t="s">
        <v>648</v>
      </c>
      <c r="B26" t="s">
        <v>81</v>
      </c>
      <c r="C26">
        <v>30</v>
      </c>
      <c r="D26">
        <v>30</v>
      </c>
      <c r="E26" s="537">
        <f t="shared" si="0"/>
        <v>0</v>
      </c>
      <c r="F26" s="537">
        <f>VLOOKUP(B26,TableA3!$B$5:$L$48,11,FALSE)</f>
        <v>-2.8343549228017101E-2</v>
      </c>
      <c r="G26">
        <v>17913.814453125</v>
      </c>
      <c r="N26">
        <f t="shared" si="1"/>
        <v>17913.814453125</v>
      </c>
      <c r="O26">
        <f t="shared" si="2"/>
        <v>0</v>
      </c>
      <c r="P26">
        <f t="shared" si="3"/>
        <v>-507.7410818137127</v>
      </c>
      <c r="Q26">
        <f t="shared" si="4"/>
        <v>0</v>
      </c>
      <c r="R26">
        <f t="shared" si="5"/>
        <v>0</v>
      </c>
    </row>
    <row r="27" spans="1:18" x14ac:dyDescent="0.2">
      <c r="A27" t="s">
        <v>627</v>
      </c>
      <c r="B27" t="s">
        <v>68</v>
      </c>
      <c r="C27">
        <v>30</v>
      </c>
      <c r="D27">
        <v>30</v>
      </c>
      <c r="E27" s="537">
        <f t="shared" si="0"/>
        <v>0</v>
      </c>
      <c r="F27" s="537">
        <f>VLOOKUP(B27,TableA3!$B$5:$L$48,11,FALSE)</f>
        <v>-8.0580149565953746E-3</v>
      </c>
      <c r="G27">
        <v>22442.501953125</v>
      </c>
      <c r="N27">
        <f t="shared" si="1"/>
        <v>22442.501953125</v>
      </c>
      <c r="O27">
        <f t="shared" si="2"/>
        <v>0</v>
      </c>
      <c r="P27">
        <f t="shared" si="3"/>
        <v>-180.84201640170215</v>
      </c>
      <c r="Q27">
        <f t="shared" si="4"/>
        <v>0</v>
      </c>
      <c r="R27">
        <f t="shared" si="5"/>
        <v>0</v>
      </c>
    </row>
    <row r="28" spans="1:18" x14ac:dyDescent="0.2">
      <c r="A28" t="s">
        <v>667</v>
      </c>
      <c r="B28" t="s">
        <v>88</v>
      </c>
      <c r="C28">
        <v>25</v>
      </c>
      <c r="D28">
        <v>25</v>
      </c>
      <c r="E28" s="537">
        <f t="shared" si="0"/>
        <v>0</v>
      </c>
      <c r="F28" s="537">
        <v>-7.6099979312877486E-3</v>
      </c>
      <c r="G28">
        <v>74011.6953125</v>
      </c>
      <c r="N28">
        <f t="shared" si="1"/>
        <v>74011.6953125</v>
      </c>
      <c r="O28">
        <f t="shared" si="2"/>
        <v>0</v>
      </c>
      <c r="P28">
        <f t="shared" si="3"/>
        <v>-563.22884821922412</v>
      </c>
      <c r="Q28">
        <f t="shared" si="4"/>
        <v>0</v>
      </c>
      <c r="R28">
        <f t="shared" si="5"/>
        <v>0</v>
      </c>
    </row>
    <row r="29" spans="1:18" x14ac:dyDescent="0.2">
      <c r="A29" t="s">
        <v>852</v>
      </c>
      <c r="B29" t="s">
        <v>216</v>
      </c>
      <c r="C29">
        <v>20</v>
      </c>
      <c r="D29">
        <v>20</v>
      </c>
      <c r="E29" s="537">
        <f t="shared" si="0"/>
        <v>0</v>
      </c>
      <c r="F29" s="537">
        <f>VLOOKUP(B29,TableA3!$B$5:$L$48,11,FALSE)</f>
        <v>-6.5133124589920044E-3</v>
      </c>
      <c r="G29">
        <v>7645.1015625</v>
      </c>
      <c r="N29">
        <f t="shared" si="1"/>
        <v>7645.1015625</v>
      </c>
      <c r="O29">
        <f t="shared" si="2"/>
        <v>0</v>
      </c>
      <c r="P29">
        <f t="shared" si="3"/>
        <v>-49.79493525729049</v>
      </c>
      <c r="Q29">
        <f t="shared" si="4"/>
        <v>0</v>
      </c>
      <c r="R29">
        <f t="shared" si="5"/>
        <v>0</v>
      </c>
    </row>
    <row r="30" spans="1:18" x14ac:dyDescent="0.2">
      <c r="A30" t="s">
        <v>767</v>
      </c>
      <c r="B30" t="s">
        <v>213</v>
      </c>
      <c r="C30">
        <v>22.5</v>
      </c>
      <c r="D30">
        <v>22.5</v>
      </c>
      <c r="E30" s="537">
        <f t="shared" si="0"/>
        <v>0</v>
      </c>
      <c r="F30" s="537">
        <f>VLOOKUP(B30,TableA3!$B$5:$L$48,11,FALSE)</f>
        <v>4.1656494140625E-3</v>
      </c>
      <c r="G30">
        <v>818.9248046875</v>
      </c>
      <c r="N30">
        <f t="shared" si="1"/>
        <v>818.9248046875</v>
      </c>
      <c r="O30">
        <f t="shared" si="2"/>
        <v>0</v>
      </c>
      <c r="P30">
        <f t="shared" si="3"/>
        <v>3.4113536328077316</v>
      </c>
      <c r="Q30">
        <f t="shared" si="4"/>
        <v>0</v>
      </c>
      <c r="R30">
        <f t="shared" si="5"/>
        <v>0</v>
      </c>
    </row>
    <row r="31" spans="1:18" x14ac:dyDescent="0.2">
      <c r="A31" t="s">
        <v>651</v>
      </c>
      <c r="B31" t="s">
        <v>580</v>
      </c>
      <c r="C31">
        <v>19</v>
      </c>
      <c r="D31">
        <v>19</v>
      </c>
      <c r="E31" s="537">
        <f t="shared" si="0"/>
        <v>0</v>
      </c>
      <c r="F31" s="537">
        <v>7.937302802608126E-3</v>
      </c>
      <c r="G31">
        <v>9835.697265625</v>
      </c>
      <c r="N31">
        <f t="shared" si="1"/>
        <v>9835.697265625</v>
      </c>
      <c r="O31">
        <f t="shared" si="2"/>
        <v>0</v>
      </c>
      <c r="P31">
        <f t="shared" si="3"/>
        <v>78.068907472050398</v>
      </c>
      <c r="Q31">
        <f t="shared" si="4"/>
        <v>0</v>
      </c>
      <c r="R31">
        <f t="shared" si="5"/>
        <v>0</v>
      </c>
    </row>
    <row r="32" spans="1:18" x14ac:dyDescent="0.2">
      <c r="A32" t="s">
        <v>632</v>
      </c>
      <c r="B32" t="s">
        <v>1004</v>
      </c>
      <c r="C32">
        <v>19</v>
      </c>
      <c r="D32">
        <v>19</v>
      </c>
      <c r="E32" s="537">
        <f t="shared" si="0"/>
        <v>0</v>
      </c>
      <c r="F32" s="537">
        <v>1.0031759008952888E-2</v>
      </c>
      <c r="G32">
        <v>4822.70166015625</v>
      </c>
      <c r="N32">
        <f t="shared" si="1"/>
        <v>4822.70166015625</v>
      </c>
      <c r="O32">
        <f t="shared" si="2"/>
        <v>0</v>
      </c>
      <c r="P32">
        <f t="shared" si="3"/>
        <v>48.380180826764509</v>
      </c>
      <c r="Q32">
        <f t="shared" si="4"/>
        <v>0</v>
      </c>
      <c r="R32">
        <f t="shared" si="5"/>
        <v>0</v>
      </c>
    </row>
    <row r="33" spans="1:18" x14ac:dyDescent="0.2">
      <c r="A33" t="s">
        <v>665</v>
      </c>
      <c r="B33" t="s">
        <v>83</v>
      </c>
      <c r="C33">
        <v>34</v>
      </c>
      <c r="D33">
        <v>34</v>
      </c>
      <c r="E33" s="537">
        <f t="shared" si="0"/>
        <v>0</v>
      </c>
      <c r="F33" s="537">
        <f>VLOOKUP(B33,TableA3!$B$5:$L$48,11,FALSE)</f>
        <v>1.2301306730119407E-2</v>
      </c>
      <c r="G33">
        <v>24106.958984375</v>
      </c>
      <c r="N33">
        <f t="shared" si="1"/>
        <v>24106.958984375</v>
      </c>
      <c r="O33">
        <f t="shared" si="2"/>
        <v>0</v>
      </c>
      <c r="P33">
        <f t="shared" si="3"/>
        <v>296.54709679720469</v>
      </c>
      <c r="Q33">
        <f t="shared" si="4"/>
        <v>0</v>
      </c>
      <c r="R33">
        <f t="shared" si="5"/>
        <v>0</v>
      </c>
    </row>
    <row r="34" spans="1:18" x14ac:dyDescent="0.2">
      <c r="A34" t="s">
        <v>650</v>
      </c>
      <c r="B34" t="s">
        <v>199</v>
      </c>
      <c r="C34">
        <v>28</v>
      </c>
      <c r="D34">
        <v>28</v>
      </c>
      <c r="E34" s="537">
        <f t="shared" si="0"/>
        <v>0</v>
      </c>
      <c r="F34" s="537">
        <f>VLOOKUP(B34,TableA3!$B$5:$L$48,11,FALSE)</f>
        <v>1.5074004843810419E-2</v>
      </c>
      <c r="G34">
        <v>2695.849609375</v>
      </c>
      <c r="N34">
        <f t="shared" si="1"/>
        <v>2695.849609375</v>
      </c>
      <c r="O34">
        <f t="shared" si="2"/>
        <v>0</v>
      </c>
      <c r="P34">
        <f t="shared" si="3"/>
        <v>40.637250069903175</v>
      </c>
      <c r="Q34">
        <f t="shared" si="4"/>
        <v>0</v>
      </c>
      <c r="R34">
        <f t="shared" si="5"/>
        <v>0</v>
      </c>
    </row>
    <row r="35" spans="1:18" x14ac:dyDescent="0.2">
      <c r="A35" t="s">
        <v>637</v>
      </c>
      <c r="B35" t="s">
        <v>192</v>
      </c>
      <c r="C35">
        <v>20</v>
      </c>
      <c r="D35">
        <v>20</v>
      </c>
      <c r="E35" s="537">
        <f t="shared" si="0"/>
        <v>0</v>
      </c>
      <c r="F35" s="537">
        <f>VLOOKUP(B35,TableA3!$B$5:$L$48,11,FALSE)</f>
        <v>4.5149135626169082E-2</v>
      </c>
      <c r="G35">
        <v>6431.09765625</v>
      </c>
      <c r="N35">
        <f t="shared" si="1"/>
        <v>6431.09765625</v>
      </c>
      <c r="O35">
        <f t="shared" si="2"/>
        <v>0</v>
      </c>
      <c r="P35">
        <f t="shared" si="3"/>
        <v>290.35850030716938</v>
      </c>
      <c r="Q35">
        <f t="shared" si="4"/>
        <v>0</v>
      </c>
      <c r="R35">
        <f t="shared" si="5"/>
        <v>0</v>
      </c>
    </row>
    <row r="36" spans="1:18" x14ac:dyDescent="0.2">
      <c r="A36" t="s">
        <v>636</v>
      </c>
      <c r="B36" t="s">
        <v>573</v>
      </c>
      <c r="C36">
        <v>20</v>
      </c>
      <c r="D36">
        <v>20</v>
      </c>
      <c r="E36" s="537">
        <f t="shared" si="0"/>
        <v>0</v>
      </c>
      <c r="F36" s="537">
        <v>0.18440561156353161</v>
      </c>
      <c r="G36">
        <v>1116.1583251953125</v>
      </c>
      <c r="N36">
        <f t="shared" si="1"/>
        <v>1116.1583251953125</v>
      </c>
      <c r="O36">
        <f t="shared" si="2"/>
        <v>0</v>
      </c>
      <c r="P36">
        <f t="shared" si="3"/>
        <v>205.82585855936878</v>
      </c>
      <c r="Q36">
        <f t="shared" si="4"/>
        <v>0</v>
      </c>
      <c r="R36">
        <f t="shared" si="5"/>
        <v>0</v>
      </c>
    </row>
    <row r="37" spans="1:18" x14ac:dyDescent="0.2">
      <c r="A37" t="s">
        <v>654</v>
      </c>
      <c r="B37" t="s">
        <v>583</v>
      </c>
      <c r="C37">
        <v>17</v>
      </c>
      <c r="D37">
        <v>19</v>
      </c>
      <c r="E37" s="537">
        <f t="shared" si="0"/>
        <v>0.02</v>
      </c>
      <c r="F37" s="537">
        <v>3.8040578984810343E-2</v>
      </c>
      <c r="G37">
        <v>844.85540771484375</v>
      </c>
      <c r="N37">
        <f t="shared" si="1"/>
        <v>844.85540771484375</v>
      </c>
      <c r="O37">
        <f t="shared" si="2"/>
        <v>16.897108154296877</v>
      </c>
      <c r="P37">
        <f t="shared" si="3"/>
        <v>32.13878886792066</v>
      </c>
      <c r="Q37">
        <f t="shared" si="4"/>
        <v>0.3379421630859375</v>
      </c>
      <c r="R37">
        <f t="shared" si="5"/>
        <v>0.64277577735841329</v>
      </c>
    </row>
    <row r="38" spans="1:18" x14ac:dyDescent="0.2">
      <c r="A38" t="s">
        <v>652</v>
      </c>
      <c r="B38" t="s">
        <v>202</v>
      </c>
      <c r="C38">
        <v>29.5</v>
      </c>
      <c r="D38">
        <v>31.5</v>
      </c>
      <c r="E38" s="537">
        <f t="shared" si="0"/>
        <v>0.02</v>
      </c>
      <c r="F38" s="537">
        <f>VLOOKUP(B38,TableA3!$B$5:$L$48,11,FALSE)</f>
        <v>6.371894889876889E-2</v>
      </c>
      <c r="G38">
        <v>4823.94921875</v>
      </c>
      <c r="N38">
        <f t="shared" si="1"/>
        <v>4823.94921875</v>
      </c>
      <c r="O38">
        <f t="shared" si="2"/>
        <v>96.478984374999996</v>
      </c>
      <c r="P38">
        <f t="shared" si="3"/>
        <v>307.37697375978735</v>
      </c>
      <c r="Q38">
        <f t="shared" si="4"/>
        <v>1.9295796875000002</v>
      </c>
      <c r="R38">
        <f t="shared" si="5"/>
        <v>6.1475394751957468</v>
      </c>
    </row>
    <row r="39" spans="1:18" x14ac:dyDescent="0.2">
      <c r="A39" t="s">
        <v>646</v>
      </c>
      <c r="B39" t="s">
        <v>1021</v>
      </c>
      <c r="C39">
        <v>24.2</v>
      </c>
      <c r="D39">
        <v>26.5</v>
      </c>
      <c r="E39" s="537">
        <f t="shared" si="0"/>
        <v>2.3000000000000007E-2</v>
      </c>
      <c r="F39" s="537">
        <v>7.6792565757069012E-3</v>
      </c>
      <c r="G39">
        <v>8986.86328125</v>
      </c>
      <c r="N39">
        <f t="shared" si="1"/>
        <v>8986.86328125</v>
      </c>
      <c r="O39">
        <f t="shared" si="2"/>
        <v>206.69785546875005</v>
      </c>
      <c r="P39">
        <f t="shared" si="3"/>
        <v>69.012428947517961</v>
      </c>
      <c r="Q39">
        <f t="shared" si="4"/>
        <v>4.7540506757812526</v>
      </c>
      <c r="R39">
        <f t="shared" si="5"/>
        <v>1.5872858657929134</v>
      </c>
    </row>
    <row r="40" spans="1:18" x14ac:dyDescent="0.2">
      <c r="A40" t="s">
        <v>631</v>
      </c>
      <c r="B40" t="s">
        <v>188</v>
      </c>
      <c r="C40">
        <v>22.5</v>
      </c>
      <c r="D40">
        <v>27</v>
      </c>
      <c r="E40" s="537">
        <f t="shared" si="0"/>
        <v>4.4999999999999998E-2</v>
      </c>
      <c r="F40" s="537">
        <f>VLOOKUP(B40,TableA3!$B$5:$L$48,11,FALSE)</f>
        <v>-3.9527185294139261E-2</v>
      </c>
      <c r="G40">
        <v>5149.791015625</v>
      </c>
      <c r="N40">
        <f t="shared" si="1"/>
        <v>5149.791015625</v>
      </c>
      <c r="O40">
        <f t="shared" si="2"/>
        <v>231.740595703125</v>
      </c>
      <c r="P40">
        <f t="shared" si="3"/>
        <v>-203.55674370070298</v>
      </c>
      <c r="Q40">
        <f t="shared" si="4"/>
        <v>10.428326806640625</v>
      </c>
      <c r="R40">
        <f t="shared" si="5"/>
        <v>-9.1600534665316342</v>
      </c>
    </row>
    <row r="41" spans="1:18" x14ac:dyDescent="0.2">
      <c r="A41" t="s">
        <v>656</v>
      </c>
      <c r="B41" t="s">
        <v>85</v>
      </c>
      <c r="C41">
        <v>20</v>
      </c>
      <c r="D41">
        <v>25</v>
      </c>
      <c r="E41" s="537">
        <f t="shared" si="0"/>
        <v>0.05</v>
      </c>
      <c r="F41" s="537">
        <v>-3.7533785823759963E-2</v>
      </c>
      <c r="G41">
        <v>5767.99072265625</v>
      </c>
      <c r="N41">
        <f t="shared" si="1"/>
        <v>5767.99072265625</v>
      </c>
      <c r="O41">
        <f t="shared" si="2"/>
        <v>288.3995361328125</v>
      </c>
      <c r="P41">
        <f t="shared" si="3"/>
        <v>-216.49452841761413</v>
      </c>
      <c r="Q41">
        <f t="shared" si="4"/>
        <v>14.419976806640628</v>
      </c>
      <c r="R41">
        <f t="shared" si="5"/>
        <v>-10.824726420880706</v>
      </c>
    </row>
    <row r="42" spans="1:18" x14ac:dyDescent="0.2">
      <c r="A42" t="s">
        <v>639</v>
      </c>
      <c r="B42" t="s">
        <v>1009</v>
      </c>
      <c r="C42">
        <v>20</v>
      </c>
      <c r="D42">
        <v>25</v>
      </c>
      <c r="E42" s="537">
        <f t="shared" si="0"/>
        <v>0.05</v>
      </c>
      <c r="F42" s="537">
        <v>5.0823499070448197E-2</v>
      </c>
      <c r="G42">
        <v>102872.9921875</v>
      </c>
      <c r="N42">
        <f t="shared" si="1"/>
        <v>102872.9921875</v>
      </c>
      <c r="O42">
        <f t="shared" si="2"/>
        <v>5143.6496093750002</v>
      </c>
      <c r="P42">
        <f t="shared" si="3"/>
        <v>5228.3654228156311</v>
      </c>
      <c r="Q42">
        <f t="shared" si="4"/>
        <v>257.18248046875004</v>
      </c>
      <c r="R42">
        <f t="shared" si="5"/>
        <v>261.41827114078154</v>
      </c>
    </row>
    <row r="43" spans="1:18" x14ac:dyDescent="0.2">
      <c r="A43" t="s">
        <v>647</v>
      </c>
      <c r="B43" t="s">
        <v>198</v>
      </c>
      <c r="C43">
        <v>15</v>
      </c>
      <c r="D43">
        <v>20</v>
      </c>
      <c r="E43" s="537">
        <f t="shared" si="0"/>
        <v>0.05</v>
      </c>
      <c r="F43" s="537">
        <f>VLOOKUP(B43,TableA3!$B$5:$L$48,11,FALSE)</f>
        <v>0.21523021244397639</v>
      </c>
      <c r="G43">
        <v>835.45074462890625</v>
      </c>
      <c r="N43">
        <f t="shared" si="1"/>
        <v>835.45074462890625</v>
      </c>
      <c r="O43">
        <f t="shared" si="2"/>
        <v>41.772537231445312</v>
      </c>
      <c r="P43">
        <f t="shared" si="3"/>
        <v>179.81424125295777</v>
      </c>
      <c r="Q43">
        <f t="shared" si="4"/>
        <v>2.0886268615722661</v>
      </c>
      <c r="R43">
        <f t="shared" si="5"/>
        <v>8.9907120626478871</v>
      </c>
    </row>
    <row r="44" spans="1:18" x14ac:dyDescent="0.2">
      <c r="A44" t="s">
        <v>668</v>
      </c>
      <c r="B44" t="s">
        <v>209</v>
      </c>
      <c r="C44">
        <v>25</v>
      </c>
      <c r="D44">
        <v>35</v>
      </c>
      <c r="E44" s="537">
        <f t="shared" si="0"/>
        <v>0.1</v>
      </c>
      <c r="F44" s="537">
        <f>VLOOKUP(B44,TableA3!$B$5:$L$48,11,FALSE)</f>
        <v>-6.0429666635153714E-3</v>
      </c>
      <c r="G44">
        <v>1089.800048828125</v>
      </c>
      <c r="N44">
        <f t="shared" si="1"/>
        <v>1089.800048828125</v>
      </c>
      <c r="O44">
        <f t="shared" si="2"/>
        <v>108.98000488281251</v>
      </c>
      <c r="P44">
        <f t="shared" si="3"/>
        <v>-6.5856253649657832</v>
      </c>
      <c r="Q44">
        <f t="shared" si="4"/>
        <v>10.898000488281252</v>
      </c>
      <c r="R44">
        <f t="shared" si="5"/>
        <v>-0.65856253649657837</v>
      </c>
    </row>
    <row r="45" spans="1:18" x14ac:dyDescent="0.2">
      <c r="F45" s="537"/>
    </row>
    <row r="46" spans="1:18" x14ac:dyDescent="0.2">
      <c r="B46" s="503" t="s">
        <v>1081</v>
      </c>
      <c r="F46" s="537"/>
    </row>
    <row r="47" spans="1:18" x14ac:dyDescent="0.2">
      <c r="B47" t="s">
        <v>459</v>
      </c>
      <c r="C47">
        <v>25.75</v>
      </c>
      <c r="D47">
        <v>24.72</v>
      </c>
      <c r="E47">
        <f t="shared" ref="E47:E68" si="6">(D47-C47)/100</f>
        <v>-1.0300000000000011E-2</v>
      </c>
      <c r="F47" s="537" t="e">
        <f>VLOOKUP(B47,TableA3!$B$5:$L$48,11,FALSE)</f>
        <v>#N/A</v>
      </c>
      <c r="N47" s="503" t="s">
        <v>1159</v>
      </c>
    </row>
    <row r="48" spans="1:18" x14ac:dyDescent="0.2">
      <c r="B48" t="s">
        <v>458</v>
      </c>
      <c r="C48">
        <v>35</v>
      </c>
      <c r="D48">
        <v>30</v>
      </c>
      <c r="E48">
        <f t="shared" si="6"/>
        <v>-0.05</v>
      </c>
      <c r="F48" s="537" t="e">
        <f>VLOOKUP(B48,TableA3!$B$5:$L$48,11,FALSE)</f>
        <v>#N/A</v>
      </c>
      <c r="N48" s="545" t="s">
        <v>1160</v>
      </c>
      <c r="O48" s="542">
        <f>SUM(N2:N44)</f>
        <v>874262.73406982422</v>
      </c>
    </row>
    <row r="49" spans="2:15" x14ac:dyDescent="0.2">
      <c r="B49" t="s">
        <v>1064</v>
      </c>
      <c r="C49">
        <v>20</v>
      </c>
      <c r="D49">
        <v>20</v>
      </c>
      <c r="E49">
        <f t="shared" si="6"/>
        <v>0</v>
      </c>
      <c r="F49" s="537" t="e">
        <f>VLOOKUP(B49,TableA3!$B$5:$L$48,11,FALSE)</f>
        <v>#N/A</v>
      </c>
      <c r="N49" s="545" t="s">
        <v>1161</v>
      </c>
      <c r="O49" s="542">
        <f>SUM(O2:O44)</f>
        <v>-28268.68303583498</v>
      </c>
    </row>
    <row r="50" spans="2:15" x14ac:dyDescent="0.2">
      <c r="B50" t="s">
        <v>1006</v>
      </c>
      <c r="C50" t="s">
        <v>1065</v>
      </c>
      <c r="D50" t="s">
        <v>1065</v>
      </c>
      <c r="E50" t="e">
        <f t="shared" si="6"/>
        <v>#VALUE!</v>
      </c>
      <c r="F50" s="537" t="e">
        <f>VLOOKUP(B50,TableA3!$B$5:$L$48,11,FALSE)</f>
        <v>#N/A</v>
      </c>
      <c r="N50" s="545" t="s">
        <v>1162</v>
      </c>
      <c r="O50" s="543">
        <f>SUM(P2:P44)</f>
        <v>3479.1051087577312</v>
      </c>
    </row>
    <row r="51" spans="2:15" x14ac:dyDescent="0.2">
      <c r="B51" t="s">
        <v>1062</v>
      </c>
      <c r="C51">
        <v>0</v>
      </c>
      <c r="D51">
        <v>0</v>
      </c>
      <c r="E51">
        <f t="shared" si="6"/>
        <v>0</v>
      </c>
      <c r="F51" s="537" t="e">
        <f>VLOOKUP(B51,TableA3!$B$5:$L$48,11,FALSE)</f>
        <v>#N/A</v>
      </c>
      <c r="N51" s="545" t="s">
        <v>1163</v>
      </c>
      <c r="O51" s="543">
        <f>SUM(Q2:Q44)</f>
        <v>4009.4785731516331</v>
      </c>
    </row>
    <row r="52" spans="2:15" x14ac:dyDescent="0.2">
      <c r="B52" t="s">
        <v>1061</v>
      </c>
      <c r="C52">
        <v>22</v>
      </c>
      <c r="D52">
        <v>20</v>
      </c>
      <c r="E52">
        <f t="shared" si="6"/>
        <v>-0.02</v>
      </c>
      <c r="F52" s="537" t="e">
        <f>VLOOKUP(B52,TableA3!$B$5:$L$48,11,FALSE)</f>
        <v>#N/A</v>
      </c>
      <c r="N52" s="545" t="s">
        <v>1164</v>
      </c>
      <c r="O52" s="543">
        <f>SUM(R2:R44)</f>
        <v>1584.1931603550336</v>
      </c>
    </row>
    <row r="53" spans="2:15" x14ac:dyDescent="0.2">
      <c r="B53" t="s">
        <v>1059</v>
      </c>
      <c r="C53">
        <v>34</v>
      </c>
      <c r="D53">
        <v>34</v>
      </c>
      <c r="E53">
        <f t="shared" si="6"/>
        <v>0</v>
      </c>
      <c r="F53" s="537" t="e">
        <f>VLOOKUP(B53,TableA3!$B$5:$L$48,11,FALSE)</f>
        <v>#N/A</v>
      </c>
      <c r="N53" s="545" t="s">
        <v>1165</v>
      </c>
      <c r="O53" s="544">
        <f>(O48*O52-O49*O50)/(O48*O51-O49^2)</f>
        <v>0.54812660072304598</v>
      </c>
    </row>
    <row r="54" spans="2:15" x14ac:dyDescent="0.2">
      <c r="B54" t="s">
        <v>450</v>
      </c>
      <c r="C54">
        <v>0</v>
      </c>
      <c r="D54">
        <v>0</v>
      </c>
      <c r="E54">
        <f t="shared" si="6"/>
        <v>0</v>
      </c>
      <c r="F54" s="537" t="e">
        <f>VLOOKUP(B54,TableA3!$B$5:$L$48,11,FALSE)</f>
        <v>#N/A</v>
      </c>
      <c r="N54" s="545" t="s">
        <v>1166</v>
      </c>
      <c r="O54" s="544">
        <f>(O50-O53*O49)/O48</f>
        <v>2.1702769097546617E-2</v>
      </c>
    </row>
    <row r="55" spans="2:15" x14ac:dyDescent="0.2">
      <c r="B55" t="s">
        <v>1056</v>
      </c>
      <c r="C55">
        <v>7.5</v>
      </c>
      <c r="D55">
        <v>15</v>
      </c>
      <c r="E55">
        <f t="shared" si="6"/>
        <v>7.4999999999999997E-2</v>
      </c>
      <c r="F55" s="537" t="e">
        <f>VLOOKUP(B55,TableA3!$B$5:$L$48,11,FALSE)</f>
        <v>#N/A</v>
      </c>
    </row>
    <row r="56" spans="2:15" x14ac:dyDescent="0.2">
      <c r="B56" t="s">
        <v>1060</v>
      </c>
      <c r="C56">
        <v>38.5</v>
      </c>
      <c r="D56">
        <v>23.1</v>
      </c>
      <c r="E56">
        <f t="shared" si="6"/>
        <v>-0.154</v>
      </c>
      <c r="F56" s="537" t="e">
        <f>VLOOKUP(B56,TableA3!$B$5:$L$48,11,FALSE)</f>
        <v>#N/A</v>
      </c>
      <c r="N56" s="503" t="s">
        <v>1167</v>
      </c>
    </row>
    <row r="57" spans="2:15" x14ac:dyDescent="0.2">
      <c r="B57" t="s">
        <v>1054</v>
      </c>
      <c r="C57" t="s">
        <v>1065</v>
      </c>
      <c r="D57" t="s">
        <v>1065</v>
      </c>
      <c r="E57" t="e">
        <f t="shared" si="6"/>
        <v>#VALUE!</v>
      </c>
      <c r="F57" s="537" t="e">
        <f>VLOOKUP(B57,TableA3!$B$5:$L$48,11,FALSE)</f>
        <v>#N/A</v>
      </c>
      <c r="N57" s="503" t="s">
        <v>1168</v>
      </c>
      <c r="O57" s="503" t="s">
        <v>1169</v>
      </c>
    </row>
    <row r="58" spans="2:15" x14ac:dyDescent="0.2">
      <c r="B58" t="s">
        <v>1053</v>
      </c>
      <c r="C58">
        <v>30</v>
      </c>
      <c r="D58">
        <v>30</v>
      </c>
      <c r="E58">
        <f t="shared" si="6"/>
        <v>0</v>
      </c>
      <c r="F58" t="e">
        <f>VLOOKUP(B58,TableA3!$B$5:$L$48,11,FALSE)</f>
        <v>#N/A</v>
      </c>
      <c r="N58" s="546">
        <f>MIN(E2:E44)</f>
        <v>-0.13229500000000002</v>
      </c>
      <c r="O58">
        <f>O54+O53*N58</f>
        <v>-5.0811639545108755E-2</v>
      </c>
    </row>
    <row r="59" spans="2:15" x14ac:dyDescent="0.2">
      <c r="B59" t="s">
        <v>566</v>
      </c>
      <c r="C59">
        <v>0</v>
      </c>
      <c r="D59">
        <v>9</v>
      </c>
      <c r="E59">
        <f t="shared" si="6"/>
        <v>0.09</v>
      </c>
      <c r="F59" t="e">
        <f>VLOOKUP(B59,TableA3!$B$5:$L$48,11,FALSE)</f>
        <v>#N/A</v>
      </c>
      <c r="N59" s="546">
        <f>MAX(E2:E44)</f>
        <v>0.1</v>
      </c>
      <c r="O59">
        <f>O54+O53*N59</f>
        <v>7.6515429169851212E-2</v>
      </c>
    </row>
    <row r="60" spans="2:15" x14ac:dyDescent="0.2">
      <c r="B60" t="s">
        <v>448</v>
      </c>
      <c r="C60">
        <v>18</v>
      </c>
      <c r="D60">
        <v>18</v>
      </c>
      <c r="E60">
        <f t="shared" si="6"/>
        <v>0</v>
      </c>
      <c r="F60" t="e">
        <f>VLOOKUP(B60,TableA3!$B$5:$L$48,11,FALSE)</f>
        <v>#N/A</v>
      </c>
    </row>
    <row r="61" spans="2:15" x14ac:dyDescent="0.2">
      <c r="B61" t="s">
        <v>447</v>
      </c>
      <c r="C61">
        <v>30</v>
      </c>
      <c r="D61">
        <v>30</v>
      </c>
      <c r="E61">
        <f t="shared" si="6"/>
        <v>0</v>
      </c>
      <c r="F61" t="e">
        <f>VLOOKUP(B61,TableA3!$B$5:$L$48,11,FALSE)</f>
        <v>#N/A</v>
      </c>
    </row>
    <row r="62" spans="2:15" x14ac:dyDescent="0.2">
      <c r="B62" t="s">
        <v>446</v>
      </c>
      <c r="C62" t="s">
        <v>1065</v>
      </c>
      <c r="D62" t="s">
        <v>1065</v>
      </c>
      <c r="E62" t="e">
        <f t="shared" si="6"/>
        <v>#VALUE!</v>
      </c>
      <c r="F62" t="e">
        <f>VLOOKUP(B62,TableA3!$B$5:$L$48,11,FALSE)</f>
        <v>#N/A</v>
      </c>
    </row>
    <row r="63" spans="2:15" x14ac:dyDescent="0.2">
      <c r="B63" t="s">
        <v>445</v>
      </c>
      <c r="C63">
        <v>0</v>
      </c>
      <c r="D63">
        <v>0</v>
      </c>
      <c r="E63">
        <f t="shared" si="6"/>
        <v>0</v>
      </c>
      <c r="F63" t="e">
        <f>VLOOKUP(B63,TableA3!$B$5:$L$48,11,FALSE)</f>
        <v>#N/A</v>
      </c>
    </row>
    <row r="64" spans="2:15" x14ac:dyDescent="0.2">
      <c r="B64" t="s">
        <v>444</v>
      </c>
      <c r="C64">
        <v>8</v>
      </c>
      <c r="D64">
        <v>8</v>
      </c>
      <c r="E64">
        <f t="shared" si="6"/>
        <v>0</v>
      </c>
      <c r="F64" t="e">
        <f>VLOOKUP(B64,TableA3!$B$5:$L$48,11,FALSE)</f>
        <v>#N/A</v>
      </c>
    </row>
    <row r="65" spans="2:6" x14ac:dyDescent="0.2">
      <c r="B65" t="s">
        <v>443</v>
      </c>
      <c r="C65">
        <v>25</v>
      </c>
      <c r="D65">
        <v>15</v>
      </c>
      <c r="E65">
        <f t="shared" si="6"/>
        <v>-0.1</v>
      </c>
      <c r="F65" t="e">
        <f>VLOOKUP(B65,TableA3!$B$5:$L$48,11,FALSE)</f>
        <v>#N/A</v>
      </c>
    </row>
    <row r="66" spans="2:6" x14ac:dyDescent="0.2">
      <c r="B66" t="s">
        <v>442</v>
      </c>
      <c r="C66">
        <v>25</v>
      </c>
      <c r="D66">
        <v>30</v>
      </c>
      <c r="E66">
        <f t="shared" si="6"/>
        <v>0.05</v>
      </c>
      <c r="F66" t="e">
        <f>VLOOKUP(B66,TableA3!$B$5:$L$48,11,FALSE)</f>
        <v>#N/A</v>
      </c>
    </row>
    <row r="67" spans="2:6" x14ac:dyDescent="0.2">
      <c r="B67" t="s">
        <v>441</v>
      </c>
      <c r="C67">
        <v>25</v>
      </c>
      <c r="D67">
        <v>25</v>
      </c>
      <c r="E67">
        <f t="shared" si="6"/>
        <v>0</v>
      </c>
      <c r="F67" t="e">
        <f>VLOOKUP(B67,TableA3!$B$5:$L$48,11,FALSE)</f>
        <v>#N/A</v>
      </c>
    </row>
    <row r="68" spans="2:6" x14ac:dyDescent="0.2">
      <c r="B68" t="s">
        <v>1051</v>
      </c>
      <c r="C68" t="s">
        <v>1065</v>
      </c>
      <c r="D68">
        <v>0</v>
      </c>
      <c r="E68" t="e">
        <f t="shared" si="6"/>
        <v>#VALUE!</v>
      </c>
      <c r="F68" t="e">
        <f>VLOOKUP(B68,TableA3!$B$5:$L$48,11,FALSE)</f>
        <v>#N/A</v>
      </c>
    </row>
    <row r="69" spans="2:6" x14ac:dyDescent="0.2">
      <c r="B69" t="s">
        <v>440</v>
      </c>
      <c r="C69">
        <v>29</v>
      </c>
      <c r="D69">
        <v>27</v>
      </c>
      <c r="E69">
        <f t="shared" ref="E69:E132" si="7">(D69-C69)/100</f>
        <v>-0.02</v>
      </c>
      <c r="F69" t="e">
        <f>VLOOKUP(B69,TableA3!$B$5:$L$48,11,FALSE)</f>
        <v>#N/A</v>
      </c>
    </row>
    <row r="70" spans="2:6" x14ac:dyDescent="0.2">
      <c r="B70" t="s">
        <v>1052</v>
      </c>
      <c r="C70">
        <v>10</v>
      </c>
      <c r="D70">
        <v>10</v>
      </c>
      <c r="E70">
        <f t="shared" si="7"/>
        <v>0</v>
      </c>
      <c r="F70" t="e">
        <f>VLOOKUP(B70,TableA3!$B$5:$L$48,11,FALSE)</f>
        <v>#N/A</v>
      </c>
    </row>
    <row r="71" spans="2:6" x14ac:dyDescent="0.2">
      <c r="B71" t="s">
        <v>1029</v>
      </c>
      <c r="C71">
        <v>10</v>
      </c>
      <c r="D71">
        <v>10</v>
      </c>
      <c r="E71">
        <f t="shared" si="7"/>
        <v>0</v>
      </c>
      <c r="F71" t="e">
        <f>VLOOKUP(B71,TableA3!$B$5:$L$48,11,FALSE)</f>
        <v>#N/A</v>
      </c>
    </row>
    <row r="72" spans="2:6" x14ac:dyDescent="0.2">
      <c r="B72" t="s">
        <v>1050</v>
      </c>
      <c r="C72">
        <v>25</v>
      </c>
      <c r="D72">
        <v>18</v>
      </c>
      <c r="E72">
        <f t="shared" si="7"/>
        <v>-7.0000000000000007E-2</v>
      </c>
      <c r="F72" t="e">
        <f>VLOOKUP(B72,TableA3!$B$5:$L$48,11,FALSE)</f>
        <v>#N/A</v>
      </c>
    </row>
    <row r="73" spans="2:6" x14ac:dyDescent="0.2">
      <c r="B73" t="s">
        <v>565</v>
      </c>
      <c r="C73">
        <v>17</v>
      </c>
      <c r="D73">
        <v>20</v>
      </c>
      <c r="E73">
        <f t="shared" si="7"/>
        <v>0.03</v>
      </c>
      <c r="F73" t="e">
        <f>VLOOKUP(B73,TableA3!$B$5:$L$48,11,FALSE)</f>
        <v>#N/A</v>
      </c>
    </row>
    <row r="74" spans="2:6" x14ac:dyDescent="0.2">
      <c r="B74" t="s">
        <v>1049</v>
      </c>
      <c r="C74">
        <v>28</v>
      </c>
      <c r="D74">
        <v>28</v>
      </c>
      <c r="E74">
        <f t="shared" si="7"/>
        <v>0</v>
      </c>
      <c r="F74" t="e">
        <f>VLOOKUP(B74,TableA3!$B$5:$L$48,11,FALSE)</f>
        <v>#N/A</v>
      </c>
    </row>
    <row r="75" spans="2:6" x14ac:dyDescent="0.2">
      <c r="B75" t="s">
        <v>61</v>
      </c>
      <c r="C75">
        <v>21.148581</v>
      </c>
      <c r="D75">
        <v>19.652999999999999</v>
      </c>
      <c r="E75">
        <f t="shared" si="7"/>
        <v>-1.4955810000000014E-2</v>
      </c>
      <c r="F75" t="e">
        <f>VLOOKUP(B75,TableA3!$B$5:$L$48,11,FALSE)</f>
        <v>#N/A</v>
      </c>
    </row>
    <row r="76" spans="2:6" x14ac:dyDescent="0.2">
      <c r="B76" t="s">
        <v>541</v>
      </c>
      <c r="C76">
        <v>27.5</v>
      </c>
      <c r="D76">
        <v>27.5</v>
      </c>
      <c r="E76">
        <f t="shared" si="7"/>
        <v>0</v>
      </c>
      <c r="F76" t="e">
        <f>VLOOKUP(B76,TableA3!$B$5:$L$48,11,FALSE)</f>
        <v>#N/A</v>
      </c>
    </row>
    <row r="77" spans="2:6" x14ac:dyDescent="0.2">
      <c r="B77" t="s">
        <v>1044</v>
      </c>
      <c r="C77" t="s">
        <v>1065</v>
      </c>
      <c r="D77" t="s">
        <v>1065</v>
      </c>
      <c r="E77" t="e">
        <f t="shared" si="7"/>
        <v>#VALUE!</v>
      </c>
      <c r="F77" t="e">
        <f>VLOOKUP(B77,TableA3!$B$5:$L$48,11,FALSE)</f>
        <v>#N/A</v>
      </c>
    </row>
    <row r="78" spans="2:6" x14ac:dyDescent="0.2">
      <c r="B78" t="s">
        <v>434</v>
      </c>
      <c r="C78">
        <v>34.5</v>
      </c>
      <c r="D78">
        <v>36</v>
      </c>
      <c r="E78">
        <f t="shared" si="7"/>
        <v>1.4999999999999999E-2</v>
      </c>
      <c r="F78" t="e">
        <f>VLOOKUP(B78,TableA3!$B$5:$L$48,11,FALSE)</f>
        <v>#N/A</v>
      </c>
    </row>
    <row r="79" spans="2:6" x14ac:dyDescent="0.2">
      <c r="B79" t="s">
        <v>433</v>
      </c>
      <c r="C79">
        <v>35</v>
      </c>
      <c r="D79">
        <v>35</v>
      </c>
      <c r="E79">
        <f t="shared" si="7"/>
        <v>0</v>
      </c>
      <c r="F79" t="e">
        <f>VLOOKUP(B79,TableA3!$B$5:$L$48,11,FALSE)</f>
        <v>#N/A</v>
      </c>
    </row>
    <row r="80" spans="2:6" x14ac:dyDescent="0.2">
      <c r="B80" t="s">
        <v>1040</v>
      </c>
      <c r="C80">
        <v>15</v>
      </c>
      <c r="D80">
        <v>15</v>
      </c>
      <c r="E80">
        <f t="shared" si="7"/>
        <v>0</v>
      </c>
      <c r="F80" t="e">
        <f>VLOOKUP(B80,TableA3!$B$5:$L$48,11,FALSE)</f>
        <v>#N/A</v>
      </c>
    </row>
    <row r="81" spans="2:6" x14ac:dyDescent="0.2">
      <c r="B81" t="s">
        <v>429</v>
      </c>
      <c r="C81">
        <v>28</v>
      </c>
      <c r="D81">
        <v>30</v>
      </c>
      <c r="E81">
        <f t="shared" si="7"/>
        <v>0.02</v>
      </c>
      <c r="F81" t="e">
        <f>VLOOKUP(B81,TableA3!$B$5:$L$48,11,FALSE)</f>
        <v>#N/A</v>
      </c>
    </row>
    <row r="82" spans="2:6" x14ac:dyDescent="0.2">
      <c r="B82" t="s">
        <v>1046</v>
      </c>
      <c r="C82">
        <v>20</v>
      </c>
      <c r="D82">
        <v>30</v>
      </c>
      <c r="E82">
        <f t="shared" si="7"/>
        <v>0.1</v>
      </c>
      <c r="F82" t="e">
        <f>VLOOKUP(B82,TableA3!$B$5:$L$48,11,FALSE)</f>
        <v>#N/A</v>
      </c>
    </row>
    <row r="83" spans="2:6" x14ac:dyDescent="0.2">
      <c r="B83" t="s">
        <v>1042</v>
      </c>
      <c r="C83" t="s">
        <v>1065</v>
      </c>
      <c r="D83" t="s">
        <v>1065</v>
      </c>
      <c r="E83" t="e">
        <f t="shared" si="7"/>
        <v>#VALUE!</v>
      </c>
      <c r="F83" t="e">
        <f>VLOOKUP(B83,TableA3!$B$5:$L$48,11,FALSE)</f>
        <v>#N/A</v>
      </c>
    </row>
    <row r="84" spans="2:6" x14ac:dyDescent="0.2">
      <c r="B84" t="s">
        <v>427</v>
      </c>
      <c r="C84" t="s">
        <v>1065</v>
      </c>
      <c r="D84" t="s">
        <v>1065</v>
      </c>
      <c r="E84" t="e">
        <f t="shared" si="7"/>
        <v>#VALUE!</v>
      </c>
      <c r="F84" t="e">
        <f>VLOOKUP(B84,TableA3!$B$5:$L$48,11,FALSE)</f>
        <v>#N/A</v>
      </c>
    </row>
    <row r="85" spans="2:6" x14ac:dyDescent="0.2">
      <c r="B85" t="s">
        <v>426</v>
      </c>
      <c r="C85">
        <v>30</v>
      </c>
      <c r="D85">
        <v>30</v>
      </c>
      <c r="E85">
        <f t="shared" si="7"/>
        <v>0</v>
      </c>
      <c r="F85" t="e">
        <f>VLOOKUP(B85,TableA3!$B$5:$L$48,11,FALSE)</f>
        <v>#N/A</v>
      </c>
    </row>
    <row r="86" spans="2:6" x14ac:dyDescent="0.2">
      <c r="B86" t="s">
        <v>1048</v>
      </c>
      <c r="C86">
        <v>34.5</v>
      </c>
      <c r="D86">
        <v>34.5</v>
      </c>
      <c r="E86">
        <f t="shared" si="7"/>
        <v>0</v>
      </c>
      <c r="F86" t="e">
        <f>VLOOKUP(B86,TableA3!$B$5:$L$48,11,FALSE)</f>
        <v>#N/A</v>
      </c>
    </row>
    <row r="87" spans="2:6" x14ac:dyDescent="0.2">
      <c r="B87" t="s">
        <v>62</v>
      </c>
      <c r="C87">
        <v>17</v>
      </c>
      <c r="D87">
        <v>17</v>
      </c>
      <c r="E87">
        <f t="shared" si="7"/>
        <v>0</v>
      </c>
      <c r="F87" t="e">
        <f>VLOOKUP(B87,TableA3!$B$5:$L$48,11,FALSE)</f>
        <v>#N/A</v>
      </c>
    </row>
    <row r="88" spans="2:6" x14ac:dyDescent="0.2">
      <c r="B88" t="s">
        <v>424</v>
      </c>
      <c r="C88">
        <v>30</v>
      </c>
      <c r="D88">
        <v>25</v>
      </c>
      <c r="E88">
        <f t="shared" si="7"/>
        <v>-0.05</v>
      </c>
      <c r="F88" t="e">
        <f>VLOOKUP(B88,TableA3!$B$5:$L$48,11,FALSE)</f>
        <v>#N/A</v>
      </c>
    </row>
    <row r="89" spans="2:6" x14ac:dyDescent="0.2">
      <c r="B89" t="s">
        <v>423</v>
      </c>
      <c r="C89">
        <v>30</v>
      </c>
      <c r="D89">
        <v>25</v>
      </c>
      <c r="E89">
        <f t="shared" si="7"/>
        <v>-0.05</v>
      </c>
      <c r="F89" t="e">
        <f>VLOOKUP(B89,TableA3!$B$5:$L$48,11,FALSE)</f>
        <v>#N/A</v>
      </c>
    </row>
    <row r="90" spans="2:6" x14ac:dyDescent="0.2">
      <c r="B90" t="s">
        <v>581</v>
      </c>
      <c r="C90">
        <v>15</v>
      </c>
      <c r="D90">
        <v>15</v>
      </c>
      <c r="E90">
        <f t="shared" si="7"/>
        <v>0</v>
      </c>
      <c r="F90" t="e">
        <f>VLOOKUP(B90,TableA3!$B$5:$L$48,11,FALSE)</f>
        <v>#N/A</v>
      </c>
    </row>
    <row r="91" spans="2:6" x14ac:dyDescent="0.2">
      <c r="B91" t="s">
        <v>421</v>
      </c>
      <c r="C91">
        <v>30</v>
      </c>
      <c r="D91">
        <v>30</v>
      </c>
      <c r="E91">
        <f t="shared" si="7"/>
        <v>0</v>
      </c>
      <c r="F91" t="e">
        <f>VLOOKUP(B91,TableA3!$B$5:$L$48,11,FALSE)</f>
        <v>#N/A</v>
      </c>
    </row>
    <row r="92" spans="2:6" x14ac:dyDescent="0.2">
      <c r="B92" t="s">
        <v>420</v>
      </c>
      <c r="C92">
        <v>20</v>
      </c>
      <c r="D92">
        <v>20</v>
      </c>
      <c r="E92">
        <f t="shared" si="7"/>
        <v>0</v>
      </c>
      <c r="F92" t="e">
        <f>VLOOKUP(B92,TableA3!$B$5:$L$48,11,FALSE)</f>
        <v>#N/A</v>
      </c>
    </row>
    <row r="93" spans="2:6" x14ac:dyDescent="0.2">
      <c r="B93" t="s">
        <v>1047</v>
      </c>
      <c r="C93">
        <v>25</v>
      </c>
      <c r="D93">
        <v>25</v>
      </c>
      <c r="E93">
        <f t="shared" si="7"/>
        <v>0</v>
      </c>
      <c r="F93" t="e">
        <f>VLOOKUP(B93,TableA3!$B$5:$L$48,11,FALSE)</f>
        <v>#N/A</v>
      </c>
    </row>
    <row r="94" spans="2:6" x14ac:dyDescent="0.2">
      <c r="B94" t="s">
        <v>842</v>
      </c>
      <c r="C94">
        <v>17</v>
      </c>
      <c r="D94">
        <v>17</v>
      </c>
      <c r="E94">
        <f t="shared" si="7"/>
        <v>0</v>
      </c>
      <c r="F94" t="e">
        <f>VLOOKUP(B94,TableA3!$B$5:$L$48,11,FALSE)</f>
        <v>#N/A</v>
      </c>
    </row>
    <row r="95" spans="2:6" x14ac:dyDescent="0.2">
      <c r="B95" t="s">
        <v>417</v>
      </c>
      <c r="C95">
        <v>27</v>
      </c>
      <c r="D95">
        <v>27</v>
      </c>
      <c r="E95">
        <f t="shared" si="7"/>
        <v>0</v>
      </c>
      <c r="F95" t="e">
        <f>VLOOKUP(B95,TableA3!$B$5:$L$48,11,FALSE)</f>
        <v>#N/A</v>
      </c>
    </row>
    <row r="96" spans="2:6" x14ac:dyDescent="0.2">
      <c r="B96" t="s">
        <v>1058</v>
      </c>
      <c r="C96">
        <v>32.5</v>
      </c>
      <c r="D96">
        <v>28</v>
      </c>
      <c r="E96">
        <f t="shared" si="7"/>
        <v>-4.4999999999999998E-2</v>
      </c>
      <c r="F96" t="e">
        <f>VLOOKUP(B96,TableA3!$B$5:$L$48,11,FALSE)</f>
        <v>#N/A</v>
      </c>
    </row>
    <row r="97" spans="2:6" x14ac:dyDescent="0.2">
      <c r="B97" t="s">
        <v>1045</v>
      </c>
      <c r="C97" t="s">
        <v>1065</v>
      </c>
      <c r="D97" t="s">
        <v>1065</v>
      </c>
      <c r="E97" t="e">
        <f t="shared" si="7"/>
        <v>#VALUE!</v>
      </c>
      <c r="F97" t="e">
        <f>VLOOKUP(B97,TableA3!$B$5:$L$48,11,FALSE)</f>
        <v>#N/A</v>
      </c>
    </row>
    <row r="98" spans="2:6" x14ac:dyDescent="0.2">
      <c r="B98" t="s">
        <v>1026</v>
      </c>
      <c r="C98">
        <v>24.5</v>
      </c>
      <c r="D98">
        <v>20</v>
      </c>
      <c r="E98">
        <f t="shared" si="7"/>
        <v>-4.4999999999999998E-2</v>
      </c>
      <c r="F98" t="e">
        <f>VLOOKUP(B98,TableA3!$B$5:$L$48,11,FALSE)</f>
        <v>#N/A</v>
      </c>
    </row>
    <row r="99" spans="2:6" x14ac:dyDescent="0.2">
      <c r="B99" t="s">
        <v>1023</v>
      </c>
      <c r="C99">
        <v>33.33</v>
      </c>
      <c r="D99">
        <v>30</v>
      </c>
      <c r="E99">
        <f t="shared" si="7"/>
        <v>-3.3299999999999982E-2</v>
      </c>
      <c r="F99" t="e">
        <f>VLOOKUP(B99,TableA3!$B$5:$L$48,11,FALSE)</f>
        <v>#N/A</v>
      </c>
    </row>
    <row r="100" spans="2:6" x14ac:dyDescent="0.2">
      <c r="B100" t="s">
        <v>1020</v>
      </c>
      <c r="C100">
        <v>33</v>
      </c>
      <c r="D100">
        <v>33</v>
      </c>
      <c r="E100">
        <f t="shared" si="7"/>
        <v>0</v>
      </c>
      <c r="F100" t="e">
        <f>VLOOKUP(B100,TableA3!$B$5:$L$48,11,FALSE)</f>
        <v>#N/A</v>
      </c>
    </row>
    <row r="101" spans="2:6" x14ac:dyDescent="0.2">
      <c r="B101" t="s">
        <v>1043</v>
      </c>
      <c r="C101" t="s">
        <v>1065</v>
      </c>
      <c r="D101">
        <v>25</v>
      </c>
      <c r="E101" t="e">
        <f t="shared" si="7"/>
        <v>#VALUE!</v>
      </c>
      <c r="F101" t="e">
        <f>VLOOKUP(B101,TableA3!$B$5:$L$48,11,FALSE)</f>
        <v>#N/A</v>
      </c>
    </row>
    <row r="102" spans="2:6" x14ac:dyDescent="0.2">
      <c r="B102" t="s">
        <v>993</v>
      </c>
      <c r="C102" t="s">
        <v>1065</v>
      </c>
      <c r="D102">
        <v>0</v>
      </c>
      <c r="E102" t="e">
        <f t="shared" si="7"/>
        <v>#VALUE!</v>
      </c>
      <c r="F102" t="e">
        <f>VLOOKUP(B102,TableA3!$B$5:$L$48,11,FALSE)</f>
        <v>#N/A</v>
      </c>
    </row>
    <row r="103" spans="2:6" x14ac:dyDescent="0.2">
      <c r="B103" t="s">
        <v>416</v>
      </c>
      <c r="C103">
        <v>30</v>
      </c>
      <c r="D103">
        <v>30</v>
      </c>
      <c r="E103">
        <f t="shared" si="7"/>
        <v>0</v>
      </c>
      <c r="F103" t="e">
        <f>VLOOKUP(B103,TableA3!$B$5:$L$48,11,FALSE)</f>
        <v>#N/A</v>
      </c>
    </row>
    <row r="104" spans="2:6" x14ac:dyDescent="0.2">
      <c r="B104" t="s">
        <v>415</v>
      </c>
      <c r="C104">
        <v>16</v>
      </c>
      <c r="D104">
        <v>16</v>
      </c>
      <c r="E104">
        <f t="shared" si="7"/>
        <v>0</v>
      </c>
      <c r="F104" t="e">
        <f>VLOOKUP(B104,TableA3!$B$5:$L$48,11,FALSE)</f>
        <v>#N/A</v>
      </c>
    </row>
    <row r="105" spans="2:6" x14ac:dyDescent="0.2">
      <c r="B105" t="s">
        <v>1041</v>
      </c>
      <c r="C105" t="s">
        <v>1065</v>
      </c>
      <c r="D105" t="s">
        <v>1065</v>
      </c>
      <c r="E105" t="e">
        <f t="shared" si="7"/>
        <v>#VALUE!</v>
      </c>
      <c r="F105" t="e">
        <f>VLOOKUP(B105,TableA3!$B$5:$L$48,11,FALSE)</f>
        <v>#N/A</v>
      </c>
    </row>
    <row r="106" spans="2:6" x14ac:dyDescent="0.2">
      <c r="B106" t="s">
        <v>1027</v>
      </c>
      <c r="C106">
        <v>18</v>
      </c>
      <c r="D106">
        <v>12</v>
      </c>
      <c r="E106">
        <f t="shared" si="7"/>
        <v>-0.06</v>
      </c>
      <c r="F106" t="e">
        <f>VLOOKUP(B106,TableA3!$B$5:$L$48,11,FALSE)</f>
        <v>#N/A</v>
      </c>
    </row>
    <row r="107" spans="2:6" x14ac:dyDescent="0.2">
      <c r="B107" t="s">
        <v>414</v>
      </c>
      <c r="C107">
        <v>10</v>
      </c>
      <c r="D107">
        <v>10</v>
      </c>
      <c r="E107">
        <f t="shared" si="7"/>
        <v>0</v>
      </c>
      <c r="F107" t="e">
        <f>VLOOKUP(B107,TableA3!$B$5:$L$48,11,FALSE)</f>
        <v>#N/A</v>
      </c>
    </row>
    <row r="108" spans="2:6" x14ac:dyDescent="0.2">
      <c r="B108" t="s">
        <v>58</v>
      </c>
      <c r="C108">
        <v>39</v>
      </c>
      <c r="D108">
        <v>37.5</v>
      </c>
      <c r="E108">
        <f t="shared" si="7"/>
        <v>-1.4999999999999999E-2</v>
      </c>
      <c r="F108" t="e">
        <f>VLOOKUP(B108,TableA3!$B$5:$L$48,11,FALSE)</f>
        <v>#N/A</v>
      </c>
    </row>
    <row r="109" spans="2:6" x14ac:dyDescent="0.2">
      <c r="B109" t="s">
        <v>1037</v>
      </c>
      <c r="C109" t="s">
        <v>1065</v>
      </c>
      <c r="D109" t="s">
        <v>1065</v>
      </c>
      <c r="E109" t="e">
        <f t="shared" si="7"/>
        <v>#VALUE!</v>
      </c>
      <c r="F109" t="e">
        <f>VLOOKUP(B109,TableA3!$B$5:$L$48,11,FALSE)</f>
        <v>#N/A</v>
      </c>
    </row>
    <row r="110" spans="2:6" x14ac:dyDescent="0.2">
      <c r="B110" t="s">
        <v>413</v>
      </c>
      <c r="C110">
        <v>30</v>
      </c>
      <c r="D110">
        <v>25</v>
      </c>
      <c r="E110">
        <f t="shared" si="7"/>
        <v>-0.05</v>
      </c>
      <c r="F110" t="e">
        <f>VLOOKUP(B110,TableA3!$B$5:$L$48,11,FALSE)</f>
        <v>#N/A</v>
      </c>
    </row>
    <row r="111" spans="2:6" x14ac:dyDescent="0.2">
      <c r="B111" t="s">
        <v>412</v>
      </c>
      <c r="C111">
        <v>30</v>
      </c>
      <c r="D111">
        <v>29.5</v>
      </c>
      <c r="E111">
        <f t="shared" si="7"/>
        <v>-5.0000000000000001E-3</v>
      </c>
      <c r="F111" t="e">
        <f>VLOOKUP(B111,TableA3!$B$5:$L$48,11,FALSE)</f>
        <v>#N/A</v>
      </c>
    </row>
    <row r="112" spans="2:6" x14ac:dyDescent="0.2">
      <c r="B112" t="s">
        <v>411</v>
      </c>
      <c r="C112">
        <v>10</v>
      </c>
      <c r="D112">
        <v>10</v>
      </c>
      <c r="E112">
        <f t="shared" si="7"/>
        <v>0</v>
      </c>
      <c r="F112" t="e">
        <f>VLOOKUP(B112,TableA3!$B$5:$L$48,11,FALSE)</f>
        <v>#N/A</v>
      </c>
    </row>
    <row r="113" spans="2:6" x14ac:dyDescent="0.2">
      <c r="B113" t="s">
        <v>410</v>
      </c>
      <c r="C113">
        <v>30</v>
      </c>
      <c r="D113">
        <v>30</v>
      </c>
      <c r="E113">
        <f t="shared" si="7"/>
        <v>0</v>
      </c>
      <c r="F113" t="e">
        <f>VLOOKUP(B113,TableA3!$B$5:$L$48,11,FALSE)</f>
        <v>#N/A</v>
      </c>
    </row>
    <row r="114" spans="2:6" x14ac:dyDescent="0.2">
      <c r="B114" t="s">
        <v>409</v>
      </c>
      <c r="C114">
        <v>25</v>
      </c>
      <c r="D114">
        <v>25</v>
      </c>
      <c r="E114">
        <f t="shared" si="7"/>
        <v>0</v>
      </c>
      <c r="F114" t="e">
        <f>VLOOKUP(B114,TableA3!$B$5:$L$48,11,FALSE)</f>
        <v>#N/A</v>
      </c>
    </row>
    <row r="115" spans="2:6" x14ac:dyDescent="0.2">
      <c r="B115" t="s">
        <v>1038</v>
      </c>
      <c r="C115" t="s">
        <v>1065</v>
      </c>
      <c r="D115" t="s">
        <v>1065</v>
      </c>
      <c r="E115" t="e">
        <f t="shared" si="7"/>
        <v>#VALUE!</v>
      </c>
      <c r="F115" t="e">
        <f>VLOOKUP(B115,TableA3!$B$5:$L$48,11,FALSE)</f>
        <v>#N/A</v>
      </c>
    </row>
    <row r="116" spans="2:6" x14ac:dyDescent="0.2">
      <c r="B116" t="s">
        <v>407</v>
      </c>
      <c r="C116">
        <v>33</v>
      </c>
      <c r="D116">
        <v>29</v>
      </c>
      <c r="E116">
        <f t="shared" si="7"/>
        <v>-0.04</v>
      </c>
      <c r="F116" t="e">
        <f>VLOOKUP(B116,TableA3!$B$5:$L$48,11,FALSE)</f>
        <v>#N/A</v>
      </c>
    </row>
    <row r="117" spans="2:6" x14ac:dyDescent="0.2">
      <c r="B117" t="s">
        <v>406</v>
      </c>
      <c r="C117">
        <v>12</v>
      </c>
      <c r="D117">
        <v>15</v>
      </c>
      <c r="E117">
        <f t="shared" si="7"/>
        <v>0.03</v>
      </c>
      <c r="F117" t="e">
        <f>VLOOKUP(B117,TableA3!$B$5:$L$48,11,FALSE)</f>
        <v>#N/A</v>
      </c>
    </row>
    <row r="118" spans="2:6" x14ac:dyDescent="0.2">
      <c r="B118" t="s">
        <v>1030</v>
      </c>
      <c r="C118">
        <v>35</v>
      </c>
      <c r="D118">
        <v>21</v>
      </c>
      <c r="E118">
        <f t="shared" si="7"/>
        <v>-0.14000000000000001</v>
      </c>
      <c r="F118" t="e">
        <f>VLOOKUP(B118,TableA3!$B$5:$L$48,11,FALSE)</f>
        <v>#N/A</v>
      </c>
    </row>
    <row r="119" spans="2:6" x14ac:dyDescent="0.2">
      <c r="B119" t="s">
        <v>1034</v>
      </c>
      <c r="C119" t="s">
        <v>1065</v>
      </c>
      <c r="D119" t="s">
        <v>1065</v>
      </c>
      <c r="E119" t="e">
        <f t="shared" si="7"/>
        <v>#VALUE!</v>
      </c>
      <c r="F119" t="e">
        <f>VLOOKUP(B119,TableA3!$B$5:$L$48,11,FALSE)</f>
        <v>#N/A</v>
      </c>
    </row>
    <row r="120" spans="2:6" x14ac:dyDescent="0.2">
      <c r="B120" t="s">
        <v>1035</v>
      </c>
      <c r="C120" t="s">
        <v>1065</v>
      </c>
      <c r="D120">
        <v>30</v>
      </c>
      <c r="E120" t="e">
        <f t="shared" si="7"/>
        <v>#VALUE!</v>
      </c>
      <c r="F120" t="e">
        <f>VLOOKUP(B120,TableA3!$B$5:$L$48,11,FALSE)</f>
        <v>#N/A</v>
      </c>
    </row>
    <row r="121" spans="2:6" x14ac:dyDescent="0.2">
      <c r="B121" t="s">
        <v>404</v>
      </c>
      <c r="C121">
        <v>30</v>
      </c>
      <c r="D121">
        <v>30</v>
      </c>
      <c r="E121">
        <f t="shared" si="7"/>
        <v>0</v>
      </c>
      <c r="F121" t="e">
        <f>VLOOKUP(B121,TableA3!$B$5:$L$48,11,FALSE)</f>
        <v>#N/A</v>
      </c>
    </row>
    <row r="122" spans="2:6" x14ac:dyDescent="0.2">
      <c r="B122" t="s">
        <v>403</v>
      </c>
      <c r="C122">
        <v>30</v>
      </c>
      <c r="D122">
        <v>30</v>
      </c>
      <c r="E122">
        <f t="shared" si="7"/>
        <v>0</v>
      </c>
      <c r="F122" t="e">
        <f>VLOOKUP(B122,TableA3!$B$5:$L$48,11,FALSE)</f>
        <v>#N/A</v>
      </c>
    </row>
    <row r="123" spans="2:6" x14ac:dyDescent="0.2">
      <c r="B123" t="s">
        <v>402</v>
      </c>
      <c r="C123" t="s">
        <v>1065</v>
      </c>
      <c r="D123">
        <v>30</v>
      </c>
      <c r="E123" t="e">
        <f t="shared" si="7"/>
        <v>#VALUE!</v>
      </c>
      <c r="F123" t="e">
        <f>VLOOKUP(B123,TableA3!$B$5:$L$48,11,FALSE)</f>
        <v>#N/A</v>
      </c>
    </row>
    <row r="124" spans="2:6" x14ac:dyDescent="0.2">
      <c r="B124" t="s">
        <v>64</v>
      </c>
      <c r="C124">
        <v>25</v>
      </c>
      <c r="D124">
        <v>25.8</v>
      </c>
      <c r="E124">
        <f t="shared" si="7"/>
        <v>8.0000000000000071E-3</v>
      </c>
      <c r="F124" t="e">
        <f>VLOOKUP(B124,TableA3!$B$5:$L$48,11,FALSE)</f>
        <v>#N/A</v>
      </c>
    </row>
    <row r="125" spans="2:6" x14ac:dyDescent="0.2">
      <c r="B125" t="s">
        <v>400</v>
      </c>
      <c r="C125">
        <v>25</v>
      </c>
      <c r="D125">
        <v>25</v>
      </c>
      <c r="E125">
        <f t="shared" si="7"/>
        <v>0</v>
      </c>
      <c r="F125" t="e">
        <f>VLOOKUP(B125,TableA3!$B$5:$L$48,11,FALSE)</f>
        <v>#N/A</v>
      </c>
    </row>
    <row r="126" spans="2:6" x14ac:dyDescent="0.2">
      <c r="B126" t="s">
        <v>1036</v>
      </c>
      <c r="C126" t="s">
        <v>1065</v>
      </c>
      <c r="D126">
        <v>25</v>
      </c>
      <c r="E126" t="e">
        <f t="shared" si="7"/>
        <v>#VALUE!</v>
      </c>
      <c r="F126" t="e">
        <f>VLOOKUP(B126,TableA3!$B$5:$L$48,11,FALSE)</f>
        <v>#N/A</v>
      </c>
    </row>
    <row r="127" spans="2:6" x14ac:dyDescent="0.2">
      <c r="B127" t="s">
        <v>398</v>
      </c>
      <c r="C127">
        <v>33</v>
      </c>
      <c r="D127">
        <v>32</v>
      </c>
      <c r="E127">
        <f t="shared" si="7"/>
        <v>-0.01</v>
      </c>
      <c r="F127" t="e">
        <f>VLOOKUP(B127,TableA3!$B$5:$L$48,11,FALSE)</f>
        <v>#N/A</v>
      </c>
    </row>
    <row r="128" spans="2:6" x14ac:dyDescent="0.2">
      <c r="B128" t="s">
        <v>397</v>
      </c>
      <c r="C128">
        <v>25</v>
      </c>
      <c r="D128">
        <v>22</v>
      </c>
      <c r="E128">
        <f t="shared" si="7"/>
        <v>-0.03</v>
      </c>
      <c r="F128" t="e">
        <f>VLOOKUP(B128,TableA3!$B$5:$L$48,11,FALSE)</f>
        <v>#N/A</v>
      </c>
    </row>
    <row r="129" spans="2:6" x14ac:dyDescent="0.2">
      <c r="B129" t="s">
        <v>540</v>
      </c>
      <c r="C129">
        <v>32</v>
      </c>
      <c r="D129">
        <v>32</v>
      </c>
      <c r="E129">
        <f t="shared" si="7"/>
        <v>0</v>
      </c>
      <c r="F129" t="e">
        <f>VLOOKUP(B129,TableA3!$B$5:$L$48,11,FALSE)</f>
        <v>#N/A</v>
      </c>
    </row>
    <row r="130" spans="2:6" x14ac:dyDescent="0.2">
      <c r="B130" t="s">
        <v>395</v>
      </c>
      <c r="C130">
        <v>30</v>
      </c>
      <c r="D130">
        <v>32</v>
      </c>
      <c r="E130">
        <f t="shared" si="7"/>
        <v>0.02</v>
      </c>
      <c r="F130" t="e">
        <f>VLOOKUP(B130,TableA3!$B$5:$L$48,11,FALSE)</f>
        <v>#N/A</v>
      </c>
    </row>
    <row r="131" spans="2:6" x14ac:dyDescent="0.2">
      <c r="B131" t="s">
        <v>394</v>
      </c>
      <c r="C131">
        <v>30</v>
      </c>
      <c r="D131">
        <v>30</v>
      </c>
      <c r="E131">
        <f t="shared" si="7"/>
        <v>0</v>
      </c>
      <c r="F131" t="e">
        <f>VLOOKUP(B131,TableA3!$B$5:$L$48,11,FALSE)</f>
        <v>#N/A</v>
      </c>
    </row>
    <row r="132" spans="2:6" x14ac:dyDescent="0.2">
      <c r="B132" t="s">
        <v>393</v>
      </c>
      <c r="C132">
        <v>9</v>
      </c>
      <c r="D132">
        <v>15</v>
      </c>
      <c r="E132">
        <f t="shared" si="7"/>
        <v>0.06</v>
      </c>
      <c r="F132" t="e">
        <f>VLOOKUP(B132,TableA3!$B$5:$L$48,11,FALSE)</f>
        <v>#N/A</v>
      </c>
    </row>
    <row r="133" spans="2:6" x14ac:dyDescent="0.2">
      <c r="B133" t="s">
        <v>392</v>
      </c>
      <c r="C133">
        <v>25</v>
      </c>
      <c r="D133">
        <v>25</v>
      </c>
      <c r="E133">
        <f t="shared" ref="E133:E196" si="8">(D133-C133)/100</f>
        <v>0</v>
      </c>
      <c r="F133" t="e">
        <f>VLOOKUP(B133,TableA3!$B$5:$L$48,11,FALSE)</f>
        <v>#N/A</v>
      </c>
    </row>
    <row r="134" spans="2:6" x14ac:dyDescent="0.2">
      <c r="B134" t="s">
        <v>579</v>
      </c>
      <c r="C134">
        <v>33.33</v>
      </c>
      <c r="D134">
        <v>25</v>
      </c>
      <c r="E134">
        <f t="shared" si="8"/>
        <v>-8.3299999999999985E-2</v>
      </c>
      <c r="F134" t="e">
        <f>VLOOKUP(B134,TableA3!$B$5:$L$48,11,FALSE)</f>
        <v>#N/A</v>
      </c>
    </row>
    <row r="135" spans="2:6" x14ac:dyDescent="0.2">
      <c r="B135" t="s">
        <v>1008</v>
      </c>
      <c r="C135">
        <v>21</v>
      </c>
      <c r="D135">
        <v>30</v>
      </c>
      <c r="E135">
        <f t="shared" si="8"/>
        <v>0.09</v>
      </c>
      <c r="F135" t="e">
        <f>VLOOKUP(B135,TableA3!$B$5:$L$48,11,FALSE)</f>
        <v>#N/A</v>
      </c>
    </row>
    <row r="136" spans="2:6" x14ac:dyDescent="0.2">
      <c r="B136" t="s">
        <v>1033</v>
      </c>
      <c r="C136" t="s">
        <v>1065</v>
      </c>
      <c r="D136" t="s">
        <v>1065</v>
      </c>
      <c r="E136" t="e">
        <f t="shared" si="8"/>
        <v>#VALUE!</v>
      </c>
      <c r="F136" t="e">
        <f>VLOOKUP(B136,TableA3!$B$5:$L$48,11,FALSE)</f>
        <v>#N/A</v>
      </c>
    </row>
    <row r="137" spans="2:6" x14ac:dyDescent="0.2">
      <c r="B137" t="s">
        <v>389</v>
      </c>
      <c r="C137">
        <v>15</v>
      </c>
      <c r="D137">
        <v>15</v>
      </c>
      <c r="E137">
        <f t="shared" si="8"/>
        <v>0</v>
      </c>
      <c r="F137" t="e">
        <f>VLOOKUP(B137,TableA3!$B$5:$L$48,11,FALSE)</f>
        <v>#N/A</v>
      </c>
    </row>
    <row r="138" spans="2:6" x14ac:dyDescent="0.2">
      <c r="B138" t="s">
        <v>1031</v>
      </c>
      <c r="C138">
        <v>25</v>
      </c>
      <c r="D138">
        <v>25</v>
      </c>
      <c r="E138">
        <f t="shared" si="8"/>
        <v>0</v>
      </c>
      <c r="F138" t="e">
        <f>VLOOKUP(B138,TableA3!$B$5:$L$48,11,FALSE)</f>
        <v>#N/A</v>
      </c>
    </row>
    <row r="139" spans="2:6" x14ac:dyDescent="0.2">
      <c r="B139" t="s">
        <v>1032</v>
      </c>
      <c r="C139" t="s">
        <v>1065</v>
      </c>
      <c r="D139" t="s">
        <v>1065</v>
      </c>
      <c r="E139" t="e">
        <f t="shared" si="8"/>
        <v>#VALUE!</v>
      </c>
      <c r="F139" t="e">
        <f>VLOOKUP(B139,TableA3!$B$5:$L$48,11,FALSE)</f>
        <v>#N/A</v>
      </c>
    </row>
    <row r="140" spans="2:6" x14ac:dyDescent="0.2">
      <c r="B140" t="s">
        <v>934</v>
      </c>
      <c r="C140" t="s">
        <v>1065</v>
      </c>
      <c r="D140" t="s">
        <v>1065</v>
      </c>
      <c r="E140" t="e">
        <f t="shared" si="8"/>
        <v>#VALUE!</v>
      </c>
      <c r="F140" t="e">
        <f>VLOOKUP(B140,TableA3!$B$5:$L$48,11,FALSE)</f>
        <v>#N/A</v>
      </c>
    </row>
    <row r="141" spans="2:6" x14ac:dyDescent="0.2">
      <c r="B141" t="s">
        <v>222</v>
      </c>
      <c r="C141">
        <v>35</v>
      </c>
      <c r="D141">
        <v>35</v>
      </c>
      <c r="E141">
        <f t="shared" si="8"/>
        <v>0</v>
      </c>
      <c r="F141" t="e">
        <f>VLOOKUP(B141,TableA3!$B$5:$L$48,11,FALSE)</f>
        <v>#N/A</v>
      </c>
    </row>
    <row r="142" spans="2:6" x14ac:dyDescent="0.2">
      <c r="B142" t="s">
        <v>386</v>
      </c>
      <c r="C142">
        <v>30</v>
      </c>
      <c r="D142">
        <v>30</v>
      </c>
      <c r="E142">
        <f t="shared" si="8"/>
        <v>0</v>
      </c>
      <c r="F142" t="e">
        <f>VLOOKUP(B142,TableA3!$B$5:$L$48,11,FALSE)</f>
        <v>#N/A</v>
      </c>
    </row>
    <row r="143" spans="2:6" x14ac:dyDescent="0.2">
      <c r="B143" t="s">
        <v>385</v>
      </c>
      <c r="C143">
        <v>15</v>
      </c>
      <c r="D143">
        <v>15</v>
      </c>
      <c r="E143">
        <f t="shared" si="8"/>
        <v>0</v>
      </c>
      <c r="F143" t="e">
        <f>VLOOKUP(B143,TableA3!$B$5:$L$48,11,FALSE)</f>
        <v>#N/A</v>
      </c>
    </row>
    <row r="144" spans="2:6" x14ac:dyDescent="0.2">
      <c r="B144" t="s">
        <v>384</v>
      </c>
      <c r="C144">
        <v>30</v>
      </c>
      <c r="D144">
        <v>30</v>
      </c>
      <c r="E144">
        <f t="shared" si="8"/>
        <v>0</v>
      </c>
      <c r="F144" t="e">
        <f>VLOOKUP(B144,TableA3!$B$5:$L$48,11,FALSE)</f>
        <v>#N/A</v>
      </c>
    </row>
    <row r="145" spans="2:6" x14ac:dyDescent="0.2">
      <c r="B145" t="s">
        <v>1028</v>
      </c>
      <c r="C145">
        <v>20</v>
      </c>
      <c r="D145">
        <v>20</v>
      </c>
      <c r="E145">
        <f t="shared" si="8"/>
        <v>0</v>
      </c>
      <c r="F145" t="e">
        <f>VLOOKUP(B145,TableA3!$B$5:$L$48,11,FALSE)</f>
        <v>#N/A</v>
      </c>
    </row>
    <row r="146" spans="2:6" x14ac:dyDescent="0.2">
      <c r="B146" t="s">
        <v>60</v>
      </c>
      <c r="C146">
        <v>29.22</v>
      </c>
      <c r="D146">
        <v>24.94</v>
      </c>
      <c r="E146">
        <f t="shared" si="8"/>
        <v>-4.2799999999999977E-2</v>
      </c>
      <c r="F146" t="e">
        <f>VLOOKUP(B146,TableA3!$B$5:$L$48,11,FALSE)</f>
        <v>#N/A</v>
      </c>
    </row>
    <row r="147" spans="2:6" x14ac:dyDescent="0.2">
      <c r="B147" t="s">
        <v>382</v>
      </c>
      <c r="C147">
        <v>15</v>
      </c>
      <c r="D147">
        <v>15</v>
      </c>
      <c r="E147">
        <f t="shared" si="8"/>
        <v>0</v>
      </c>
      <c r="F147" t="e">
        <f>VLOOKUP(B147,TableA3!$B$5:$L$48,11,FALSE)</f>
        <v>#N/A</v>
      </c>
    </row>
    <row r="148" spans="2:6" x14ac:dyDescent="0.2">
      <c r="B148" t="s">
        <v>698</v>
      </c>
      <c r="C148">
        <v>12.5</v>
      </c>
      <c r="D148">
        <v>12.5</v>
      </c>
      <c r="E148">
        <f t="shared" si="8"/>
        <v>0</v>
      </c>
      <c r="F148" t="e">
        <f>VLOOKUP(B148,TableA3!$B$5:$L$48,11,FALSE)</f>
        <v>#N/A</v>
      </c>
    </row>
    <row r="149" spans="2:6" x14ac:dyDescent="0.2">
      <c r="B149" t="s">
        <v>381</v>
      </c>
      <c r="C149">
        <v>20</v>
      </c>
      <c r="D149">
        <v>20</v>
      </c>
      <c r="E149">
        <f t="shared" si="8"/>
        <v>0</v>
      </c>
      <c r="F149" t="e">
        <f>VLOOKUP(B149,TableA3!$B$5:$L$48,11,FALSE)</f>
        <v>#N/A</v>
      </c>
    </row>
    <row r="150" spans="2:6" x14ac:dyDescent="0.2">
      <c r="B150" t="s">
        <v>380</v>
      </c>
      <c r="C150">
        <v>25</v>
      </c>
      <c r="D150">
        <v>25</v>
      </c>
      <c r="E150">
        <f t="shared" si="8"/>
        <v>0</v>
      </c>
      <c r="F150" t="e">
        <f>VLOOKUP(B150,TableA3!$B$5:$L$48,11,FALSE)</f>
        <v>#N/A</v>
      </c>
    </row>
    <row r="151" spans="2:6" x14ac:dyDescent="0.2">
      <c r="B151" t="s">
        <v>1024</v>
      </c>
      <c r="C151">
        <v>25</v>
      </c>
      <c r="D151">
        <v>25</v>
      </c>
      <c r="E151">
        <f t="shared" si="8"/>
        <v>0</v>
      </c>
      <c r="F151" t="e">
        <f>VLOOKUP(B151,TableA3!$B$5:$L$48,11,FALSE)</f>
        <v>#N/A</v>
      </c>
    </row>
    <row r="152" spans="2:6" x14ac:dyDescent="0.2">
      <c r="B152" t="s">
        <v>378</v>
      </c>
      <c r="C152">
        <v>15</v>
      </c>
      <c r="D152">
        <v>17</v>
      </c>
      <c r="E152">
        <f t="shared" si="8"/>
        <v>0.02</v>
      </c>
      <c r="F152" t="e">
        <f>VLOOKUP(B152,TableA3!$B$5:$L$48,11,FALSE)</f>
        <v>#N/A</v>
      </c>
    </row>
    <row r="153" spans="2:6" x14ac:dyDescent="0.2">
      <c r="B153" t="s">
        <v>1022</v>
      </c>
      <c r="C153">
        <v>24</v>
      </c>
      <c r="D153">
        <v>20</v>
      </c>
      <c r="E153">
        <f t="shared" si="8"/>
        <v>-0.04</v>
      </c>
      <c r="F153" t="e">
        <f>VLOOKUP(B153,TableA3!$B$5:$L$48,11,FALSE)</f>
        <v>#N/A</v>
      </c>
    </row>
    <row r="154" spans="2:6" x14ac:dyDescent="0.2">
      <c r="B154" t="s">
        <v>1019</v>
      </c>
      <c r="C154">
        <v>10</v>
      </c>
      <c r="D154">
        <v>10</v>
      </c>
      <c r="E154">
        <f t="shared" si="8"/>
        <v>0</v>
      </c>
      <c r="F154" t="e">
        <f>VLOOKUP(B154,TableA3!$B$5:$L$48,11,FALSE)</f>
        <v>#N/A</v>
      </c>
    </row>
    <row r="155" spans="2:6" x14ac:dyDescent="0.2">
      <c r="B155" t="s">
        <v>375</v>
      </c>
      <c r="C155">
        <v>15</v>
      </c>
      <c r="D155">
        <v>15</v>
      </c>
      <c r="E155">
        <f t="shared" si="8"/>
        <v>0</v>
      </c>
      <c r="F155" t="e">
        <f>VLOOKUP(B155,TableA3!$B$5:$L$48,11,FALSE)</f>
        <v>#N/A</v>
      </c>
    </row>
    <row r="156" spans="2:6" x14ac:dyDescent="0.2">
      <c r="B156" t="s">
        <v>1063</v>
      </c>
      <c r="C156">
        <v>10</v>
      </c>
      <c r="D156">
        <v>10</v>
      </c>
      <c r="E156">
        <f t="shared" si="8"/>
        <v>0</v>
      </c>
      <c r="F156" t="e">
        <f>VLOOKUP(B156,TableA3!$B$5:$L$48,11,FALSE)</f>
        <v>#N/A</v>
      </c>
    </row>
    <row r="157" spans="2:6" x14ac:dyDescent="0.2">
      <c r="B157" t="s">
        <v>373</v>
      </c>
      <c r="C157">
        <v>35</v>
      </c>
      <c r="D157">
        <v>30</v>
      </c>
      <c r="E157">
        <f t="shared" si="8"/>
        <v>-0.05</v>
      </c>
      <c r="F157" t="e">
        <f>VLOOKUP(B157,TableA3!$B$5:$L$48,11,FALSE)</f>
        <v>#N/A</v>
      </c>
    </row>
    <row r="158" spans="2:6" x14ac:dyDescent="0.2">
      <c r="B158" t="s">
        <v>372</v>
      </c>
      <c r="C158">
        <v>30</v>
      </c>
      <c r="D158">
        <v>30</v>
      </c>
      <c r="E158">
        <f t="shared" si="8"/>
        <v>0</v>
      </c>
      <c r="F158" t="e">
        <f>VLOOKUP(B158,TableA3!$B$5:$L$48,11,FALSE)</f>
        <v>#N/A</v>
      </c>
    </row>
    <row r="159" spans="2:6" x14ac:dyDescent="0.2">
      <c r="B159" t="s">
        <v>562</v>
      </c>
      <c r="C159">
        <v>20</v>
      </c>
      <c r="D159">
        <v>20</v>
      </c>
      <c r="E159">
        <f t="shared" si="8"/>
        <v>0</v>
      </c>
      <c r="F159" t="e">
        <f>VLOOKUP(B159,TableA3!$B$5:$L$48,11,FALSE)</f>
        <v>#N/A</v>
      </c>
    </row>
    <row r="160" spans="2:6" x14ac:dyDescent="0.2">
      <c r="B160" t="s">
        <v>370</v>
      </c>
      <c r="C160">
        <v>20</v>
      </c>
      <c r="D160">
        <v>20</v>
      </c>
      <c r="E160">
        <f t="shared" si="8"/>
        <v>0</v>
      </c>
      <c r="F160" t="e">
        <f>VLOOKUP(B160,TableA3!$B$5:$L$48,11,FALSE)</f>
        <v>#N/A</v>
      </c>
    </row>
    <row r="161" spans="2:6" x14ac:dyDescent="0.2">
      <c r="B161" t="s">
        <v>577</v>
      </c>
      <c r="C161">
        <v>0</v>
      </c>
      <c r="D161">
        <v>0</v>
      </c>
      <c r="E161">
        <f t="shared" si="8"/>
        <v>0</v>
      </c>
      <c r="F161" t="e">
        <f>VLOOKUP(B161,TableA3!$B$5:$L$48,11,FALSE)</f>
        <v>#N/A</v>
      </c>
    </row>
    <row r="162" spans="2:6" x14ac:dyDescent="0.2">
      <c r="B162" t="s">
        <v>369</v>
      </c>
      <c r="C162">
        <v>25</v>
      </c>
      <c r="D162">
        <v>25</v>
      </c>
      <c r="E162">
        <f t="shared" si="8"/>
        <v>0</v>
      </c>
      <c r="F162" t="e">
        <f>VLOOKUP(B162,TableA3!$B$5:$L$48,11,FALSE)</f>
        <v>#N/A</v>
      </c>
    </row>
    <row r="163" spans="2:6" x14ac:dyDescent="0.2">
      <c r="B163" t="s">
        <v>576</v>
      </c>
      <c r="C163">
        <v>0</v>
      </c>
      <c r="D163">
        <v>0</v>
      </c>
      <c r="E163">
        <f t="shared" si="8"/>
        <v>0</v>
      </c>
      <c r="F163" t="e">
        <f>VLOOKUP(B163,TableA3!$B$5:$L$48,11,FALSE)</f>
        <v>#N/A</v>
      </c>
    </row>
    <row r="164" spans="2:6" x14ac:dyDescent="0.2">
      <c r="B164" t="s">
        <v>59</v>
      </c>
      <c r="C164">
        <v>12.5</v>
      </c>
      <c r="D164">
        <v>12.5</v>
      </c>
      <c r="E164">
        <f t="shared" si="8"/>
        <v>0</v>
      </c>
      <c r="F164" t="e">
        <f>VLOOKUP(B164,TableA3!$B$5:$L$48,11,FALSE)</f>
        <v>#N/A</v>
      </c>
    </row>
    <row r="165" spans="2:6" x14ac:dyDescent="0.2">
      <c r="B165" t="s">
        <v>368</v>
      </c>
      <c r="C165">
        <v>15</v>
      </c>
      <c r="D165">
        <v>15</v>
      </c>
      <c r="E165">
        <f t="shared" si="8"/>
        <v>0</v>
      </c>
      <c r="F165" t="e">
        <f>VLOOKUP(B165,TableA3!$B$5:$L$48,11,FALSE)</f>
        <v>#N/A</v>
      </c>
    </row>
    <row r="166" spans="2:6" x14ac:dyDescent="0.2">
      <c r="B166" t="s">
        <v>1018</v>
      </c>
      <c r="C166">
        <v>25</v>
      </c>
      <c r="D166">
        <v>25</v>
      </c>
      <c r="E166">
        <f t="shared" si="8"/>
        <v>0</v>
      </c>
      <c r="F166" t="e">
        <f>VLOOKUP(B166,TableA3!$B$5:$L$48,11,FALSE)</f>
        <v>#N/A</v>
      </c>
    </row>
    <row r="167" spans="2:6" x14ac:dyDescent="0.2">
      <c r="B167" t="s">
        <v>366</v>
      </c>
      <c r="C167">
        <v>25</v>
      </c>
      <c r="D167">
        <v>22</v>
      </c>
      <c r="E167">
        <f t="shared" si="8"/>
        <v>-0.03</v>
      </c>
      <c r="F167" t="e">
        <f>VLOOKUP(B167,TableA3!$B$5:$L$48,11,FALSE)</f>
        <v>#N/A</v>
      </c>
    </row>
    <row r="168" spans="2:6" x14ac:dyDescent="0.2">
      <c r="B168" t="s">
        <v>365</v>
      </c>
      <c r="C168">
        <v>30</v>
      </c>
      <c r="D168">
        <v>30</v>
      </c>
      <c r="E168">
        <f t="shared" si="8"/>
        <v>0</v>
      </c>
      <c r="F168" t="e">
        <f>VLOOKUP(B168,TableA3!$B$5:$L$48,11,FALSE)</f>
        <v>#N/A</v>
      </c>
    </row>
    <row r="169" spans="2:6" x14ac:dyDescent="0.2">
      <c r="B169" t="s">
        <v>1057</v>
      </c>
      <c r="C169" t="s">
        <v>1065</v>
      </c>
      <c r="D169" t="s">
        <v>1065</v>
      </c>
      <c r="E169" t="e">
        <f t="shared" si="8"/>
        <v>#VALUE!</v>
      </c>
      <c r="F169" t="e">
        <f>VLOOKUP(B169,TableA3!$B$5:$L$48,11,FALSE)</f>
        <v>#N/A</v>
      </c>
    </row>
    <row r="170" spans="2:6" x14ac:dyDescent="0.2">
      <c r="B170" t="s">
        <v>1016</v>
      </c>
      <c r="C170" t="s">
        <v>1065</v>
      </c>
      <c r="D170" t="s">
        <v>1065</v>
      </c>
      <c r="E170" t="e">
        <f t="shared" si="8"/>
        <v>#VALUE!</v>
      </c>
      <c r="F170" t="e">
        <f>VLOOKUP(B170,TableA3!$B$5:$L$48,11,FALSE)</f>
        <v>#N/A</v>
      </c>
    </row>
    <row r="171" spans="2:6" x14ac:dyDescent="0.2">
      <c r="B171" t="s">
        <v>364</v>
      </c>
      <c r="C171">
        <v>30</v>
      </c>
      <c r="D171">
        <v>30</v>
      </c>
      <c r="E171">
        <f t="shared" si="8"/>
        <v>0</v>
      </c>
      <c r="F171" t="e">
        <f>VLOOKUP(B171,TableA3!$B$5:$L$48,11,FALSE)</f>
        <v>#N/A</v>
      </c>
    </row>
    <row r="172" spans="2:6" x14ac:dyDescent="0.2">
      <c r="B172" t="s">
        <v>363</v>
      </c>
      <c r="C172">
        <v>30</v>
      </c>
      <c r="D172">
        <v>25</v>
      </c>
      <c r="E172">
        <f t="shared" si="8"/>
        <v>-0.05</v>
      </c>
      <c r="F172" t="e">
        <f>VLOOKUP(B172,TableA3!$B$5:$L$48,11,FALSE)</f>
        <v>#N/A</v>
      </c>
    </row>
    <row r="173" spans="2:6" x14ac:dyDescent="0.2">
      <c r="B173" t="s">
        <v>362</v>
      </c>
      <c r="C173">
        <v>25</v>
      </c>
      <c r="D173">
        <v>25</v>
      </c>
      <c r="E173">
        <f t="shared" si="8"/>
        <v>0</v>
      </c>
      <c r="F173" t="e">
        <f>VLOOKUP(B173,TableA3!$B$5:$L$48,11,FALSE)</f>
        <v>#N/A</v>
      </c>
    </row>
    <row r="174" spans="2:6" x14ac:dyDescent="0.2">
      <c r="B174" t="s">
        <v>361</v>
      </c>
      <c r="C174">
        <v>35</v>
      </c>
      <c r="D174">
        <v>25</v>
      </c>
      <c r="E174">
        <f t="shared" si="8"/>
        <v>-0.1</v>
      </c>
      <c r="F174" t="e">
        <f>VLOOKUP(B174,TableA3!$B$5:$L$48,11,FALSE)</f>
        <v>#N/A</v>
      </c>
    </row>
    <row r="175" spans="2:6" x14ac:dyDescent="0.2">
      <c r="B175" t="s">
        <v>575</v>
      </c>
      <c r="C175">
        <v>0</v>
      </c>
      <c r="D175">
        <v>0</v>
      </c>
      <c r="E175">
        <f t="shared" si="8"/>
        <v>0</v>
      </c>
      <c r="F175" t="e">
        <f>VLOOKUP(B175,TableA3!$B$5:$L$48,11,FALSE)</f>
        <v>#N/A</v>
      </c>
    </row>
    <row r="176" spans="2:6" x14ac:dyDescent="0.2">
      <c r="B176" t="s">
        <v>360</v>
      </c>
      <c r="C176">
        <v>25</v>
      </c>
      <c r="D176">
        <v>25</v>
      </c>
      <c r="E176">
        <f t="shared" si="8"/>
        <v>0</v>
      </c>
      <c r="F176" t="e">
        <f>VLOOKUP(B176,TableA3!$B$5:$L$48,11,FALSE)</f>
        <v>#N/A</v>
      </c>
    </row>
    <row r="177" spans="2:6" x14ac:dyDescent="0.2">
      <c r="B177" t="s">
        <v>561</v>
      </c>
      <c r="C177">
        <v>35</v>
      </c>
      <c r="D177">
        <v>21</v>
      </c>
      <c r="E177">
        <f t="shared" si="8"/>
        <v>-0.14000000000000001</v>
      </c>
      <c r="F177" t="e">
        <f>VLOOKUP(B177,TableA3!$B$5:$L$48,11,FALSE)</f>
        <v>#N/A</v>
      </c>
    </row>
    <row r="178" spans="2:6" x14ac:dyDescent="0.2">
      <c r="B178" t="s">
        <v>1010</v>
      </c>
      <c r="C178" t="s">
        <v>1065</v>
      </c>
      <c r="D178" t="s">
        <v>1065</v>
      </c>
      <c r="E178" t="e">
        <f t="shared" si="8"/>
        <v>#VALUE!</v>
      </c>
      <c r="F178" t="e">
        <f>VLOOKUP(B178,TableA3!$B$5:$L$48,11,FALSE)</f>
        <v>#N/A</v>
      </c>
    </row>
    <row r="179" spans="2:6" x14ac:dyDescent="0.2">
      <c r="B179" t="s">
        <v>359</v>
      </c>
      <c r="C179">
        <v>30</v>
      </c>
      <c r="D179">
        <v>28</v>
      </c>
      <c r="E179">
        <f t="shared" si="8"/>
        <v>-0.02</v>
      </c>
      <c r="F179" t="e">
        <f>VLOOKUP(B179,TableA3!$B$5:$L$48,11,FALSE)</f>
        <v>#N/A</v>
      </c>
    </row>
    <row r="180" spans="2:6" x14ac:dyDescent="0.2">
      <c r="B180" t="s">
        <v>1013</v>
      </c>
      <c r="C180">
        <v>30</v>
      </c>
      <c r="D180">
        <v>26.5</v>
      </c>
      <c r="E180">
        <f t="shared" si="8"/>
        <v>-3.5000000000000003E-2</v>
      </c>
      <c r="F180" t="e">
        <f>VLOOKUP(B180,TableA3!$B$5:$L$48,11,FALSE)</f>
        <v>#N/A</v>
      </c>
    </row>
    <row r="181" spans="2:6" x14ac:dyDescent="0.2">
      <c r="B181" t="s">
        <v>574</v>
      </c>
      <c r="C181">
        <v>10</v>
      </c>
      <c r="D181">
        <v>12.5</v>
      </c>
      <c r="E181">
        <f t="shared" si="8"/>
        <v>2.5000000000000001E-2</v>
      </c>
      <c r="F181" t="e">
        <f>VLOOKUP(B181,TableA3!$B$5:$L$48,11,FALSE)</f>
        <v>#N/A</v>
      </c>
    </row>
    <row r="182" spans="2:6" x14ac:dyDescent="0.2">
      <c r="B182" t="s">
        <v>358</v>
      </c>
      <c r="C182">
        <v>25</v>
      </c>
      <c r="D182">
        <v>25</v>
      </c>
      <c r="E182">
        <f t="shared" si="8"/>
        <v>0</v>
      </c>
      <c r="F182" t="e">
        <f>VLOOKUP(B182,TableA3!$B$5:$L$48,11,FALSE)</f>
        <v>#N/A</v>
      </c>
    </row>
    <row r="183" spans="2:6" x14ac:dyDescent="0.2">
      <c r="B183" t="s">
        <v>357</v>
      </c>
      <c r="C183">
        <v>15</v>
      </c>
      <c r="D183">
        <v>15</v>
      </c>
      <c r="E183">
        <f t="shared" si="8"/>
        <v>0</v>
      </c>
      <c r="F183" t="e">
        <f>VLOOKUP(B183,TableA3!$B$5:$L$48,11,FALSE)</f>
        <v>#N/A</v>
      </c>
    </row>
    <row r="184" spans="2:6" x14ac:dyDescent="0.2">
      <c r="B184" t="s">
        <v>1011</v>
      </c>
      <c r="C184">
        <v>31</v>
      </c>
      <c r="D184">
        <v>27</v>
      </c>
      <c r="E184">
        <f t="shared" si="8"/>
        <v>-0.04</v>
      </c>
      <c r="F184" t="e">
        <f>VLOOKUP(B184,TableA3!$B$5:$L$48,11,FALSE)</f>
        <v>#N/A</v>
      </c>
    </row>
    <row r="185" spans="2:6" x14ac:dyDescent="0.2">
      <c r="B185" t="s">
        <v>355</v>
      </c>
      <c r="C185">
        <v>30</v>
      </c>
      <c r="D185">
        <v>30</v>
      </c>
      <c r="E185">
        <f t="shared" si="8"/>
        <v>0</v>
      </c>
      <c r="F185" t="e">
        <f>VLOOKUP(B185,TableA3!$B$5:$L$48,11,FALSE)</f>
        <v>#N/A</v>
      </c>
    </row>
    <row r="186" spans="2:6" x14ac:dyDescent="0.2">
      <c r="B186" t="s">
        <v>992</v>
      </c>
      <c r="C186" t="s">
        <v>1065</v>
      </c>
      <c r="D186" t="s">
        <v>1065</v>
      </c>
      <c r="E186" t="e">
        <f t="shared" si="8"/>
        <v>#VALUE!</v>
      </c>
      <c r="F186" t="e">
        <f>VLOOKUP(B186,TableA3!$B$5:$L$48,11,FALSE)</f>
        <v>#N/A</v>
      </c>
    </row>
    <row r="187" spans="2:6" x14ac:dyDescent="0.2">
      <c r="B187" t="s">
        <v>354</v>
      </c>
      <c r="C187" t="s">
        <v>1065</v>
      </c>
      <c r="D187">
        <v>25</v>
      </c>
      <c r="E187" t="e">
        <f t="shared" si="8"/>
        <v>#VALUE!</v>
      </c>
      <c r="F187" t="e">
        <f>VLOOKUP(B187,TableA3!$B$5:$L$48,11,FALSE)</f>
        <v>#N/A</v>
      </c>
    </row>
    <row r="188" spans="2:6" x14ac:dyDescent="0.2">
      <c r="B188" t="s">
        <v>1014</v>
      </c>
      <c r="C188" t="s">
        <v>1065</v>
      </c>
      <c r="D188" t="s">
        <v>1065</v>
      </c>
      <c r="E188" t="e">
        <f t="shared" si="8"/>
        <v>#VALUE!</v>
      </c>
      <c r="F188" t="e">
        <f>VLOOKUP(B188,TableA3!$B$5:$L$48,11,FALSE)</f>
        <v>#N/A</v>
      </c>
    </row>
    <row r="189" spans="2:6" x14ac:dyDescent="0.2">
      <c r="B189" t="s">
        <v>560</v>
      </c>
      <c r="C189">
        <v>20</v>
      </c>
      <c r="D189">
        <v>20</v>
      </c>
      <c r="E189">
        <f t="shared" si="8"/>
        <v>0</v>
      </c>
      <c r="F189" t="e">
        <f>VLOOKUP(B189,TableA3!$B$5:$L$48,11,FALSE)</f>
        <v>#N/A</v>
      </c>
    </row>
    <row r="190" spans="2:6" x14ac:dyDescent="0.2">
      <c r="B190" t="s">
        <v>352</v>
      </c>
      <c r="C190">
        <v>18</v>
      </c>
      <c r="D190">
        <v>18</v>
      </c>
      <c r="E190">
        <f t="shared" si="8"/>
        <v>0</v>
      </c>
      <c r="F190" t="e">
        <f>VLOOKUP(B190,TableA3!$B$5:$L$48,11,FALSE)</f>
        <v>#N/A</v>
      </c>
    </row>
    <row r="191" spans="2:6" x14ac:dyDescent="0.2">
      <c r="B191" t="s">
        <v>1007</v>
      </c>
      <c r="C191">
        <v>26</v>
      </c>
      <c r="D191">
        <v>26</v>
      </c>
      <c r="E191">
        <f t="shared" si="8"/>
        <v>0</v>
      </c>
      <c r="F191" t="e">
        <f>VLOOKUP(B191,TableA3!$B$5:$L$48,11,FALSE)</f>
        <v>#N/A</v>
      </c>
    </row>
    <row r="192" spans="2:6" x14ac:dyDescent="0.2">
      <c r="B192" t="s">
        <v>539</v>
      </c>
      <c r="C192">
        <v>30</v>
      </c>
      <c r="D192">
        <v>30</v>
      </c>
      <c r="E192">
        <f t="shared" si="8"/>
        <v>0</v>
      </c>
      <c r="F192" t="e">
        <f>VLOOKUP(B192,TableA3!$B$5:$L$48,11,FALSE)</f>
        <v>#N/A</v>
      </c>
    </row>
    <row r="193" spans="2:6" x14ac:dyDescent="0.2">
      <c r="B193" t="s">
        <v>1005</v>
      </c>
      <c r="C193">
        <v>30</v>
      </c>
      <c r="D193">
        <v>30</v>
      </c>
      <c r="E193">
        <f t="shared" si="8"/>
        <v>0</v>
      </c>
      <c r="F193" t="e">
        <f>VLOOKUP(B193,TableA3!$B$5:$L$48,11,FALSE)</f>
        <v>#N/A</v>
      </c>
    </row>
    <row r="194" spans="2:6" x14ac:dyDescent="0.2">
      <c r="B194" t="s">
        <v>1012</v>
      </c>
      <c r="C194">
        <v>35</v>
      </c>
      <c r="D194">
        <v>35</v>
      </c>
      <c r="E194">
        <f t="shared" si="8"/>
        <v>0</v>
      </c>
      <c r="F194" t="e">
        <f>VLOOKUP(B194,TableA3!$B$5:$L$48,11,FALSE)</f>
        <v>#N/A</v>
      </c>
    </row>
    <row r="195" spans="2:6" x14ac:dyDescent="0.2">
      <c r="B195" t="s">
        <v>346</v>
      </c>
      <c r="C195">
        <v>30</v>
      </c>
      <c r="D195">
        <v>30</v>
      </c>
      <c r="E195">
        <f t="shared" si="8"/>
        <v>0</v>
      </c>
      <c r="F195" t="e">
        <f>VLOOKUP(B195,TableA3!$B$5:$L$48,11,FALSE)</f>
        <v>#N/A</v>
      </c>
    </row>
    <row r="196" spans="2:6" x14ac:dyDescent="0.2">
      <c r="B196" t="s">
        <v>344</v>
      </c>
      <c r="C196">
        <v>22</v>
      </c>
      <c r="D196">
        <v>25</v>
      </c>
      <c r="E196">
        <f t="shared" si="8"/>
        <v>0.03</v>
      </c>
      <c r="F196" t="e">
        <f>VLOOKUP(B196,TableA3!$B$5:$L$48,11,FALSE)</f>
        <v>#N/A</v>
      </c>
    </row>
    <row r="197" spans="2:6" x14ac:dyDescent="0.2">
      <c r="B197" t="s">
        <v>549</v>
      </c>
      <c r="C197">
        <v>27</v>
      </c>
      <c r="D197">
        <v>27</v>
      </c>
      <c r="E197">
        <f t="shared" ref="E197:E252" si="9">(D197-C197)/100</f>
        <v>0</v>
      </c>
      <c r="F197" t="e">
        <f>VLOOKUP(B197,TableA3!$B$5:$L$48,11,FALSE)</f>
        <v>#N/A</v>
      </c>
    </row>
    <row r="198" spans="2:6" x14ac:dyDescent="0.2">
      <c r="B198" t="s">
        <v>341</v>
      </c>
      <c r="C198">
        <v>28</v>
      </c>
      <c r="D198">
        <v>25</v>
      </c>
      <c r="E198">
        <f t="shared" si="9"/>
        <v>-0.03</v>
      </c>
      <c r="F198" t="e">
        <f>VLOOKUP(B198,TableA3!$B$5:$L$48,11,FALSE)</f>
        <v>#N/A</v>
      </c>
    </row>
    <row r="199" spans="2:6" x14ac:dyDescent="0.2">
      <c r="B199" t="s">
        <v>340</v>
      </c>
      <c r="C199">
        <v>25</v>
      </c>
      <c r="D199">
        <v>25</v>
      </c>
      <c r="E199">
        <f t="shared" si="9"/>
        <v>0</v>
      </c>
      <c r="F199" t="e">
        <f>VLOOKUP(B199,TableA3!$B$5:$L$48,11,FALSE)</f>
        <v>#N/A</v>
      </c>
    </row>
    <row r="200" spans="2:6" x14ac:dyDescent="0.2">
      <c r="B200" t="s">
        <v>999</v>
      </c>
      <c r="C200">
        <v>35</v>
      </c>
      <c r="D200">
        <v>30</v>
      </c>
      <c r="E200">
        <f t="shared" si="9"/>
        <v>-0.05</v>
      </c>
      <c r="F200" t="e">
        <f>VLOOKUP(B200,TableA3!$B$5:$L$48,11,FALSE)</f>
        <v>#N/A</v>
      </c>
    </row>
    <row r="201" spans="2:6" x14ac:dyDescent="0.2">
      <c r="B201" t="s">
        <v>1039</v>
      </c>
      <c r="C201" t="s">
        <v>1065</v>
      </c>
      <c r="D201" t="s">
        <v>1065</v>
      </c>
      <c r="E201" t="e">
        <f t="shared" si="9"/>
        <v>#VALUE!</v>
      </c>
      <c r="F201" t="e">
        <f>VLOOKUP(B201,TableA3!$B$5:$L$48,11,FALSE)</f>
        <v>#N/A</v>
      </c>
    </row>
    <row r="202" spans="2:6" x14ac:dyDescent="0.2">
      <c r="B202" t="s">
        <v>338</v>
      </c>
      <c r="C202">
        <v>12.5</v>
      </c>
      <c r="D202">
        <v>12.5</v>
      </c>
      <c r="E202">
        <f t="shared" si="9"/>
        <v>0</v>
      </c>
      <c r="F202" t="e">
        <f>VLOOKUP(B202,TableA3!$B$5:$L$48,11,FALSE)</f>
        <v>#N/A</v>
      </c>
    </row>
    <row r="203" spans="2:6" x14ac:dyDescent="0.2">
      <c r="B203" t="s">
        <v>548</v>
      </c>
      <c r="C203">
        <v>25</v>
      </c>
      <c r="D203">
        <v>22</v>
      </c>
      <c r="E203">
        <f t="shared" si="9"/>
        <v>-0.03</v>
      </c>
      <c r="F203" t="e">
        <f>VLOOKUP(B203,TableA3!$B$5:$L$48,11,FALSE)</f>
        <v>#N/A</v>
      </c>
    </row>
    <row r="204" spans="2:6" x14ac:dyDescent="0.2">
      <c r="B204" t="s">
        <v>760</v>
      </c>
      <c r="C204">
        <v>35</v>
      </c>
      <c r="D204">
        <v>35</v>
      </c>
      <c r="E204">
        <f t="shared" si="9"/>
        <v>0</v>
      </c>
      <c r="F204" t="e">
        <f>VLOOKUP(B204,TableA3!$B$5:$L$48,11,FALSE)</f>
        <v>#N/A</v>
      </c>
    </row>
    <row r="205" spans="2:6" x14ac:dyDescent="0.2">
      <c r="B205" t="s">
        <v>571</v>
      </c>
      <c r="C205">
        <v>20</v>
      </c>
      <c r="D205">
        <v>18</v>
      </c>
      <c r="E205">
        <f t="shared" si="9"/>
        <v>-0.02</v>
      </c>
      <c r="F205" t="e">
        <f>VLOOKUP(B205,TableA3!$B$5:$L$48,11,FALSE)</f>
        <v>#N/A</v>
      </c>
    </row>
    <row r="206" spans="2:6" x14ac:dyDescent="0.2">
      <c r="B206" t="s">
        <v>998</v>
      </c>
      <c r="C206">
        <v>25</v>
      </c>
      <c r="D206">
        <v>25</v>
      </c>
      <c r="E206">
        <f t="shared" si="9"/>
        <v>0</v>
      </c>
      <c r="F206" t="e">
        <f>VLOOKUP(B206,TableA3!$B$5:$L$48,11,FALSE)</f>
        <v>#N/A</v>
      </c>
    </row>
    <row r="207" spans="2:6" x14ac:dyDescent="0.2">
      <c r="B207" t="s">
        <v>1001</v>
      </c>
      <c r="C207">
        <v>0</v>
      </c>
      <c r="D207">
        <v>20</v>
      </c>
      <c r="E207">
        <f t="shared" si="9"/>
        <v>0.2</v>
      </c>
      <c r="F207" t="e">
        <f>VLOOKUP(B207,TableA3!$B$5:$L$48,11,FALSE)</f>
        <v>#N/A</v>
      </c>
    </row>
    <row r="208" spans="2:6" x14ac:dyDescent="0.2">
      <c r="B208" t="s">
        <v>1000</v>
      </c>
      <c r="C208">
        <v>30</v>
      </c>
      <c r="D208">
        <v>28</v>
      </c>
      <c r="E208">
        <f t="shared" si="9"/>
        <v>-0.02</v>
      </c>
      <c r="F208" t="e">
        <f>VLOOKUP(B208,TableA3!$B$5:$L$48,11,FALSE)</f>
        <v>#N/A</v>
      </c>
    </row>
    <row r="209" spans="2:6" x14ac:dyDescent="0.2">
      <c r="B209" t="s">
        <v>1002</v>
      </c>
      <c r="C209">
        <v>35</v>
      </c>
      <c r="D209">
        <v>50</v>
      </c>
      <c r="E209">
        <f t="shared" si="9"/>
        <v>0.15</v>
      </c>
      <c r="F209" t="e">
        <f>VLOOKUP(B209,TableA3!$B$5:$L$48,11,FALSE)</f>
        <v>#N/A</v>
      </c>
    </row>
    <row r="210" spans="2:6" x14ac:dyDescent="0.2">
      <c r="B210" t="s">
        <v>997</v>
      </c>
      <c r="C210" t="s">
        <v>1065</v>
      </c>
      <c r="D210" t="s">
        <v>1065</v>
      </c>
      <c r="E210" t="e">
        <f t="shared" si="9"/>
        <v>#VALUE!</v>
      </c>
      <c r="F210" t="e">
        <f>VLOOKUP(B210,TableA3!$B$5:$L$48,11,FALSE)</f>
        <v>#N/A</v>
      </c>
    </row>
    <row r="211" spans="2:6" x14ac:dyDescent="0.2">
      <c r="B211" t="s">
        <v>1003</v>
      </c>
      <c r="C211" t="s">
        <v>1065</v>
      </c>
      <c r="D211" t="s">
        <v>1065</v>
      </c>
      <c r="E211" t="e">
        <f t="shared" si="9"/>
        <v>#VALUE!</v>
      </c>
      <c r="F211" t="e">
        <f>VLOOKUP(B211,TableA3!$B$5:$L$48,11,FALSE)</f>
        <v>#N/A</v>
      </c>
    </row>
    <row r="212" spans="2:6" x14ac:dyDescent="0.2">
      <c r="B212" t="s">
        <v>1025</v>
      </c>
      <c r="C212">
        <v>12</v>
      </c>
      <c r="D212">
        <v>12</v>
      </c>
      <c r="E212">
        <f t="shared" si="9"/>
        <v>0</v>
      </c>
      <c r="F212" t="e">
        <f>VLOOKUP(B212,TableA3!$B$5:$L$48,11,FALSE)</f>
        <v>#N/A</v>
      </c>
    </row>
    <row r="213" spans="2:6" x14ac:dyDescent="0.2">
      <c r="B213" t="s">
        <v>1015</v>
      </c>
      <c r="C213">
        <v>16.5</v>
      </c>
      <c r="D213">
        <v>16.5</v>
      </c>
      <c r="E213">
        <f t="shared" si="9"/>
        <v>0</v>
      </c>
      <c r="F213" t="e">
        <f>VLOOKUP(B213,TableA3!$B$5:$L$48,11,FALSE)</f>
        <v>#N/A</v>
      </c>
    </row>
    <row r="214" spans="2:6" x14ac:dyDescent="0.2">
      <c r="B214" t="s">
        <v>328</v>
      </c>
      <c r="C214">
        <v>40</v>
      </c>
      <c r="D214">
        <v>35</v>
      </c>
      <c r="E214">
        <f t="shared" si="9"/>
        <v>-0.05</v>
      </c>
      <c r="F214" t="e">
        <f>VLOOKUP(B214,TableA3!$B$5:$L$48,11,FALSE)</f>
        <v>#N/A</v>
      </c>
    </row>
    <row r="215" spans="2:6" x14ac:dyDescent="0.2">
      <c r="B215" t="s">
        <v>996</v>
      </c>
      <c r="C215">
        <v>30</v>
      </c>
      <c r="D215">
        <v>30</v>
      </c>
      <c r="E215">
        <f t="shared" si="9"/>
        <v>0</v>
      </c>
      <c r="F215" t="e">
        <f>VLOOKUP(B215,TableA3!$B$5:$L$48,11,FALSE)</f>
        <v>#N/A</v>
      </c>
    </row>
    <row r="216" spans="2:6" x14ac:dyDescent="0.2">
      <c r="B216" t="s">
        <v>326</v>
      </c>
      <c r="C216">
        <v>0</v>
      </c>
      <c r="D216">
        <v>0</v>
      </c>
      <c r="E216">
        <f t="shared" si="9"/>
        <v>0</v>
      </c>
      <c r="F216" t="e">
        <f>VLOOKUP(B216,TableA3!$B$5:$L$48,11,FALSE)</f>
        <v>#N/A</v>
      </c>
    </row>
    <row r="217" spans="2:6" x14ac:dyDescent="0.2">
      <c r="B217" t="s">
        <v>325</v>
      </c>
      <c r="C217">
        <v>33</v>
      </c>
      <c r="D217">
        <v>33</v>
      </c>
      <c r="E217">
        <f t="shared" si="9"/>
        <v>0</v>
      </c>
      <c r="F217" t="e">
        <f>VLOOKUP(B217,TableA3!$B$5:$L$48,11,FALSE)</f>
        <v>#N/A</v>
      </c>
    </row>
    <row r="218" spans="2:6" x14ac:dyDescent="0.2">
      <c r="B218" t="s">
        <v>324</v>
      </c>
      <c r="C218">
        <v>20</v>
      </c>
      <c r="D218">
        <v>20</v>
      </c>
      <c r="E218">
        <f t="shared" si="9"/>
        <v>0</v>
      </c>
      <c r="F218" t="e">
        <f>VLOOKUP(B218,TableA3!$B$5:$L$48,11,FALSE)</f>
        <v>#N/A</v>
      </c>
    </row>
    <row r="219" spans="2:6" x14ac:dyDescent="0.2">
      <c r="B219" t="s">
        <v>323</v>
      </c>
      <c r="C219">
        <v>25</v>
      </c>
      <c r="D219">
        <v>22.44</v>
      </c>
      <c r="E219">
        <f t="shared" si="9"/>
        <v>-2.5599999999999987E-2</v>
      </c>
      <c r="F219" t="e">
        <f>VLOOKUP(B219,TableA3!$B$5:$L$48,11,FALSE)</f>
        <v>#N/A</v>
      </c>
    </row>
    <row r="220" spans="2:6" x14ac:dyDescent="0.2">
      <c r="B220" t="s">
        <v>322</v>
      </c>
      <c r="C220">
        <v>30</v>
      </c>
      <c r="D220">
        <v>30</v>
      </c>
      <c r="E220">
        <f t="shared" si="9"/>
        <v>0</v>
      </c>
      <c r="F220" t="e">
        <f>VLOOKUP(B220,TableA3!$B$5:$L$48,11,FALSE)</f>
        <v>#N/A</v>
      </c>
    </row>
    <row r="221" spans="2:6" x14ac:dyDescent="0.2">
      <c r="B221" t="s">
        <v>321</v>
      </c>
      <c r="C221">
        <v>27.5</v>
      </c>
      <c r="D221">
        <v>27.5</v>
      </c>
      <c r="E221">
        <f t="shared" si="9"/>
        <v>0</v>
      </c>
      <c r="F221" t="e">
        <f>VLOOKUP(B221,TableA3!$B$5:$L$48,11,FALSE)</f>
        <v>#N/A</v>
      </c>
    </row>
    <row r="222" spans="2:6" x14ac:dyDescent="0.2">
      <c r="B222" t="s">
        <v>320</v>
      </c>
      <c r="C222">
        <v>10</v>
      </c>
      <c r="D222">
        <v>10</v>
      </c>
      <c r="E222">
        <f t="shared" si="9"/>
        <v>0</v>
      </c>
      <c r="F222" t="e">
        <f>VLOOKUP(B222,TableA3!$B$5:$L$48,11,FALSE)</f>
        <v>#N/A</v>
      </c>
    </row>
    <row r="223" spans="2:6" x14ac:dyDescent="0.2">
      <c r="B223" t="s">
        <v>319</v>
      </c>
      <c r="C223">
        <v>18.5</v>
      </c>
      <c r="D223">
        <v>18.5</v>
      </c>
      <c r="E223">
        <f t="shared" si="9"/>
        <v>0</v>
      </c>
      <c r="F223" t="e">
        <f>VLOOKUP(B223,TableA3!$B$5:$L$48,11,FALSE)</f>
        <v>#N/A</v>
      </c>
    </row>
    <row r="224" spans="2:6" x14ac:dyDescent="0.2">
      <c r="B224" t="s">
        <v>547</v>
      </c>
      <c r="C224">
        <v>0</v>
      </c>
      <c r="D224">
        <v>0</v>
      </c>
      <c r="E224">
        <f t="shared" si="9"/>
        <v>0</v>
      </c>
      <c r="F224" t="e">
        <f>VLOOKUP(B224,TableA3!$B$5:$L$48,11,FALSE)</f>
        <v>#N/A</v>
      </c>
    </row>
    <row r="225" spans="2:6" x14ac:dyDescent="0.2">
      <c r="B225" t="s">
        <v>1017</v>
      </c>
      <c r="C225" t="s">
        <v>1065</v>
      </c>
      <c r="D225" t="s">
        <v>1065</v>
      </c>
      <c r="E225" t="e">
        <f t="shared" si="9"/>
        <v>#VALUE!</v>
      </c>
      <c r="F225" t="e">
        <f>VLOOKUP(B225,TableA3!$B$5:$L$48,11,FALSE)</f>
        <v>#N/A</v>
      </c>
    </row>
    <row r="226" spans="2:6" x14ac:dyDescent="0.2">
      <c r="B226" t="s">
        <v>995</v>
      </c>
      <c r="C226" t="s">
        <v>1065</v>
      </c>
      <c r="D226" t="s">
        <v>1065</v>
      </c>
      <c r="E226" t="e">
        <f t="shared" si="9"/>
        <v>#VALUE!</v>
      </c>
      <c r="F226" t="e">
        <f>VLOOKUP(B226,TableA3!$B$5:$L$48,11,FALSE)</f>
        <v>#N/A</v>
      </c>
    </row>
    <row r="227" spans="2:6" x14ac:dyDescent="0.2">
      <c r="B227" t="s">
        <v>318</v>
      </c>
      <c r="C227">
        <v>22</v>
      </c>
      <c r="D227">
        <v>22</v>
      </c>
      <c r="E227">
        <f t="shared" si="9"/>
        <v>0</v>
      </c>
      <c r="F227" t="e">
        <f>VLOOKUP(B227,TableA3!$B$5:$L$48,11,FALSE)</f>
        <v>#N/A</v>
      </c>
    </row>
    <row r="228" spans="2:6" x14ac:dyDescent="0.2">
      <c r="B228" t="s">
        <v>317</v>
      </c>
      <c r="C228">
        <v>10</v>
      </c>
      <c r="D228">
        <v>10</v>
      </c>
      <c r="E228">
        <f t="shared" si="9"/>
        <v>0</v>
      </c>
      <c r="F228" t="e">
        <f>VLOOKUP(B228,TableA3!$B$5:$L$48,11,FALSE)</f>
        <v>#N/A</v>
      </c>
    </row>
    <row r="229" spans="2:6" x14ac:dyDescent="0.2">
      <c r="B229" t="s">
        <v>928</v>
      </c>
      <c r="C229">
        <v>0</v>
      </c>
      <c r="D229">
        <v>25.8</v>
      </c>
      <c r="E229">
        <f t="shared" si="9"/>
        <v>0.25800000000000001</v>
      </c>
      <c r="F229" t="e">
        <f>VLOOKUP(B229,TableA3!$B$5:$L$48,11,FALSE)</f>
        <v>#N/A</v>
      </c>
    </row>
    <row r="230" spans="2:6" x14ac:dyDescent="0.2">
      <c r="B230" t="s">
        <v>994</v>
      </c>
      <c r="C230">
        <v>25</v>
      </c>
      <c r="D230">
        <v>25</v>
      </c>
      <c r="E230">
        <f t="shared" si="9"/>
        <v>0</v>
      </c>
      <c r="F230" t="e">
        <f>VLOOKUP(B230,TableA3!$B$5:$L$48,11,FALSE)</f>
        <v>#N/A</v>
      </c>
    </row>
    <row r="231" spans="2:6" x14ac:dyDescent="0.2">
      <c r="B231" t="s">
        <v>315</v>
      </c>
      <c r="C231">
        <v>30</v>
      </c>
      <c r="D231">
        <v>25</v>
      </c>
      <c r="E231">
        <f t="shared" si="9"/>
        <v>-0.05</v>
      </c>
      <c r="F231" t="e">
        <f>VLOOKUP(B231,TableA3!$B$5:$L$48,11,FALSE)</f>
        <v>#N/A</v>
      </c>
    </row>
    <row r="232" spans="2:6" x14ac:dyDescent="0.2">
      <c r="B232" t="s">
        <v>224</v>
      </c>
      <c r="C232">
        <v>0</v>
      </c>
      <c r="D232">
        <v>0</v>
      </c>
      <c r="E232">
        <f t="shared" si="9"/>
        <v>0</v>
      </c>
      <c r="F232" t="e">
        <f>VLOOKUP(B232,TableA3!$B$5:$L$48,11,FALSE)</f>
        <v>#N/A</v>
      </c>
    </row>
    <row r="233" spans="2:6" x14ac:dyDescent="0.2">
      <c r="B233" t="s">
        <v>314</v>
      </c>
      <c r="C233">
        <v>30</v>
      </c>
      <c r="D233">
        <v>30</v>
      </c>
      <c r="E233">
        <f t="shared" si="9"/>
        <v>0</v>
      </c>
      <c r="F233" t="e">
        <f>VLOOKUP(B233,TableA3!$B$5:$L$48,11,FALSE)</f>
        <v>#N/A</v>
      </c>
    </row>
    <row r="234" spans="2:6" x14ac:dyDescent="0.2">
      <c r="B234" t="s">
        <v>313</v>
      </c>
      <c r="C234">
        <v>25</v>
      </c>
      <c r="D234">
        <v>0</v>
      </c>
      <c r="E234">
        <f t="shared" si="9"/>
        <v>-0.25</v>
      </c>
      <c r="F234" t="e">
        <f>VLOOKUP(B234,TableA3!$B$5:$L$48,11,FALSE)</f>
        <v>#N/A</v>
      </c>
    </row>
    <row r="235" spans="2:6" x14ac:dyDescent="0.2">
      <c r="B235" t="s">
        <v>65</v>
      </c>
      <c r="C235">
        <v>33.99</v>
      </c>
      <c r="D235">
        <v>25</v>
      </c>
      <c r="E235">
        <f t="shared" si="9"/>
        <v>-8.9900000000000022E-2</v>
      </c>
      <c r="F235" t="e">
        <f>VLOOKUP(B235,TableA3!$B$5:$L$48,11,FALSE)</f>
        <v>#N/A</v>
      </c>
    </row>
    <row r="236" spans="2:6" x14ac:dyDescent="0.2">
      <c r="B236" t="s">
        <v>569</v>
      </c>
      <c r="C236">
        <v>18</v>
      </c>
      <c r="D236">
        <v>20</v>
      </c>
      <c r="E236">
        <f t="shared" si="9"/>
        <v>0.02</v>
      </c>
      <c r="F236" t="e">
        <f>VLOOKUP(B236,TableA3!$B$5:$L$48,11,FALSE)</f>
        <v>#N/A</v>
      </c>
    </row>
    <row r="237" spans="2:6" x14ac:dyDescent="0.2">
      <c r="B237" t="s">
        <v>310</v>
      </c>
      <c r="C237">
        <v>25</v>
      </c>
      <c r="D237">
        <v>5.5</v>
      </c>
      <c r="E237">
        <f t="shared" si="9"/>
        <v>-0.19500000000000001</v>
      </c>
      <c r="F237" t="e">
        <f>VLOOKUP(B237,TableA3!$B$5:$L$48,11,FALSE)</f>
        <v>#N/A</v>
      </c>
    </row>
    <row r="238" spans="2:6" x14ac:dyDescent="0.2">
      <c r="B238" t="s">
        <v>309</v>
      </c>
      <c r="C238">
        <v>27.5</v>
      </c>
      <c r="D238">
        <v>27.5</v>
      </c>
      <c r="E238">
        <f t="shared" si="9"/>
        <v>0</v>
      </c>
      <c r="F238" t="e">
        <f>VLOOKUP(B238,TableA3!$B$5:$L$48,11,FALSE)</f>
        <v>#N/A</v>
      </c>
    </row>
    <row r="239" spans="2:6" x14ac:dyDescent="0.2">
      <c r="B239" t="s">
        <v>557</v>
      </c>
      <c r="C239">
        <v>0</v>
      </c>
      <c r="D239">
        <v>0</v>
      </c>
      <c r="E239">
        <f t="shared" si="9"/>
        <v>0</v>
      </c>
      <c r="F239" t="e">
        <f>VLOOKUP(B239,TableA3!$B$5:$L$48,11,FALSE)</f>
        <v>#N/A</v>
      </c>
    </row>
    <row r="240" spans="2:6" x14ac:dyDescent="0.2">
      <c r="B240" t="s">
        <v>546</v>
      </c>
      <c r="C240">
        <v>0</v>
      </c>
      <c r="D240">
        <v>0</v>
      </c>
      <c r="E240">
        <f t="shared" si="9"/>
        <v>0</v>
      </c>
      <c r="F240" t="e">
        <f>VLOOKUP(B240,TableA3!$B$5:$L$48,11,FALSE)</f>
        <v>#N/A</v>
      </c>
    </row>
    <row r="241" spans="2:6" x14ac:dyDescent="0.2">
      <c r="B241" t="s">
        <v>556</v>
      </c>
      <c r="C241">
        <v>20</v>
      </c>
      <c r="D241">
        <v>20</v>
      </c>
      <c r="E241">
        <f t="shared" si="9"/>
        <v>0</v>
      </c>
      <c r="F241" t="e">
        <f>VLOOKUP(B241,TableA3!$B$5:$L$48,11,FALSE)</f>
        <v>#N/A</v>
      </c>
    </row>
    <row r="242" spans="2:6" x14ac:dyDescent="0.2">
      <c r="B242" t="s">
        <v>545</v>
      </c>
      <c r="C242">
        <v>28</v>
      </c>
      <c r="D242">
        <v>22</v>
      </c>
      <c r="E242">
        <f t="shared" si="9"/>
        <v>-0.06</v>
      </c>
      <c r="F242" t="e">
        <f>VLOOKUP(B242,TableA3!$B$5:$L$48,11,FALSE)</f>
        <v>#N/A</v>
      </c>
    </row>
    <row r="243" spans="2:6" x14ac:dyDescent="0.2">
      <c r="B243" t="s">
        <v>555</v>
      </c>
      <c r="C243">
        <v>20</v>
      </c>
      <c r="D243">
        <v>18</v>
      </c>
      <c r="E243">
        <f t="shared" si="9"/>
        <v>-0.02</v>
      </c>
      <c r="F243" t="e">
        <f>VLOOKUP(B243,TableA3!$B$5:$L$48,11,FALSE)</f>
        <v>#N/A</v>
      </c>
    </row>
    <row r="244" spans="2:6" x14ac:dyDescent="0.2">
      <c r="B244" t="s">
        <v>303</v>
      </c>
      <c r="C244">
        <v>25</v>
      </c>
      <c r="D244">
        <v>25</v>
      </c>
      <c r="E244">
        <f t="shared" si="9"/>
        <v>0</v>
      </c>
      <c r="F244" t="e">
        <f>VLOOKUP(B244,TableA3!$B$5:$L$48,11,FALSE)</f>
        <v>#N/A</v>
      </c>
    </row>
    <row r="245" spans="2:6" x14ac:dyDescent="0.2">
      <c r="B245" t="s">
        <v>991</v>
      </c>
      <c r="C245" t="s">
        <v>1065</v>
      </c>
      <c r="D245" t="s">
        <v>1065</v>
      </c>
      <c r="E245" t="e">
        <f t="shared" si="9"/>
        <v>#VALUE!</v>
      </c>
      <c r="F245" t="e">
        <f>VLOOKUP(B245,TableA3!$B$5:$L$48,11,FALSE)</f>
        <v>#N/A</v>
      </c>
    </row>
    <row r="246" spans="2:6" x14ac:dyDescent="0.2">
      <c r="B246" t="s">
        <v>302</v>
      </c>
      <c r="C246">
        <v>0</v>
      </c>
      <c r="D246">
        <v>0</v>
      </c>
      <c r="E246">
        <f t="shared" si="9"/>
        <v>0</v>
      </c>
      <c r="F246" t="e">
        <f>VLOOKUP(B246,TableA3!$B$5:$L$48,11,FALSE)</f>
        <v>#N/A</v>
      </c>
    </row>
    <row r="247" spans="2:6" x14ac:dyDescent="0.2">
      <c r="B247" t="s">
        <v>301</v>
      </c>
      <c r="C247">
        <v>30</v>
      </c>
      <c r="D247">
        <v>25</v>
      </c>
      <c r="E247">
        <f t="shared" si="9"/>
        <v>-0.05</v>
      </c>
      <c r="F247" t="e">
        <f>VLOOKUP(B247,TableA3!$B$5:$L$48,11,FALSE)</f>
        <v>#N/A</v>
      </c>
    </row>
    <row r="248" spans="2:6" x14ac:dyDescent="0.2">
      <c r="B248" t="s">
        <v>927</v>
      </c>
      <c r="C248">
        <v>10</v>
      </c>
      <c r="D248">
        <v>10</v>
      </c>
      <c r="E248">
        <f t="shared" si="9"/>
        <v>0</v>
      </c>
      <c r="F248" t="e">
        <f>VLOOKUP(B248,TableA3!$B$5:$L$48,11,FALSE)</f>
        <v>#N/A</v>
      </c>
    </row>
    <row r="249" spans="2:6" x14ac:dyDescent="0.2">
      <c r="B249" t="s">
        <v>990</v>
      </c>
      <c r="C249">
        <v>44</v>
      </c>
      <c r="D249">
        <v>34</v>
      </c>
      <c r="E249">
        <f t="shared" si="9"/>
        <v>-0.1</v>
      </c>
      <c r="F249" t="e">
        <f>VLOOKUP(B249,TableA3!$B$5:$L$48,11,FALSE)</f>
        <v>#N/A</v>
      </c>
    </row>
    <row r="250" spans="2:6" x14ac:dyDescent="0.2">
      <c r="B250" t="s">
        <v>299</v>
      </c>
      <c r="C250">
        <v>23</v>
      </c>
      <c r="D250">
        <v>26</v>
      </c>
      <c r="E250">
        <f t="shared" si="9"/>
        <v>0.03</v>
      </c>
      <c r="F250" t="e">
        <f>VLOOKUP(B250,TableA3!$B$5:$L$48,11,FALSE)</f>
        <v>#N/A</v>
      </c>
    </row>
    <row r="251" spans="2:6" x14ac:dyDescent="0.2">
      <c r="B251" t="s">
        <v>298</v>
      </c>
      <c r="C251">
        <v>15</v>
      </c>
      <c r="D251">
        <v>15</v>
      </c>
      <c r="E251">
        <f t="shared" si="9"/>
        <v>0</v>
      </c>
      <c r="F251" t="e">
        <f>VLOOKUP(B251,TableA3!$B$5:$L$48,11,FALSE)</f>
        <v>#N/A</v>
      </c>
    </row>
    <row r="252" spans="2:6" x14ac:dyDescent="0.2">
      <c r="B252" t="s">
        <v>989</v>
      </c>
      <c r="C252">
        <v>20</v>
      </c>
      <c r="D252">
        <v>20</v>
      </c>
      <c r="E252">
        <f t="shared" si="9"/>
        <v>0</v>
      </c>
      <c r="F252" t="e">
        <f>VLOOKUP(B252,TableA3!$B$5:$L$48,11,FALSE)</f>
        <v>#N/A</v>
      </c>
    </row>
  </sheetData>
  <sortState xmlns:xlrd2="http://schemas.microsoft.com/office/spreadsheetml/2017/richdata2" ref="B2:F44">
    <sortCondition ref="E2:E44"/>
  </sortState>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7544C-2C2F-4A2A-8C40-F385F0E3B8B0}">
  <dimension ref="B1:G22"/>
  <sheetViews>
    <sheetView zoomScale="64" zoomScaleNormal="70" workbookViewId="0">
      <selection activeCell="H21" sqref="H21"/>
    </sheetView>
  </sheetViews>
  <sheetFormatPr baseColWidth="10" defaultColWidth="8.6640625" defaultRowHeight="24" x14ac:dyDescent="0.3"/>
  <cols>
    <col min="1" max="1" width="8.6640625" style="536"/>
    <col min="2" max="2" width="39.83203125" style="536" customWidth="1"/>
    <col min="3" max="3" width="16.33203125" style="536" customWidth="1"/>
    <col min="4" max="4" width="6" style="536" customWidth="1"/>
    <col min="5" max="5" width="14" style="536" customWidth="1"/>
    <col min="6" max="6" width="6.33203125" style="536" customWidth="1"/>
    <col min="7" max="7" width="19.83203125" style="536" customWidth="1"/>
    <col min="8" max="10" width="29.6640625" style="536" customWidth="1"/>
    <col min="11" max="16384" width="8.6640625" style="536"/>
  </cols>
  <sheetData>
    <row r="1" spans="2:7" s="528" customFormat="1" ht="25" thickBot="1" x14ac:dyDescent="0.35">
      <c r="B1" s="527"/>
      <c r="C1" s="527"/>
      <c r="D1" s="527"/>
      <c r="E1" s="527"/>
      <c r="F1" s="527"/>
      <c r="G1" s="527"/>
    </row>
    <row r="2" spans="2:7" s="528" customFormat="1" ht="25" thickTop="1" x14ac:dyDescent="0.3"/>
    <row r="3" spans="2:7" s="528" customFormat="1" x14ac:dyDescent="0.3">
      <c r="B3" s="529" t="s">
        <v>1144</v>
      </c>
      <c r="C3" s="530"/>
      <c r="D3" s="530"/>
      <c r="E3" s="531"/>
      <c r="F3" s="531"/>
      <c r="G3" s="531"/>
    </row>
    <row r="4" spans="2:7" s="528" customFormat="1" x14ac:dyDescent="0.3"/>
    <row r="5" spans="2:7" s="528" customFormat="1" ht="50" x14ac:dyDescent="0.3">
      <c r="B5" s="534" t="s">
        <v>1123</v>
      </c>
      <c r="C5" s="532" t="s">
        <v>1124</v>
      </c>
      <c r="D5" s="532"/>
      <c r="E5" s="532" t="s">
        <v>1125</v>
      </c>
      <c r="F5" s="532"/>
      <c r="G5" s="535" t="s">
        <v>1145</v>
      </c>
    </row>
    <row r="6" spans="2:7" s="528" customFormat="1" ht="16.5" customHeight="1" x14ac:dyDescent="0.3">
      <c r="B6" s="534"/>
      <c r="C6" s="532"/>
      <c r="D6" s="532"/>
      <c r="E6" s="532"/>
      <c r="F6" s="532"/>
      <c r="G6" s="535"/>
    </row>
    <row r="7" spans="2:7" s="528" customFormat="1" x14ac:dyDescent="0.3">
      <c r="B7" s="532" t="s">
        <v>1126</v>
      </c>
      <c r="C7" s="533" t="s">
        <v>1129</v>
      </c>
      <c r="D7" s="533"/>
      <c r="E7" s="533" t="s">
        <v>1134</v>
      </c>
      <c r="G7" s="533" t="s">
        <v>1130</v>
      </c>
    </row>
    <row r="8" spans="2:7" s="528" customFormat="1" x14ac:dyDescent="0.3">
      <c r="B8" s="532" t="s">
        <v>1139</v>
      </c>
      <c r="C8" s="533" t="s">
        <v>1127</v>
      </c>
      <c r="D8" s="533"/>
      <c r="E8" s="533" t="s">
        <v>1128</v>
      </c>
      <c r="G8" s="533" t="s">
        <v>1131</v>
      </c>
    </row>
    <row r="9" spans="2:7" s="528" customFormat="1" x14ac:dyDescent="0.3">
      <c r="B9" s="532"/>
      <c r="C9" s="533"/>
      <c r="D9" s="533"/>
      <c r="E9" s="533"/>
      <c r="G9" s="533"/>
    </row>
    <row r="10" spans="2:7" s="528" customFormat="1" x14ac:dyDescent="0.3">
      <c r="B10" s="532" t="s">
        <v>1140</v>
      </c>
      <c r="C10" s="533">
        <v>41</v>
      </c>
      <c r="D10" s="533"/>
      <c r="E10" s="533">
        <v>9</v>
      </c>
    </row>
    <row r="11" spans="2:7" s="528" customFormat="1" x14ac:dyDescent="0.3">
      <c r="B11" s="532" t="s">
        <v>1141</v>
      </c>
      <c r="C11" s="533">
        <v>0.86370000000000002</v>
      </c>
      <c r="D11" s="533"/>
      <c r="E11" s="533">
        <v>0.42759999999999998</v>
      </c>
    </row>
    <row r="12" spans="2:7" s="528" customFormat="1" x14ac:dyDescent="0.3">
      <c r="B12" s="531"/>
      <c r="C12" s="531"/>
      <c r="D12" s="531"/>
      <c r="E12" s="531"/>
      <c r="F12" s="531"/>
      <c r="G12" s="531"/>
    </row>
    <row r="13" spans="2:7" s="528" customFormat="1" x14ac:dyDescent="0.3">
      <c r="B13" s="526" t="s">
        <v>1132</v>
      </c>
    </row>
    <row r="14" spans="2:7" s="528" customFormat="1" x14ac:dyDescent="0.3">
      <c r="B14" s="526"/>
    </row>
    <row r="15" spans="2:7" s="528" customFormat="1" x14ac:dyDescent="0.3">
      <c r="B15" s="532" t="s">
        <v>1126</v>
      </c>
      <c r="C15" s="533" t="s">
        <v>1133</v>
      </c>
      <c r="D15" s="533"/>
      <c r="E15" s="533" t="s">
        <v>1138</v>
      </c>
      <c r="G15" s="533" t="s">
        <v>1137</v>
      </c>
    </row>
    <row r="16" spans="2:7" s="528" customFormat="1" x14ac:dyDescent="0.3">
      <c r="B16" s="532" t="s">
        <v>1139</v>
      </c>
      <c r="C16" s="533" t="s">
        <v>1127</v>
      </c>
      <c r="D16" s="533"/>
      <c r="E16" s="533" t="s">
        <v>1135</v>
      </c>
      <c r="G16" s="533" t="s">
        <v>1136</v>
      </c>
    </row>
    <row r="17" spans="2:7" s="528" customFormat="1" x14ac:dyDescent="0.3">
      <c r="B17" s="532"/>
    </row>
    <row r="18" spans="2:7" s="528" customFormat="1" x14ac:dyDescent="0.3">
      <c r="B18" s="532" t="s">
        <v>1140</v>
      </c>
      <c r="C18" s="533">
        <v>41</v>
      </c>
      <c r="D18" s="533"/>
      <c r="E18" s="533">
        <v>9</v>
      </c>
    </row>
    <row r="19" spans="2:7" s="528" customFormat="1" x14ac:dyDescent="0.3">
      <c r="B19" s="532" t="s">
        <v>1141</v>
      </c>
      <c r="C19" s="533">
        <v>0.89590000000000003</v>
      </c>
      <c r="D19" s="533"/>
      <c r="E19" s="533">
        <v>0.50839999999999996</v>
      </c>
    </row>
    <row r="20" spans="2:7" s="528" customFormat="1" ht="25" thickBot="1" x14ac:dyDescent="0.35">
      <c r="B20" s="527"/>
      <c r="C20" s="527"/>
      <c r="D20" s="527"/>
      <c r="E20" s="527"/>
      <c r="F20" s="527"/>
      <c r="G20" s="527"/>
    </row>
    <row r="21" spans="2:7" s="528" customFormat="1" ht="25" thickTop="1" x14ac:dyDescent="0.3"/>
    <row r="22" spans="2:7" s="528" customFormat="1" x14ac:dyDescent="0.3"/>
  </sheetData>
  <pageMargins left="0.7" right="0.7" top="0.75" bottom="0.75" header="0.3" footer="0.3"/>
  <pageSetup paperSize="3"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84A94-33B3-48A7-9815-427BFCE5EC54}">
  <dimension ref="A1:D56"/>
  <sheetViews>
    <sheetView zoomScale="55" zoomScaleNormal="55" workbookViewId="0">
      <selection activeCell="C45" sqref="C45"/>
    </sheetView>
  </sheetViews>
  <sheetFormatPr baseColWidth="10" defaultColWidth="8.83203125" defaultRowHeight="16" x14ac:dyDescent="0.2"/>
  <cols>
    <col min="1" max="3" width="16.5" style="77" customWidth="1"/>
  </cols>
  <sheetData>
    <row r="1" spans="1:3" x14ac:dyDescent="0.2">
      <c r="B1" s="429" t="s">
        <v>93</v>
      </c>
      <c r="C1" s="429" t="s">
        <v>95</v>
      </c>
    </row>
    <row r="2" spans="1:3" x14ac:dyDescent="0.2">
      <c r="B2" s="491" t="s">
        <v>98</v>
      </c>
    </row>
    <row r="3" spans="1:3" ht="48" x14ac:dyDescent="0.2">
      <c r="A3" s="430"/>
      <c r="B3" s="431" t="s">
        <v>1142</v>
      </c>
      <c r="C3" s="435" t="s">
        <v>1143</v>
      </c>
    </row>
    <row r="4" spans="1:3" x14ac:dyDescent="0.2">
      <c r="A4" s="437"/>
      <c r="B4" s="440"/>
      <c r="C4" s="437"/>
    </row>
    <row r="5" spans="1:3" x14ac:dyDescent="0.2">
      <c r="A5" s="77">
        <v>1975</v>
      </c>
      <c r="B5" s="449">
        <v>4.5948720718397285E-2</v>
      </c>
      <c r="C5" s="454">
        <v>4.2511319169491968E-2</v>
      </c>
    </row>
    <row r="6" spans="1:3" x14ac:dyDescent="0.2">
      <c r="A6" s="77">
        <v>1976</v>
      </c>
      <c r="B6" s="449">
        <v>3.8043497431201306E-2</v>
      </c>
      <c r="C6" s="454">
        <v>3.5493694475956954E-2</v>
      </c>
    </row>
    <row r="7" spans="1:3" x14ac:dyDescent="0.2">
      <c r="A7" s="77">
        <v>1977</v>
      </c>
      <c r="B7" s="449">
        <v>4.9555912006022482E-2</v>
      </c>
      <c r="C7" s="454">
        <v>4.6071241733988792E-2</v>
      </c>
    </row>
    <row r="8" spans="1:3" x14ac:dyDescent="0.2">
      <c r="A8" s="77">
        <v>1978</v>
      </c>
      <c r="B8" s="449">
        <v>7.0780078356024415E-2</v>
      </c>
      <c r="C8" s="454">
        <v>6.5470521614309468E-2</v>
      </c>
    </row>
    <row r="9" spans="1:3" x14ac:dyDescent="0.2">
      <c r="A9" s="77">
        <v>1979</v>
      </c>
      <c r="B9" s="449">
        <v>8.8670042306996932E-2</v>
      </c>
      <c r="C9" s="454">
        <v>8.0811396266185637E-2</v>
      </c>
    </row>
    <row r="10" spans="1:3" x14ac:dyDescent="0.2">
      <c r="A10" s="77">
        <v>1980</v>
      </c>
      <c r="B10" s="449">
        <v>0.12653627025609712</v>
      </c>
      <c r="C10" s="454">
        <v>0.11369910765466566</v>
      </c>
    </row>
    <row r="11" spans="1:3" x14ac:dyDescent="0.2">
      <c r="A11" s="77">
        <v>1981</v>
      </c>
      <c r="B11" s="449">
        <v>0.12639460933162869</v>
      </c>
      <c r="C11" s="454">
        <v>0.11352659281905855</v>
      </c>
    </row>
    <row r="12" spans="1:3" x14ac:dyDescent="0.2">
      <c r="A12" s="77">
        <v>1982</v>
      </c>
      <c r="B12" s="449">
        <v>0.1583758285576711</v>
      </c>
      <c r="C12" s="454">
        <v>0.14189125405963771</v>
      </c>
    </row>
    <row r="13" spans="1:3" x14ac:dyDescent="0.2">
      <c r="A13" s="77">
        <v>1983</v>
      </c>
      <c r="B13" s="449">
        <v>0.14345412192631868</v>
      </c>
      <c r="C13" s="454">
        <v>0.1292041146130623</v>
      </c>
    </row>
    <row r="14" spans="1:3" x14ac:dyDescent="0.2">
      <c r="A14" s="77">
        <v>1984</v>
      </c>
      <c r="B14" s="449">
        <v>0.13407237602798033</v>
      </c>
      <c r="C14" s="454">
        <v>0.11986333098511279</v>
      </c>
    </row>
    <row r="15" spans="1:3" x14ac:dyDescent="0.2">
      <c r="A15" s="77">
        <v>1985</v>
      </c>
      <c r="B15" s="449">
        <v>0.14440767095738724</v>
      </c>
      <c r="C15" s="454">
        <v>0.12853836776026789</v>
      </c>
    </row>
    <row r="16" spans="1:3" x14ac:dyDescent="0.2">
      <c r="A16" s="77">
        <v>1986</v>
      </c>
      <c r="B16" s="449">
        <v>0.137171529646264</v>
      </c>
      <c r="C16" s="454">
        <v>0.12038994621674363</v>
      </c>
    </row>
    <row r="17" spans="1:3" x14ac:dyDescent="0.2">
      <c r="A17" s="77">
        <v>1987</v>
      </c>
      <c r="B17" s="449">
        <v>0.16245661898654001</v>
      </c>
      <c r="C17" s="454">
        <v>0.14054229175720201</v>
      </c>
    </row>
    <row r="18" spans="1:3" x14ac:dyDescent="0.2">
      <c r="A18" s="77">
        <v>1988</v>
      </c>
      <c r="B18" s="449">
        <v>0.11692066382662823</v>
      </c>
      <c r="C18" s="454">
        <v>9.9590048837215964E-2</v>
      </c>
    </row>
    <row r="19" spans="1:3" x14ac:dyDescent="0.2">
      <c r="A19" s="77">
        <v>1989</v>
      </c>
      <c r="B19" s="449">
        <v>0.15281947054870351</v>
      </c>
      <c r="C19" s="454">
        <v>0.13003655774184286</v>
      </c>
    </row>
    <row r="20" spans="1:3" x14ac:dyDescent="0.2">
      <c r="A20" s="77">
        <v>1990</v>
      </c>
      <c r="B20" s="449">
        <v>0.1945182377452386</v>
      </c>
      <c r="C20" s="454">
        <v>0.16530054030295047</v>
      </c>
    </row>
    <row r="21" spans="1:3" x14ac:dyDescent="0.2">
      <c r="A21" s="77">
        <v>1991</v>
      </c>
      <c r="B21" s="449">
        <v>0.2079887457111097</v>
      </c>
      <c r="C21" s="454">
        <v>0.17759975226951469</v>
      </c>
    </row>
    <row r="22" spans="1:3" x14ac:dyDescent="0.2">
      <c r="A22" s="77">
        <v>1992</v>
      </c>
      <c r="B22" s="449">
        <v>0.19240675958185671</v>
      </c>
      <c r="C22" s="454">
        <v>0.16364573266198018</v>
      </c>
    </row>
    <row r="23" spans="1:3" x14ac:dyDescent="0.2">
      <c r="A23" s="77">
        <v>1993</v>
      </c>
      <c r="B23" s="449">
        <v>0.18671127071285659</v>
      </c>
      <c r="C23" s="454">
        <v>0.15795216329827924</v>
      </c>
    </row>
    <row r="24" spans="1:3" x14ac:dyDescent="0.2">
      <c r="A24" s="77">
        <v>1994</v>
      </c>
      <c r="B24" s="449">
        <v>0.17584790327476432</v>
      </c>
      <c r="C24" s="454">
        <v>0.14630610633906346</v>
      </c>
    </row>
    <row r="25" spans="1:3" x14ac:dyDescent="0.2">
      <c r="A25" s="77">
        <v>1995</v>
      </c>
      <c r="B25" s="449">
        <v>0.1980500250009827</v>
      </c>
      <c r="C25" s="454">
        <v>0.1661721073618872</v>
      </c>
    </row>
    <row r="26" spans="1:3" x14ac:dyDescent="0.2">
      <c r="A26" s="77">
        <v>1996</v>
      </c>
      <c r="B26" s="449">
        <v>0.18634856047378498</v>
      </c>
      <c r="C26" s="454">
        <v>0.15245820000134824</v>
      </c>
    </row>
    <row r="27" spans="1:3" x14ac:dyDescent="0.2">
      <c r="A27" s="77">
        <v>1997</v>
      </c>
      <c r="B27" s="449">
        <v>0.22285487347606114</v>
      </c>
      <c r="C27" s="454">
        <v>0.18380614228139375</v>
      </c>
    </row>
    <row r="28" spans="1:3" x14ac:dyDescent="0.2">
      <c r="A28" s="77">
        <v>1998</v>
      </c>
      <c r="B28" s="449">
        <v>0.26689552827564239</v>
      </c>
      <c r="C28" s="454">
        <v>0.21793760019531033</v>
      </c>
    </row>
    <row r="29" spans="1:3" x14ac:dyDescent="0.2">
      <c r="A29" s="77">
        <v>1999</v>
      </c>
      <c r="B29" s="449">
        <v>0.24200588923135002</v>
      </c>
      <c r="C29" s="454">
        <v>0.19615104926582502</v>
      </c>
    </row>
    <row r="30" spans="1:3" x14ac:dyDescent="0.2">
      <c r="A30" s="77">
        <v>2000</v>
      </c>
      <c r="B30" s="449">
        <v>0.2536461605528762</v>
      </c>
      <c r="C30" s="454">
        <v>0.20546310647111266</v>
      </c>
    </row>
    <row r="31" spans="1:3" x14ac:dyDescent="0.2">
      <c r="A31" s="77">
        <v>2001</v>
      </c>
      <c r="B31" s="449">
        <v>0.28996851978883714</v>
      </c>
      <c r="C31" s="454">
        <v>0.23696501668074377</v>
      </c>
    </row>
    <row r="32" spans="1:3" x14ac:dyDescent="0.2">
      <c r="A32" s="77">
        <v>2002</v>
      </c>
      <c r="B32" s="449">
        <v>0.29063422767036329</v>
      </c>
      <c r="C32" s="454">
        <v>0.23771628999558814</v>
      </c>
    </row>
    <row r="33" spans="1:4" x14ac:dyDescent="0.2">
      <c r="A33" s="77">
        <v>2003</v>
      </c>
      <c r="B33" s="449">
        <v>0.27053735865049783</v>
      </c>
      <c r="C33" s="454">
        <v>0.21722826035095666</v>
      </c>
    </row>
    <row r="34" spans="1:4" x14ac:dyDescent="0.2">
      <c r="A34" s="77">
        <v>2004</v>
      </c>
      <c r="B34" s="449">
        <v>0.29567793781540885</v>
      </c>
      <c r="C34" s="454">
        <v>0.235569788606796</v>
      </c>
    </row>
    <row r="35" spans="1:4" x14ac:dyDescent="0.2">
      <c r="A35" s="77">
        <v>2005</v>
      </c>
      <c r="B35" s="449">
        <v>0.24900719969672591</v>
      </c>
      <c r="C35" s="454">
        <v>0.19431752828201018</v>
      </c>
    </row>
    <row r="36" spans="1:4" x14ac:dyDescent="0.2">
      <c r="A36" s="77">
        <v>2006</v>
      </c>
      <c r="B36" s="449">
        <v>0.27295598302147356</v>
      </c>
      <c r="C36" s="454">
        <v>0.21188898912734477</v>
      </c>
    </row>
    <row r="37" spans="1:4" x14ac:dyDescent="0.2">
      <c r="A37" s="77">
        <v>2007</v>
      </c>
      <c r="B37" s="449">
        <v>0.27724907013846722</v>
      </c>
      <c r="C37" s="454">
        <v>0.21457453220269235</v>
      </c>
    </row>
    <row r="38" spans="1:4" x14ac:dyDescent="0.2">
      <c r="A38" s="77">
        <v>2008</v>
      </c>
      <c r="B38" s="449">
        <v>0.24445395241630413</v>
      </c>
      <c r="C38" s="454">
        <v>0.19542185592672129</v>
      </c>
    </row>
    <row r="39" spans="1:4" x14ac:dyDescent="0.2">
      <c r="A39" s="77">
        <v>2009</v>
      </c>
      <c r="B39" s="449">
        <v>0.32185198987075203</v>
      </c>
      <c r="C39" s="454">
        <v>0.25444837517622421</v>
      </c>
    </row>
    <row r="40" spans="1:4" x14ac:dyDescent="0.2">
      <c r="A40" s="77">
        <v>2010</v>
      </c>
      <c r="B40" s="449">
        <v>0.27618508427015626</v>
      </c>
      <c r="C40" s="454">
        <v>0.21577050016135621</v>
      </c>
    </row>
    <row r="41" spans="1:4" x14ac:dyDescent="0.2">
      <c r="A41" s="77">
        <v>2011</v>
      </c>
      <c r="B41" s="449">
        <v>0.29127477848375388</v>
      </c>
      <c r="C41" s="454">
        <v>0.22814026877552795</v>
      </c>
    </row>
    <row r="42" spans="1:4" x14ac:dyDescent="0.2">
      <c r="A42" s="77">
        <v>2012</v>
      </c>
      <c r="B42" s="449">
        <v>0.32288018363206733</v>
      </c>
      <c r="C42" s="454">
        <v>0.2540845785394798</v>
      </c>
    </row>
    <row r="43" spans="1:4" x14ac:dyDescent="0.2">
      <c r="A43" s="77">
        <v>2013</v>
      </c>
      <c r="B43" s="449">
        <v>0.31689594851560748</v>
      </c>
      <c r="C43" s="454">
        <v>0.24730087839576773</v>
      </c>
    </row>
    <row r="44" spans="1:4" x14ac:dyDescent="0.2">
      <c r="A44" s="77">
        <v>2014</v>
      </c>
      <c r="B44" s="449">
        <v>0.35812691074216191</v>
      </c>
      <c r="C44" s="454">
        <v>0.27752265749131599</v>
      </c>
    </row>
    <row r="45" spans="1:4" x14ac:dyDescent="0.2">
      <c r="A45" s="77">
        <v>2015</v>
      </c>
      <c r="B45" s="449">
        <v>0.46249753222435425</v>
      </c>
      <c r="C45" s="454">
        <v>0.3616659759601874</v>
      </c>
      <c r="D45" s="454">
        <v>0.6</v>
      </c>
    </row>
    <row r="46" spans="1:4" x14ac:dyDescent="0.2">
      <c r="A46" s="309">
        <v>2016</v>
      </c>
      <c r="B46" s="449">
        <v>0.52131770313113146</v>
      </c>
      <c r="C46" s="454">
        <v>0.37061415671929043</v>
      </c>
    </row>
    <row r="47" spans="1:4" x14ac:dyDescent="0.2">
      <c r="A47" s="309">
        <v>2017</v>
      </c>
      <c r="B47" s="449">
        <v>0.48234678751243809</v>
      </c>
      <c r="C47" s="454">
        <v>0.34013428548722974</v>
      </c>
    </row>
    <row r="48" spans="1:4" x14ac:dyDescent="0.2">
      <c r="A48" s="309">
        <v>2018</v>
      </c>
      <c r="B48" s="449">
        <v>0.50612988203620357</v>
      </c>
      <c r="C48" s="454">
        <v>0.33982396816629923</v>
      </c>
    </row>
    <row r="49" spans="1:3" x14ac:dyDescent="0.2">
      <c r="A49" s="309">
        <v>2019</v>
      </c>
      <c r="B49" s="449">
        <v>0.47732783265801126</v>
      </c>
      <c r="C49" s="454">
        <v>0.3626628996138731</v>
      </c>
    </row>
    <row r="50" spans="1:3" x14ac:dyDescent="0.2">
      <c r="A50" s="309">
        <v>2020</v>
      </c>
      <c r="B50" s="449">
        <v>0.50837430724697552</v>
      </c>
      <c r="C50" s="454">
        <v>0.35864186725686698</v>
      </c>
    </row>
    <row r="51" spans="1:3" x14ac:dyDescent="0.2">
      <c r="A51" s="309">
        <v>2021</v>
      </c>
      <c r="B51" s="449">
        <v>0.43488622670982136</v>
      </c>
      <c r="C51" s="454">
        <v>0.31186039619472955</v>
      </c>
    </row>
    <row r="52" spans="1:3" x14ac:dyDescent="0.2">
      <c r="A52" s="309">
        <v>2022</v>
      </c>
      <c r="B52" s="449">
        <v>0.39124733852523791</v>
      </c>
      <c r="C52" s="454">
        <v>0.31336734618754186</v>
      </c>
    </row>
    <row r="53" spans="1:3" x14ac:dyDescent="0.2">
      <c r="A53" s="77">
        <v>2023</v>
      </c>
      <c r="B53" s="499">
        <f>'DataF3-F4'!AE53</f>
        <v>0.40643526930019541</v>
      </c>
      <c r="C53" s="502">
        <v>0.33778933556790647</v>
      </c>
    </row>
    <row r="55" spans="1:3" x14ac:dyDescent="0.2">
      <c r="B55" s="497">
        <v>9.2158092020207007E-3</v>
      </c>
      <c r="C55" s="497">
        <v>6.6598400575924154E-3</v>
      </c>
    </row>
    <row r="56" spans="1:3" x14ac:dyDescent="0.2">
      <c r="B56" s="466"/>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3858E-84AD-B841-95F8-C974B18DED87}">
  <sheetPr>
    <tabColor theme="1"/>
  </sheetPr>
  <dimension ref="A1"/>
  <sheetViews>
    <sheetView workbookViewId="0">
      <selection activeCell="C26" sqref="C26"/>
    </sheetView>
  </sheetViews>
  <sheetFormatPr baseColWidth="10" defaultColWidth="10.83203125" defaultRowHeight="16" x14ac:dyDescent="0.2"/>
  <sheetData/>
  <pageMargins left="0.7" right="0.7" top="0.75" bottom="0.75" header="0.3" footer="0.3"/>
  <pageSetup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1:F15"/>
  <sheetViews>
    <sheetView workbookViewId="0">
      <selection activeCell="D7" sqref="D7"/>
    </sheetView>
  </sheetViews>
  <sheetFormatPr baseColWidth="10" defaultColWidth="10.1640625" defaultRowHeight="16" x14ac:dyDescent="0.2"/>
  <cols>
    <col min="1" max="16384" width="10.1640625" style="136"/>
  </cols>
  <sheetData>
    <row r="1" spans="2:6" x14ac:dyDescent="0.2">
      <c r="C1" s="136" t="s">
        <v>229</v>
      </c>
    </row>
    <row r="4" spans="2:6" x14ac:dyDescent="0.2">
      <c r="C4" s="136" t="s">
        <v>230</v>
      </c>
    </row>
    <row r="5" spans="2:6" s="270" customFormat="1" ht="102" x14ac:dyDescent="0.2">
      <c r="C5" s="270" t="s">
        <v>231</v>
      </c>
      <c r="D5" s="270" t="s">
        <v>232</v>
      </c>
      <c r="E5" s="270" t="s">
        <v>233</v>
      </c>
      <c r="F5" s="270" t="s">
        <v>234</v>
      </c>
    </row>
    <row r="6" spans="2:6" x14ac:dyDescent="0.2">
      <c r="B6" s="136" t="s">
        <v>235</v>
      </c>
      <c r="D6" s="66" t="e">
        <v>#REF!</v>
      </c>
      <c r="E6" s="66">
        <f>+$E$10*F6/$F$10</f>
        <v>7.4969101817813119E-2</v>
      </c>
      <c r="F6" s="137">
        <v>5.4183261001233426E-2</v>
      </c>
    </row>
    <row r="7" spans="2:6" x14ac:dyDescent="0.2">
      <c r="B7" s="136" t="s">
        <v>236</v>
      </c>
      <c r="D7" s="66" t="e">
        <v>#REF!</v>
      </c>
      <c r="E7" s="66">
        <f>+$E$10*F7/$F$10</f>
        <v>0.16431684883942393</v>
      </c>
      <c r="F7" s="137">
        <v>0.11875856174991901</v>
      </c>
    </row>
    <row r="8" spans="2:6" x14ac:dyDescent="0.2">
      <c r="B8" s="136" t="s">
        <v>237</v>
      </c>
      <c r="D8" s="66" t="e">
        <v>#REF!</v>
      </c>
      <c r="E8" s="66">
        <f>+$E$10*F8/$F$10</f>
        <v>0.16892561305506695</v>
      </c>
      <c r="F8" s="137">
        <v>0.12208950567660745</v>
      </c>
    </row>
    <row r="9" spans="2:6" x14ac:dyDescent="0.2">
      <c r="B9" s="136" t="s">
        <v>238</v>
      </c>
      <c r="D9" s="66" t="e">
        <v>#REF!</v>
      </c>
      <c r="E9" s="66">
        <f>+$E$10*F9/$F$10</f>
        <v>0.16908639809851558</v>
      </c>
      <c r="F9" s="137">
        <v>0.12220571165697844</v>
      </c>
    </row>
    <row r="10" spans="2:6" x14ac:dyDescent="0.2">
      <c r="B10" s="136" t="s">
        <v>239</v>
      </c>
      <c r="C10" s="469">
        <f>+AVERAGE('DataF3-F4'!N5:N9)</f>
        <v>0.11054685931511092</v>
      </c>
      <c r="D10" s="469">
        <f>+AVERAGE('DataF3-F4'!O5:O9)</f>
        <v>5.2936853501580505E-2</v>
      </c>
      <c r="E10" s="66">
        <f>+AVERAGE('DataF3-F4'!D5:D9)</f>
        <v>0.14396982153275167</v>
      </c>
      <c r="F10" s="137">
        <v>0.10405292616906572</v>
      </c>
    </row>
    <row r="11" spans="2:6" x14ac:dyDescent="0.2">
      <c r="B11" s="136" t="s">
        <v>240</v>
      </c>
      <c r="C11" s="66">
        <f>+AVERAGE('DataF3-F4'!N10:N19)</f>
        <v>6.7875545372632212E-2</v>
      </c>
      <c r="D11" s="66">
        <f>+AVERAGE('DataF3-F4'!O10:O19)</f>
        <v>5.1026609927658659E-2</v>
      </c>
      <c r="E11" s="66">
        <f>+AVERAGE('DataF3-F4'!D10:D19)</f>
        <v>0.15334018178812608</v>
      </c>
    </row>
    <row r="12" spans="2:6" x14ac:dyDescent="0.2">
      <c r="B12" s="136" t="s">
        <v>241</v>
      </c>
      <c r="C12" s="66">
        <f>+AVERAGE('DataF3-F4'!N20:N29)</f>
        <v>6.6249825845031016E-2</v>
      </c>
      <c r="D12" s="66">
        <f>+AVERAGE('DataF3-F4'!O20:O29)</f>
        <v>5.9142194330966277E-2</v>
      </c>
      <c r="E12" s="66">
        <f>+AVERAGE('DataF3-F4'!D20:D29)</f>
        <v>0.16208390011818888</v>
      </c>
    </row>
    <row r="13" spans="2:6" x14ac:dyDescent="0.2">
      <c r="B13" s="136" t="s">
        <v>242</v>
      </c>
      <c r="C13" s="66">
        <f>+AVERAGE('DataF3-F4'!N30:N39)</f>
        <v>0.13890700357242433</v>
      </c>
      <c r="D13" s="66">
        <f>+AVERAGE('DataF3-F4'!O30:O39)</f>
        <v>0.12750459452658913</v>
      </c>
      <c r="E13" s="66">
        <f>+AVERAGE('DataF3-F4'!D30:D39)</f>
        <v>0.17428473318514803</v>
      </c>
    </row>
    <row r="14" spans="2:6" x14ac:dyDescent="0.2">
      <c r="B14" s="136" t="s">
        <v>243</v>
      </c>
      <c r="C14" s="66">
        <f>AVERAGE('DataF3-F4'!N40:N49)</f>
        <v>0.16602842477501872</v>
      </c>
      <c r="D14" s="66">
        <f>AVERAGE('DataF3-F4'!O40:O49)</f>
        <v>0.16367318598524433</v>
      </c>
      <c r="E14" s="66">
        <f>+AVERAGE('DataF3-F4'!D40:D49)</f>
        <v>0.18623584339492799</v>
      </c>
    </row>
    <row r="15" spans="2:6" x14ac:dyDescent="0.2">
      <c r="B15" s="136" t="s">
        <v>244</v>
      </c>
      <c r="C15" s="137">
        <f>AVERAGE('DataF3-F4'!N50:N52)</f>
        <v>0.17294513875882611</v>
      </c>
      <c r="D15" s="137">
        <f>AVERAGE('DataF3-F4'!O50:O52)</f>
        <v>0.17872826752995993</v>
      </c>
      <c r="E15" s="137">
        <f>AVERAGE('DataF3-F4'!D50:D52)</f>
        <v>0.19256785304167137</v>
      </c>
    </row>
  </sheetData>
  <pageMargins left="0.7" right="0.7" top="0.75" bottom="0.75" header="0.3" footer="0.3"/>
  <pageSetup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1"/>
  </sheetPr>
  <dimension ref="A1"/>
  <sheetViews>
    <sheetView workbookViewId="0">
      <selection activeCell="S24" sqref="S24"/>
    </sheetView>
  </sheetViews>
  <sheetFormatPr baseColWidth="10" defaultColWidth="8.83203125" defaultRowHeight="16" x14ac:dyDescent="0.2"/>
  <sheetData/>
  <pageMargins left="0.7" right="0.7" top="0.75" bottom="0.75" header="0.3" footer="0.3"/>
  <pageSetup orientation="portrait" horizontalDpi="0" verticalDpi="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932AF-03DA-A949-9AF8-90C8301F7A91}">
  <dimension ref="A1:AX232"/>
  <sheetViews>
    <sheetView showGridLines="0" showRowColHeaders="0" zoomScaleNormal="100" workbookViewId="0">
      <pane xSplit="1" ySplit="5" topLeftCell="AQ213" activePane="bottomRight" state="frozen"/>
      <selection pane="topRight"/>
      <selection pane="bottomLeft"/>
      <selection pane="bottomRight" activeCell="B231" sqref="B230:B231"/>
    </sheetView>
  </sheetViews>
  <sheetFormatPr baseColWidth="10" defaultColWidth="10.1640625" defaultRowHeight="14.5" customHeight="1" x14ac:dyDescent="0.15"/>
  <cols>
    <col min="1" max="1" width="34" style="181" customWidth="1"/>
    <col min="2" max="2" width="10.33203125" style="181" customWidth="1"/>
    <col min="3" max="4" width="9.6640625" style="181" customWidth="1"/>
    <col min="5" max="5" width="11.1640625" style="181" customWidth="1"/>
    <col min="6" max="6" width="9.6640625" style="181" customWidth="1"/>
    <col min="7" max="9" width="10.33203125" style="181" customWidth="1"/>
    <col min="10" max="10" width="9.6640625" style="181" customWidth="1"/>
    <col min="11" max="11" width="10.33203125" style="181" customWidth="1"/>
    <col min="12" max="19" width="9.6640625" style="181" customWidth="1"/>
    <col min="20" max="21" width="10.33203125" style="181" customWidth="1"/>
    <col min="22" max="22" width="9.5" style="181" customWidth="1"/>
    <col min="23" max="25" width="10.33203125" style="181" customWidth="1"/>
    <col min="26" max="28" width="11.5" style="181" customWidth="1"/>
    <col min="29" max="29" width="10.33203125" style="181" customWidth="1"/>
    <col min="30" max="33" width="11.5" style="181" customWidth="1"/>
    <col min="34" max="49" width="10.1640625" style="181"/>
    <col min="50" max="50" width="11.6640625" style="181" bestFit="1" customWidth="1"/>
    <col min="51" max="16384" width="10.1640625" style="181"/>
  </cols>
  <sheetData>
    <row r="1" spans="1:50" ht="19.5" customHeight="1" x14ac:dyDescent="0.15">
      <c r="A1" s="550" t="s">
        <v>245</v>
      </c>
      <c r="B1" s="550"/>
      <c r="C1" s="550"/>
      <c r="D1" s="550"/>
      <c r="E1" s="550"/>
      <c r="F1" s="550"/>
      <c r="G1" s="550"/>
      <c r="H1" s="550"/>
      <c r="I1" s="550"/>
      <c r="J1" s="550"/>
      <c r="K1" s="550"/>
      <c r="L1" s="550"/>
      <c r="M1" s="550"/>
      <c r="N1" s="486"/>
      <c r="O1" s="486"/>
      <c r="P1" s="486"/>
      <c r="Q1" s="486"/>
      <c r="R1" s="486"/>
      <c r="S1" s="486"/>
      <c r="T1" s="486"/>
      <c r="U1" s="486"/>
      <c r="V1" s="486"/>
      <c r="W1" s="486"/>
      <c r="X1" s="486"/>
      <c r="Y1" s="486"/>
      <c r="Z1" s="486"/>
      <c r="AA1" s="486"/>
      <c r="AB1" s="486"/>
      <c r="AC1" s="486"/>
      <c r="AD1" s="486"/>
      <c r="AE1" s="486"/>
      <c r="AF1" s="486"/>
      <c r="AG1" s="486"/>
    </row>
    <row r="2" spans="1:50" ht="16.5" customHeight="1" x14ac:dyDescent="0.15">
      <c r="A2" s="193" t="s">
        <v>246</v>
      </c>
      <c r="B2" s="486"/>
      <c r="C2" s="486"/>
      <c r="D2" s="486"/>
      <c r="E2" s="486"/>
      <c r="F2" s="486"/>
      <c r="G2" s="486"/>
      <c r="H2" s="486"/>
      <c r="I2" s="486"/>
      <c r="J2" s="486"/>
      <c r="K2" s="486"/>
      <c r="L2" s="486"/>
      <c r="M2" s="486"/>
      <c r="N2" s="486"/>
      <c r="O2" s="486"/>
      <c r="P2" s="486"/>
      <c r="Q2" s="486"/>
      <c r="R2" s="486"/>
      <c r="S2" s="486"/>
      <c r="T2" s="486"/>
      <c r="U2" s="486"/>
      <c r="V2" s="486"/>
      <c r="W2" s="486"/>
      <c r="X2" s="486"/>
      <c r="Y2" s="486"/>
      <c r="Z2" s="486"/>
      <c r="AA2" s="486"/>
      <c r="AB2" s="486"/>
      <c r="AC2" s="486"/>
      <c r="AD2" s="486"/>
      <c r="AE2" s="486"/>
      <c r="AF2" s="486"/>
      <c r="AG2" s="486"/>
    </row>
    <row r="3" spans="1:50" ht="11.25" customHeight="1" x14ac:dyDescent="0.15">
      <c r="A3" s="193"/>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row>
    <row r="4" spans="1:50" ht="17.25" customHeight="1" x14ac:dyDescent="0.15">
      <c r="A4" s="553" t="s">
        <v>247</v>
      </c>
      <c r="B4" s="553"/>
      <c r="C4" s="192"/>
      <c r="D4" s="191"/>
      <c r="E4" s="191"/>
      <c r="F4" s="191"/>
      <c r="G4" s="191"/>
      <c r="H4" s="191"/>
      <c r="I4" s="191"/>
      <c r="J4" s="191"/>
      <c r="K4" s="191"/>
      <c r="L4" s="191"/>
      <c r="M4" s="191"/>
      <c r="N4" s="191"/>
      <c r="O4" s="191"/>
      <c r="P4" s="191"/>
      <c r="Q4" s="191"/>
      <c r="R4" s="191"/>
      <c r="S4" s="191"/>
      <c r="T4" s="191"/>
      <c r="U4" s="191"/>
      <c r="V4" s="191"/>
      <c r="W4" s="191"/>
      <c r="X4" s="191"/>
      <c r="Y4" s="191"/>
      <c r="Z4" s="191"/>
      <c r="AA4" s="191"/>
      <c r="AB4" s="191"/>
      <c r="AC4" s="191"/>
      <c r="AD4" s="191"/>
      <c r="AE4" s="191"/>
      <c r="AF4" s="191"/>
      <c r="AG4" s="191"/>
    </row>
    <row r="5" spans="1:50" ht="14.25" customHeight="1" x14ac:dyDescent="0.15">
      <c r="A5" s="190"/>
      <c r="B5" s="293" t="s">
        <v>248</v>
      </c>
      <c r="C5" s="294" t="s">
        <v>249</v>
      </c>
      <c r="D5" s="294" t="s">
        <v>250</v>
      </c>
      <c r="E5" s="294" t="s">
        <v>251</v>
      </c>
      <c r="F5" s="294" t="s">
        <v>252</v>
      </c>
      <c r="G5" s="294" t="s">
        <v>253</v>
      </c>
      <c r="H5" s="294" t="s">
        <v>254</v>
      </c>
      <c r="I5" s="294" t="s">
        <v>255</v>
      </c>
      <c r="J5" s="294" t="s">
        <v>256</v>
      </c>
      <c r="K5" s="294" t="s">
        <v>257</v>
      </c>
      <c r="L5" s="294" t="s">
        <v>258</v>
      </c>
      <c r="M5" s="294" t="s">
        <v>259</v>
      </c>
      <c r="N5" s="294" t="s">
        <v>260</v>
      </c>
      <c r="O5" s="294" t="s">
        <v>261</v>
      </c>
      <c r="P5" s="294" t="s">
        <v>262</v>
      </c>
      <c r="Q5" s="294" t="s">
        <v>263</v>
      </c>
      <c r="R5" s="294" t="s">
        <v>264</v>
      </c>
      <c r="S5" s="294" t="s">
        <v>265</v>
      </c>
      <c r="T5" s="294" t="s">
        <v>266</v>
      </c>
      <c r="U5" s="294" t="s">
        <v>267</v>
      </c>
      <c r="V5" s="294" t="s">
        <v>268</v>
      </c>
      <c r="W5" s="294" t="s">
        <v>269</v>
      </c>
      <c r="X5" s="294" t="s">
        <v>270</v>
      </c>
      <c r="Y5" s="294" t="s">
        <v>271</v>
      </c>
      <c r="Z5" s="294" t="s">
        <v>272</v>
      </c>
      <c r="AA5" s="294" t="s">
        <v>273</v>
      </c>
      <c r="AB5" s="294" t="s">
        <v>274</v>
      </c>
      <c r="AC5" s="294" t="s">
        <v>275</v>
      </c>
      <c r="AD5" s="294" t="s">
        <v>276</v>
      </c>
      <c r="AE5" s="294" t="s">
        <v>277</v>
      </c>
      <c r="AF5" s="189" t="s">
        <v>278</v>
      </c>
      <c r="AG5" s="188" t="s">
        <v>279</v>
      </c>
      <c r="AH5" s="188" t="s">
        <v>280</v>
      </c>
      <c r="AI5" s="188" t="s">
        <v>281</v>
      </c>
      <c r="AJ5" s="188" t="s">
        <v>282</v>
      </c>
      <c r="AK5" s="188" t="s">
        <v>283</v>
      </c>
      <c r="AL5" s="188" t="s">
        <v>284</v>
      </c>
      <c r="AM5" s="188" t="s">
        <v>285</v>
      </c>
      <c r="AN5" s="188" t="s">
        <v>286</v>
      </c>
      <c r="AO5" s="188" t="s">
        <v>287</v>
      </c>
      <c r="AP5" s="188" t="s">
        <v>288</v>
      </c>
      <c r="AQ5" s="188" t="s">
        <v>289</v>
      </c>
      <c r="AR5" s="188" t="s">
        <v>290</v>
      </c>
      <c r="AS5" s="188" t="s">
        <v>291</v>
      </c>
      <c r="AT5" s="188" t="s">
        <v>292</v>
      </c>
      <c r="AU5" s="188" t="s">
        <v>293</v>
      </c>
      <c r="AV5" s="188" t="s">
        <v>294</v>
      </c>
      <c r="AW5" s="300" t="s">
        <v>295</v>
      </c>
    </row>
    <row r="6" spans="1:50" ht="14.25" customHeight="1" x14ac:dyDescent="0.15">
      <c r="A6" s="187" t="s">
        <v>296</v>
      </c>
      <c r="B6" s="295" t="s">
        <v>297</v>
      </c>
      <c r="C6" s="295" t="s">
        <v>297</v>
      </c>
      <c r="D6" s="295" t="s">
        <v>297</v>
      </c>
      <c r="E6" s="295" t="s">
        <v>297</v>
      </c>
      <c r="F6" s="295">
        <v>0</v>
      </c>
      <c r="G6" s="295">
        <v>0</v>
      </c>
      <c r="H6" s="295">
        <v>0</v>
      </c>
      <c r="I6" s="295">
        <v>0</v>
      </c>
      <c r="J6" s="295">
        <v>0</v>
      </c>
      <c r="K6" s="295">
        <v>0</v>
      </c>
      <c r="L6" s="295">
        <v>0</v>
      </c>
      <c r="M6" s="295">
        <v>0</v>
      </c>
      <c r="N6" s="295">
        <v>0</v>
      </c>
      <c r="O6" s="295">
        <v>0</v>
      </c>
      <c r="P6" s="295">
        <v>0</v>
      </c>
      <c r="Q6" s="295" t="s">
        <v>297</v>
      </c>
      <c r="R6" s="295" t="s">
        <v>297</v>
      </c>
      <c r="S6" s="295" t="s">
        <v>297</v>
      </c>
      <c r="T6" s="295" t="s">
        <v>297</v>
      </c>
      <c r="U6" s="295" t="s">
        <v>297</v>
      </c>
      <c r="V6" s="295" t="s">
        <v>297</v>
      </c>
      <c r="W6" s="295" t="s">
        <v>297</v>
      </c>
      <c r="X6" s="295" t="s">
        <v>297</v>
      </c>
      <c r="Y6" s="295" t="s">
        <v>297</v>
      </c>
      <c r="Z6" s="295" t="s">
        <v>297</v>
      </c>
      <c r="AA6" s="295" t="s">
        <v>297</v>
      </c>
      <c r="AB6" s="295" t="s">
        <v>297</v>
      </c>
      <c r="AC6" s="295" t="s">
        <v>297</v>
      </c>
      <c r="AD6" s="295" t="s">
        <v>297</v>
      </c>
      <c r="AE6" s="295" t="s">
        <v>297</v>
      </c>
      <c r="AF6" s="183" t="s">
        <v>297</v>
      </c>
      <c r="AG6" s="183" t="s">
        <v>297</v>
      </c>
      <c r="AH6" s="183" t="s">
        <v>297</v>
      </c>
      <c r="AI6" s="183">
        <v>0</v>
      </c>
      <c r="AJ6" s="183">
        <v>0</v>
      </c>
      <c r="AK6" s="183">
        <v>0</v>
      </c>
      <c r="AL6" s="183">
        <v>0</v>
      </c>
      <c r="AM6" s="183">
        <v>0</v>
      </c>
      <c r="AN6" s="183">
        <v>0</v>
      </c>
      <c r="AO6" s="183">
        <v>0</v>
      </c>
      <c r="AP6" s="183">
        <v>0</v>
      </c>
      <c r="AQ6" s="183">
        <v>0</v>
      </c>
      <c r="AR6" s="183">
        <v>0</v>
      </c>
      <c r="AS6" s="183">
        <v>0.95738938480644697</v>
      </c>
      <c r="AT6" s="183">
        <v>3.0420280807987199</v>
      </c>
      <c r="AU6" s="183">
        <v>5.1821839546085302E-3</v>
      </c>
      <c r="AV6" s="183">
        <v>0</v>
      </c>
      <c r="AW6" s="295">
        <v>0</v>
      </c>
      <c r="AX6" s="304"/>
    </row>
    <row r="7" spans="1:50" ht="14.25" customHeight="1" x14ac:dyDescent="0.15">
      <c r="A7" s="186" t="s">
        <v>298</v>
      </c>
      <c r="B7" s="296" t="s">
        <v>297</v>
      </c>
      <c r="C7" s="296" t="s">
        <v>297</v>
      </c>
      <c r="D7" s="296" t="s">
        <v>297</v>
      </c>
      <c r="E7" s="296" t="s">
        <v>297</v>
      </c>
      <c r="F7" s="296" t="s">
        <v>297</v>
      </c>
      <c r="G7" s="296">
        <v>0</v>
      </c>
      <c r="H7" s="296">
        <v>0</v>
      </c>
      <c r="I7" s="296">
        <v>0</v>
      </c>
      <c r="J7" s="296">
        <v>0</v>
      </c>
      <c r="K7" s="296">
        <v>0</v>
      </c>
      <c r="L7" s="296">
        <v>0</v>
      </c>
      <c r="M7" s="296">
        <v>0</v>
      </c>
      <c r="N7" s="296">
        <v>0</v>
      </c>
      <c r="O7" s="296">
        <v>0</v>
      </c>
      <c r="P7" s="296">
        <v>0</v>
      </c>
      <c r="Q7" s="296">
        <v>0</v>
      </c>
      <c r="R7" s="296">
        <v>0</v>
      </c>
      <c r="S7" s="296">
        <v>0</v>
      </c>
      <c r="T7" s="296">
        <v>0</v>
      </c>
      <c r="U7" s="296">
        <v>0</v>
      </c>
      <c r="V7" s="296">
        <v>0.2</v>
      </c>
      <c r="W7" s="296">
        <v>0</v>
      </c>
      <c r="X7" s="296">
        <v>0</v>
      </c>
      <c r="Y7" s="296">
        <v>0</v>
      </c>
      <c r="Z7" s="296">
        <v>0</v>
      </c>
      <c r="AA7" s="296">
        <v>0</v>
      </c>
      <c r="AB7" s="296">
        <v>0</v>
      </c>
      <c r="AC7" s="296">
        <v>0</v>
      </c>
      <c r="AD7" s="296">
        <v>0</v>
      </c>
      <c r="AE7" s="296">
        <v>0</v>
      </c>
      <c r="AF7" s="185">
        <v>0.43868726711879796</v>
      </c>
      <c r="AG7" s="185">
        <v>13.29</v>
      </c>
      <c r="AH7" s="185">
        <v>18.75</v>
      </c>
      <c r="AI7" s="185">
        <v>34.9</v>
      </c>
      <c r="AJ7" s="185">
        <v>36.739744140212579</v>
      </c>
      <c r="AK7" s="185">
        <v>15.090973860028926</v>
      </c>
      <c r="AL7" s="185">
        <v>14.683662038487492</v>
      </c>
      <c r="AM7" s="185">
        <v>2.9579357514888329</v>
      </c>
      <c r="AN7" s="185">
        <v>7.660623563737925</v>
      </c>
      <c r="AO7" s="185">
        <v>6.3243872836821629</v>
      </c>
      <c r="AP7" s="185">
        <v>17.651471558702806</v>
      </c>
      <c r="AQ7" s="185">
        <v>36.725569068452266</v>
      </c>
      <c r="AR7" s="185">
        <v>33.583718702552183</v>
      </c>
      <c r="AS7" s="185">
        <v>6.9669463767399451</v>
      </c>
      <c r="AT7" s="185">
        <v>16.772167824675172</v>
      </c>
      <c r="AU7" s="185">
        <v>18.999143754593842</v>
      </c>
      <c r="AV7" s="185">
        <v>11.086596481241036</v>
      </c>
      <c r="AW7" s="296">
        <v>52.211772044778208</v>
      </c>
      <c r="AX7" s="304"/>
    </row>
    <row r="8" spans="1:50" ht="14.25" customHeight="1" x14ac:dyDescent="0.15">
      <c r="A8" s="186" t="s">
        <v>299</v>
      </c>
      <c r="B8" s="295" t="s">
        <v>297</v>
      </c>
      <c r="C8" s="295" t="s">
        <v>297</v>
      </c>
      <c r="D8" s="295">
        <v>0</v>
      </c>
      <c r="E8" s="295">
        <v>0</v>
      </c>
      <c r="F8" s="295">
        <v>0</v>
      </c>
      <c r="G8" s="295">
        <v>1.8241280021431232</v>
      </c>
      <c r="H8" s="295">
        <v>1.3902378275348748</v>
      </c>
      <c r="I8" s="295">
        <v>2.1776094571061972</v>
      </c>
      <c r="J8" s="295">
        <v>2.5058469768012541</v>
      </c>
      <c r="K8" s="295">
        <v>3.0100082777744359</v>
      </c>
      <c r="L8" s="295">
        <v>2.7845180794781017</v>
      </c>
      <c r="M8" s="295">
        <v>1.9139502160282684</v>
      </c>
      <c r="N8" s="295">
        <v>1.6495723999044611</v>
      </c>
      <c r="O8" s="295">
        <v>3.0432307839700621</v>
      </c>
      <c r="P8" s="295">
        <v>5.1258067943226235</v>
      </c>
      <c r="Q8" s="295">
        <v>4.5771657110747892</v>
      </c>
      <c r="R8" s="295">
        <v>14.50775799652193</v>
      </c>
      <c r="S8" s="295" t="s">
        <v>297</v>
      </c>
      <c r="T8" s="295" t="s">
        <v>297</v>
      </c>
      <c r="U8" s="295" t="s">
        <v>297</v>
      </c>
      <c r="V8" s="295" t="s">
        <v>297</v>
      </c>
      <c r="W8" s="295" t="s">
        <v>297</v>
      </c>
      <c r="X8" s="295" t="s">
        <v>297</v>
      </c>
      <c r="Y8" s="295" t="s">
        <v>297</v>
      </c>
      <c r="Z8" s="295" t="s">
        <v>297</v>
      </c>
      <c r="AA8" s="295" t="s">
        <v>297</v>
      </c>
      <c r="AB8" s="295" t="s">
        <v>297</v>
      </c>
      <c r="AC8" s="295" t="s">
        <v>297</v>
      </c>
      <c r="AD8" s="295" t="s">
        <v>297</v>
      </c>
      <c r="AE8" s="295" t="s">
        <v>297</v>
      </c>
      <c r="AF8" s="183">
        <v>8.9999999999995932</v>
      </c>
      <c r="AG8" s="183">
        <v>26.00000000000118</v>
      </c>
      <c r="AH8" s="183">
        <v>40.105341529522427</v>
      </c>
      <c r="AI8" s="183">
        <v>606.83837247916767</v>
      </c>
      <c r="AJ8" s="183">
        <v>111.08968541780558</v>
      </c>
      <c r="AK8" s="183">
        <v>350.7</v>
      </c>
      <c r="AL8" s="183">
        <v>334.97152348585212</v>
      </c>
      <c r="AM8" s="183">
        <v>204.02132558696408</v>
      </c>
      <c r="AN8" s="183">
        <v>163.17768406569871</v>
      </c>
      <c r="AO8" s="183">
        <v>442.37010232205694</v>
      </c>
      <c r="AP8" s="183">
        <v>72.68021359342184</v>
      </c>
      <c r="AQ8" s="183">
        <v>384.74530637248182</v>
      </c>
      <c r="AR8" s="183">
        <v>712.24416028344717</v>
      </c>
      <c r="AS8" s="183">
        <v>36.769280536452143</v>
      </c>
      <c r="AT8" s="183">
        <v>121.30659148980871</v>
      </c>
      <c r="AU8" s="183">
        <v>136.5809623297753</v>
      </c>
      <c r="AV8" s="183">
        <v>138.48684708836348</v>
      </c>
      <c r="AW8" s="295">
        <v>133.40824743187827</v>
      </c>
      <c r="AX8" s="304"/>
    </row>
    <row r="9" spans="1:50" ht="14.25" customHeight="1" x14ac:dyDescent="0.15">
      <c r="A9" s="186" t="s">
        <v>300</v>
      </c>
      <c r="B9" s="296" t="s">
        <v>297</v>
      </c>
      <c r="C9" s="296" t="s">
        <v>297</v>
      </c>
      <c r="D9" s="296" t="s">
        <v>297</v>
      </c>
      <c r="E9" s="296" t="s">
        <v>297</v>
      </c>
      <c r="F9" s="296" t="s">
        <v>297</v>
      </c>
      <c r="G9" s="296" t="s">
        <v>297</v>
      </c>
      <c r="H9" s="296" t="s">
        <v>297</v>
      </c>
      <c r="I9" s="296" t="s">
        <v>297</v>
      </c>
      <c r="J9" s="296" t="s">
        <v>297</v>
      </c>
      <c r="K9" s="296" t="s">
        <v>297</v>
      </c>
      <c r="L9" s="296" t="s">
        <v>297</v>
      </c>
      <c r="M9" s="296" t="s">
        <v>297</v>
      </c>
      <c r="N9" s="296" t="s">
        <v>297</v>
      </c>
      <c r="O9" s="296" t="s">
        <v>297</v>
      </c>
      <c r="P9" s="296" t="s">
        <v>297</v>
      </c>
      <c r="Q9" s="296" t="s">
        <v>297</v>
      </c>
      <c r="R9" s="296" t="s">
        <v>297</v>
      </c>
      <c r="S9" s="296" t="s">
        <v>297</v>
      </c>
      <c r="T9" s="296" t="s">
        <v>297</v>
      </c>
      <c r="U9" s="296" t="s">
        <v>297</v>
      </c>
      <c r="V9" s="296" t="s">
        <v>297</v>
      </c>
      <c r="W9" s="296" t="s">
        <v>297</v>
      </c>
      <c r="X9" s="296" t="s">
        <v>297</v>
      </c>
      <c r="Y9" s="296" t="s">
        <v>297</v>
      </c>
      <c r="Z9" s="296" t="s">
        <v>297</v>
      </c>
      <c r="AA9" s="296" t="s">
        <v>297</v>
      </c>
      <c r="AB9" s="296" t="s">
        <v>297</v>
      </c>
      <c r="AC9" s="296" t="s">
        <v>297</v>
      </c>
      <c r="AD9" s="296" t="s">
        <v>297</v>
      </c>
      <c r="AE9" s="296" t="s">
        <v>297</v>
      </c>
      <c r="AF9" s="185" t="s">
        <v>297</v>
      </c>
      <c r="AG9" s="185" t="s">
        <v>297</v>
      </c>
      <c r="AH9" s="185" t="s">
        <v>297</v>
      </c>
      <c r="AI9" s="185" t="s">
        <v>297</v>
      </c>
      <c r="AJ9" s="185" t="s">
        <v>297</v>
      </c>
      <c r="AK9" s="185" t="s">
        <v>297</v>
      </c>
      <c r="AL9" s="185" t="s">
        <v>297</v>
      </c>
      <c r="AM9" s="185" t="s">
        <v>297</v>
      </c>
      <c r="AN9" s="185" t="s">
        <v>297</v>
      </c>
      <c r="AO9" s="185" t="s">
        <v>297</v>
      </c>
      <c r="AP9" s="185" t="s">
        <v>297</v>
      </c>
      <c r="AQ9" s="185" t="s">
        <v>297</v>
      </c>
      <c r="AR9" s="185" t="s">
        <v>297</v>
      </c>
      <c r="AS9" s="185" t="s">
        <v>297</v>
      </c>
      <c r="AT9" s="185">
        <v>65.3</v>
      </c>
      <c r="AU9" s="185">
        <v>49.950310611521559</v>
      </c>
      <c r="AV9" s="185">
        <v>49.638106465960206</v>
      </c>
      <c r="AW9" s="298"/>
      <c r="AX9" s="304"/>
    </row>
    <row r="10" spans="1:50" ht="14.25" customHeight="1" x14ac:dyDescent="0.15">
      <c r="A10" s="186" t="s">
        <v>301</v>
      </c>
      <c r="B10" s="295" t="s">
        <v>297</v>
      </c>
      <c r="C10" s="295" t="s">
        <v>297</v>
      </c>
      <c r="D10" s="295" t="s">
        <v>297</v>
      </c>
      <c r="E10" s="295" t="s">
        <v>297</v>
      </c>
      <c r="F10" s="295" t="s">
        <v>297</v>
      </c>
      <c r="G10" s="295" t="s">
        <v>297</v>
      </c>
      <c r="H10" s="295" t="s">
        <v>297</v>
      </c>
      <c r="I10" s="295" t="s">
        <v>297</v>
      </c>
      <c r="J10" s="295" t="s">
        <v>297</v>
      </c>
      <c r="K10" s="295" t="s">
        <v>297</v>
      </c>
      <c r="L10" s="295">
        <v>0</v>
      </c>
      <c r="M10" s="295">
        <v>0</v>
      </c>
      <c r="N10" s="295">
        <v>0</v>
      </c>
      <c r="O10" s="295">
        <v>0</v>
      </c>
      <c r="P10" s="295">
        <v>0</v>
      </c>
      <c r="Q10" s="295">
        <v>0</v>
      </c>
      <c r="R10" s="295">
        <v>0</v>
      </c>
      <c r="S10" s="295">
        <v>0</v>
      </c>
      <c r="T10" s="295">
        <v>0</v>
      </c>
      <c r="U10" s="295">
        <v>0</v>
      </c>
      <c r="V10" s="295">
        <v>0</v>
      </c>
      <c r="W10" s="295">
        <v>0</v>
      </c>
      <c r="X10" s="295">
        <v>0</v>
      </c>
      <c r="Y10" s="295">
        <v>0</v>
      </c>
      <c r="Z10" s="295">
        <v>0</v>
      </c>
      <c r="AA10" s="295">
        <v>0</v>
      </c>
      <c r="AB10" s="295">
        <v>0</v>
      </c>
      <c r="AC10" s="295">
        <v>0</v>
      </c>
      <c r="AD10" s="295">
        <v>0</v>
      </c>
      <c r="AE10" s="295">
        <v>0</v>
      </c>
      <c r="AF10" s="183">
        <v>17.885303660000002</v>
      </c>
      <c r="AG10" s="183">
        <v>0</v>
      </c>
      <c r="AH10" s="183">
        <v>0</v>
      </c>
      <c r="AI10" s="183">
        <v>0</v>
      </c>
      <c r="AJ10" s="183" t="s">
        <v>297</v>
      </c>
      <c r="AK10" s="183" t="s">
        <v>297</v>
      </c>
      <c r="AL10" s="183" t="s">
        <v>297</v>
      </c>
      <c r="AM10" s="183">
        <v>0</v>
      </c>
      <c r="AN10" s="183">
        <v>0</v>
      </c>
      <c r="AO10" s="183">
        <v>0</v>
      </c>
      <c r="AP10" s="183">
        <v>0</v>
      </c>
      <c r="AQ10" s="183">
        <v>0</v>
      </c>
      <c r="AR10" s="183">
        <v>21.003799999999998</v>
      </c>
      <c r="AS10" s="183">
        <v>3.54</v>
      </c>
      <c r="AT10" s="183">
        <v>9.5898000000000003</v>
      </c>
      <c r="AU10" s="183">
        <v>109.93980000000001</v>
      </c>
      <c r="AV10" s="183">
        <v>14.1271</v>
      </c>
      <c r="AW10" s="295">
        <v>20.264900000000001</v>
      </c>
      <c r="AX10" s="304"/>
    </row>
    <row r="11" spans="1:50" ht="14.25" customHeight="1" x14ac:dyDescent="0.15">
      <c r="A11" s="186" t="s">
        <v>302</v>
      </c>
      <c r="B11" s="296" t="s">
        <v>297</v>
      </c>
      <c r="C11" s="296" t="s">
        <v>297</v>
      </c>
      <c r="D11" s="296" t="s">
        <v>297</v>
      </c>
      <c r="E11" s="296" t="s">
        <v>297</v>
      </c>
      <c r="F11" s="296" t="s">
        <v>297</v>
      </c>
      <c r="G11" s="296" t="s">
        <v>297</v>
      </c>
      <c r="H11" s="296" t="s">
        <v>297</v>
      </c>
      <c r="I11" s="296" t="s">
        <v>297</v>
      </c>
      <c r="J11" s="296" t="s">
        <v>297</v>
      </c>
      <c r="K11" s="296" t="s">
        <v>297</v>
      </c>
      <c r="L11" s="296" t="s">
        <v>297</v>
      </c>
      <c r="M11" s="296" t="s">
        <v>297</v>
      </c>
      <c r="N11" s="296" t="s">
        <v>297</v>
      </c>
      <c r="O11" s="296" t="s">
        <v>297</v>
      </c>
      <c r="P11" s="296" t="s">
        <v>297</v>
      </c>
      <c r="Q11" s="296">
        <v>0</v>
      </c>
      <c r="R11" s="296">
        <v>0</v>
      </c>
      <c r="S11" s="296">
        <v>0</v>
      </c>
      <c r="T11" s="296">
        <v>0</v>
      </c>
      <c r="U11" s="296">
        <v>0</v>
      </c>
      <c r="V11" s="296">
        <v>0</v>
      </c>
      <c r="W11" s="296">
        <v>0</v>
      </c>
      <c r="X11" s="296">
        <v>0</v>
      </c>
      <c r="Y11" s="296">
        <v>0</v>
      </c>
      <c r="Z11" s="296">
        <v>0</v>
      </c>
      <c r="AA11" s="296">
        <v>0</v>
      </c>
      <c r="AB11" s="296">
        <v>0</v>
      </c>
      <c r="AC11" s="296">
        <v>0</v>
      </c>
      <c r="AD11" s="296">
        <v>0</v>
      </c>
      <c r="AE11" s="296">
        <v>0</v>
      </c>
      <c r="AF11" s="185">
        <v>0</v>
      </c>
      <c r="AG11" s="185">
        <v>0</v>
      </c>
      <c r="AH11" s="185">
        <v>0</v>
      </c>
      <c r="AI11" s="185">
        <v>0</v>
      </c>
      <c r="AJ11" s="185">
        <v>0</v>
      </c>
      <c r="AK11" s="185">
        <v>0</v>
      </c>
      <c r="AL11" s="185">
        <v>0</v>
      </c>
      <c r="AM11" s="185">
        <v>0</v>
      </c>
      <c r="AN11" s="185">
        <v>0</v>
      </c>
      <c r="AO11" s="185">
        <v>0.1</v>
      </c>
      <c r="AP11" s="185">
        <v>2.015444444444444E-2</v>
      </c>
      <c r="AQ11" s="185">
        <v>0</v>
      </c>
      <c r="AR11" s="185">
        <v>0</v>
      </c>
      <c r="AS11" s="185">
        <v>0</v>
      </c>
      <c r="AT11" s="185">
        <v>0</v>
      </c>
      <c r="AU11" s="185">
        <v>0</v>
      </c>
      <c r="AV11" s="185">
        <v>0</v>
      </c>
      <c r="AW11" s="185">
        <v>0</v>
      </c>
      <c r="AX11" s="304"/>
    </row>
    <row r="12" spans="1:50" ht="14.25" customHeight="1" x14ac:dyDescent="0.15">
      <c r="A12" s="186" t="s">
        <v>303</v>
      </c>
      <c r="B12" s="295" t="s">
        <v>297</v>
      </c>
      <c r="C12" s="295" t="s">
        <v>297</v>
      </c>
      <c r="D12" s="295">
        <v>0</v>
      </c>
      <c r="E12" s="295">
        <v>0</v>
      </c>
      <c r="F12" s="295">
        <v>0</v>
      </c>
      <c r="G12" s="295">
        <v>0</v>
      </c>
      <c r="H12" s="295">
        <v>0</v>
      </c>
      <c r="I12" s="295">
        <v>0</v>
      </c>
      <c r="J12" s="295">
        <v>0</v>
      </c>
      <c r="K12" s="295">
        <v>0</v>
      </c>
      <c r="L12" s="295">
        <v>0</v>
      </c>
      <c r="M12" s="295">
        <v>0</v>
      </c>
      <c r="N12" s="295">
        <v>0</v>
      </c>
      <c r="O12" s="295">
        <v>0</v>
      </c>
      <c r="P12" s="295">
        <v>0</v>
      </c>
      <c r="Q12" s="295">
        <v>0</v>
      </c>
      <c r="R12" s="295">
        <v>0</v>
      </c>
      <c r="S12" s="295">
        <v>0</v>
      </c>
      <c r="T12" s="295">
        <v>0</v>
      </c>
      <c r="U12" s="295">
        <v>0</v>
      </c>
      <c r="V12" s="295">
        <v>0</v>
      </c>
      <c r="W12" s="295">
        <v>0</v>
      </c>
      <c r="X12" s="295">
        <v>0</v>
      </c>
      <c r="Y12" s="295">
        <v>0</v>
      </c>
      <c r="Z12" s="295">
        <v>0</v>
      </c>
      <c r="AA12" s="295">
        <v>0</v>
      </c>
      <c r="AB12" s="295">
        <v>0</v>
      </c>
      <c r="AC12" s="295">
        <v>0</v>
      </c>
      <c r="AD12" s="295">
        <v>0</v>
      </c>
      <c r="AE12" s="295">
        <v>0</v>
      </c>
      <c r="AF12" s="183">
        <v>0</v>
      </c>
      <c r="AG12" s="183">
        <v>0</v>
      </c>
      <c r="AH12" s="183">
        <v>0</v>
      </c>
      <c r="AI12" s="183">
        <v>0</v>
      </c>
      <c r="AJ12" s="183">
        <v>0</v>
      </c>
      <c r="AK12" s="183">
        <v>0</v>
      </c>
      <c r="AL12" s="183">
        <v>0</v>
      </c>
      <c r="AM12" s="183">
        <v>0</v>
      </c>
      <c r="AN12" s="183">
        <v>0</v>
      </c>
      <c r="AO12" s="183">
        <v>0.1</v>
      </c>
      <c r="AP12" s="183">
        <v>0.51971866666666655</v>
      </c>
      <c r="AQ12" s="183">
        <v>0</v>
      </c>
      <c r="AR12" s="183">
        <v>0</v>
      </c>
      <c r="AS12" s="183">
        <v>1.6666666666666666E-3</v>
      </c>
      <c r="AT12" s="183">
        <v>0</v>
      </c>
      <c r="AU12" s="183">
        <v>1.5846185185185186E-3</v>
      </c>
      <c r="AV12" s="183">
        <v>1.5846185185185186E-3</v>
      </c>
      <c r="AW12" s="183">
        <v>1.5846185185185186E-3</v>
      </c>
      <c r="AX12" s="304"/>
    </row>
    <row r="13" spans="1:50" ht="14.25" customHeight="1" x14ac:dyDescent="0.15">
      <c r="A13" s="186" t="s">
        <v>212</v>
      </c>
      <c r="B13" s="296" t="s">
        <v>297</v>
      </c>
      <c r="C13" s="296">
        <v>9</v>
      </c>
      <c r="D13" s="296">
        <v>8</v>
      </c>
      <c r="E13" s="296">
        <v>6</v>
      </c>
      <c r="F13" s="296">
        <v>14</v>
      </c>
      <c r="G13" s="296">
        <v>21</v>
      </c>
      <c r="H13" s="296">
        <v>17</v>
      </c>
      <c r="I13" s="296">
        <v>5</v>
      </c>
      <c r="J13" s="296">
        <v>6</v>
      </c>
      <c r="K13" s="296">
        <v>1</v>
      </c>
      <c r="L13" s="296">
        <v>2</v>
      </c>
      <c r="M13" s="296">
        <v>3</v>
      </c>
      <c r="N13" s="296">
        <v>0</v>
      </c>
      <c r="O13" s="296">
        <v>0</v>
      </c>
      <c r="P13" s="296">
        <v>11</v>
      </c>
      <c r="Q13" s="296">
        <v>2</v>
      </c>
      <c r="R13" s="296">
        <v>2</v>
      </c>
      <c r="S13" s="296">
        <v>334.15833382249997</v>
      </c>
      <c r="T13" s="296">
        <v>487.73106481249999</v>
      </c>
      <c r="U13" s="296">
        <v>456.67063400000001</v>
      </c>
      <c r="V13" s="296">
        <v>521.72001275000002</v>
      </c>
      <c r="W13" s="296">
        <v>456.66342097500001</v>
      </c>
      <c r="X13" s="296">
        <v>852.6429685375</v>
      </c>
      <c r="Y13" s="296">
        <v>865.6556027874999</v>
      </c>
      <c r="Z13" s="296">
        <v>596.59849354087874</v>
      </c>
      <c r="AA13" s="296">
        <v>978.17233392406388</v>
      </c>
      <c r="AB13" s="296">
        <v>634.18776238800206</v>
      </c>
      <c r="AC13" s="296">
        <v>349.39</v>
      </c>
      <c r="AD13" s="296">
        <v>450.03</v>
      </c>
      <c r="AE13" s="296">
        <v>859.22</v>
      </c>
      <c r="AF13" s="185">
        <v>1020.33</v>
      </c>
      <c r="AG13" s="185">
        <v>1635.1</v>
      </c>
      <c r="AH13" s="185">
        <v>1485.0992266309229</v>
      </c>
      <c r="AI13" s="185">
        <v>1322.3344877777499</v>
      </c>
      <c r="AJ13" s="185">
        <v>1290.089875851897</v>
      </c>
      <c r="AK13" s="185">
        <v>939.70727582115899</v>
      </c>
      <c r="AL13" s="185">
        <v>1224.6569745562999</v>
      </c>
      <c r="AM13" s="185">
        <v>619.60533121664093</v>
      </c>
      <c r="AN13" s="185">
        <v>817.78520202725304</v>
      </c>
      <c r="AO13" s="185">
        <v>814.18628649087498</v>
      </c>
      <c r="AP13" s="185">
        <v>647.41694738883098</v>
      </c>
      <c r="AQ13" s="185">
        <v>699.46883090259701</v>
      </c>
      <c r="AR13" s="185">
        <v>1019.4941133594369</v>
      </c>
      <c r="AS13" s="185">
        <v>1523.1560773573831</v>
      </c>
      <c r="AT13" s="185">
        <v>1301.5588864625079</v>
      </c>
      <c r="AU13" s="185">
        <v>850.486858626757</v>
      </c>
      <c r="AV13" s="185">
        <v>850.38566189706</v>
      </c>
      <c r="AW13" s="296">
        <v>1131.46576250416</v>
      </c>
      <c r="AX13" s="304"/>
    </row>
    <row r="14" spans="1:50" ht="14.25" customHeight="1" x14ac:dyDescent="0.15">
      <c r="A14" s="186" t="s">
        <v>304</v>
      </c>
      <c r="B14" s="295" t="s">
        <v>297</v>
      </c>
      <c r="C14" s="295" t="s">
        <v>297</v>
      </c>
      <c r="D14" s="295" t="s">
        <v>297</v>
      </c>
      <c r="E14" s="295" t="s">
        <v>297</v>
      </c>
      <c r="F14" s="295" t="s">
        <v>297</v>
      </c>
      <c r="G14" s="295" t="s">
        <v>297</v>
      </c>
      <c r="H14" s="295" t="s">
        <v>297</v>
      </c>
      <c r="I14" s="295" t="s">
        <v>297</v>
      </c>
      <c r="J14" s="295" t="s">
        <v>297</v>
      </c>
      <c r="K14" s="295" t="s">
        <v>297</v>
      </c>
      <c r="L14" s="295" t="s">
        <v>297</v>
      </c>
      <c r="M14" s="295" t="s">
        <v>297</v>
      </c>
      <c r="N14" s="295" t="s">
        <v>297</v>
      </c>
      <c r="O14" s="295" t="s">
        <v>297</v>
      </c>
      <c r="P14" s="295" t="s">
        <v>297</v>
      </c>
      <c r="Q14" s="295" t="s">
        <v>297</v>
      </c>
      <c r="R14" s="295" t="s">
        <v>297</v>
      </c>
      <c r="S14" s="295" t="s">
        <v>297</v>
      </c>
      <c r="T14" s="295" t="s">
        <v>297</v>
      </c>
      <c r="U14" s="295">
        <v>0</v>
      </c>
      <c r="V14" s="295">
        <v>0</v>
      </c>
      <c r="W14" s="295">
        <v>0</v>
      </c>
      <c r="X14" s="295">
        <v>0</v>
      </c>
      <c r="Y14" s="295">
        <v>0</v>
      </c>
      <c r="Z14" s="295">
        <v>0</v>
      </c>
      <c r="AA14" s="295">
        <v>0</v>
      </c>
      <c r="AB14" s="295">
        <v>0</v>
      </c>
      <c r="AC14" s="295">
        <v>0</v>
      </c>
      <c r="AD14" s="295">
        <v>0</v>
      </c>
      <c r="AE14" s="295">
        <v>0</v>
      </c>
      <c r="AF14" s="183">
        <v>1.3844780750072601</v>
      </c>
      <c r="AG14" s="183">
        <v>1.3978270090446847</v>
      </c>
      <c r="AH14" s="183">
        <v>1.0075248556891028</v>
      </c>
      <c r="AI14" s="183">
        <v>1.2046658391516214</v>
      </c>
      <c r="AJ14" s="183">
        <v>-0.25949766405501828</v>
      </c>
      <c r="AK14" s="183">
        <v>7.0978134782305108E-2</v>
      </c>
      <c r="AL14" s="183">
        <v>0.49531439966708957</v>
      </c>
      <c r="AM14" s="183">
        <v>-4.5463334738733394</v>
      </c>
      <c r="AN14" s="183">
        <v>0</v>
      </c>
      <c r="AO14" s="183">
        <v>0</v>
      </c>
      <c r="AP14" s="183">
        <v>0</v>
      </c>
      <c r="AQ14" s="183">
        <v>0</v>
      </c>
      <c r="AR14" s="183">
        <v>0</v>
      </c>
      <c r="AS14" s="183">
        <v>0</v>
      </c>
      <c r="AT14" s="183">
        <v>0</v>
      </c>
      <c r="AU14" s="183">
        <v>1.9268205474554098E-4</v>
      </c>
      <c r="AV14" s="183">
        <v>7.3601017219766004E-4</v>
      </c>
      <c r="AW14" s="295">
        <v>1.3847419434324111</v>
      </c>
      <c r="AX14" s="304"/>
    </row>
    <row r="15" spans="1:50" ht="14.25" customHeight="1" x14ac:dyDescent="0.15">
      <c r="A15" s="186" t="s">
        <v>305</v>
      </c>
      <c r="B15" s="296" t="s">
        <v>297</v>
      </c>
      <c r="C15" s="296" t="s">
        <v>297</v>
      </c>
      <c r="D15" s="296" t="s">
        <v>297</v>
      </c>
      <c r="E15" s="296" t="s">
        <v>297</v>
      </c>
      <c r="F15" s="296" t="s">
        <v>297</v>
      </c>
      <c r="G15" s="296" t="s">
        <v>297</v>
      </c>
      <c r="H15" s="296" t="s">
        <v>297</v>
      </c>
      <c r="I15" s="296" t="s">
        <v>297</v>
      </c>
      <c r="J15" s="296" t="s">
        <v>297</v>
      </c>
      <c r="K15" s="296" t="s">
        <v>297</v>
      </c>
      <c r="L15" s="296" t="s">
        <v>297</v>
      </c>
      <c r="M15" s="296">
        <v>0</v>
      </c>
      <c r="N15" s="296">
        <v>0</v>
      </c>
      <c r="O15" s="296">
        <v>0</v>
      </c>
      <c r="P15" s="296">
        <v>0</v>
      </c>
      <c r="Q15" s="296">
        <v>0</v>
      </c>
      <c r="R15" s="296">
        <v>0</v>
      </c>
      <c r="S15" s="296">
        <v>0</v>
      </c>
      <c r="T15" s="296">
        <v>5.5865921787709494E-2</v>
      </c>
      <c r="U15" s="296">
        <v>0</v>
      </c>
      <c r="V15" s="296" t="s">
        <v>297</v>
      </c>
      <c r="W15" s="296">
        <v>2.2346368715083798</v>
      </c>
      <c r="X15" s="296">
        <v>1.005586592178771</v>
      </c>
      <c r="Y15" s="296">
        <v>0.16759776536312848</v>
      </c>
      <c r="Z15" s="296" t="s">
        <v>297</v>
      </c>
      <c r="AA15" s="296" t="s">
        <v>297</v>
      </c>
      <c r="AB15" s="296" t="s">
        <v>297</v>
      </c>
      <c r="AC15" s="296" t="s">
        <v>297</v>
      </c>
      <c r="AD15" s="296" t="s">
        <v>297</v>
      </c>
      <c r="AE15" s="296" t="s">
        <v>297</v>
      </c>
      <c r="AF15" s="185" t="s">
        <v>297</v>
      </c>
      <c r="AG15" s="185" t="s">
        <v>297</v>
      </c>
      <c r="AH15" s="185" t="s">
        <v>297</v>
      </c>
      <c r="AI15" s="185" t="s">
        <v>297</v>
      </c>
      <c r="AJ15" s="185" t="s">
        <v>297</v>
      </c>
      <c r="AK15" s="185" t="s">
        <v>297</v>
      </c>
      <c r="AL15" s="185" t="s">
        <v>297</v>
      </c>
      <c r="AM15" s="185" t="s">
        <v>297</v>
      </c>
      <c r="AN15" s="185" t="s">
        <v>297</v>
      </c>
      <c r="AO15" s="185" t="s">
        <v>297</v>
      </c>
      <c r="AP15" s="185" t="s">
        <v>297</v>
      </c>
      <c r="AQ15" s="185" t="s">
        <v>297</v>
      </c>
      <c r="AR15" s="185" t="s">
        <v>297</v>
      </c>
      <c r="AS15" s="185">
        <v>6.9283683576673907</v>
      </c>
      <c r="AT15" s="185">
        <v>10.395376287618257</v>
      </c>
      <c r="AU15" s="185">
        <v>9.686035814276817</v>
      </c>
      <c r="AV15" s="185">
        <v>6.7405119621837262</v>
      </c>
      <c r="AW15" s="296">
        <v>24.376444810387706</v>
      </c>
      <c r="AX15" s="304"/>
    </row>
    <row r="16" spans="1:50" ht="14.25" customHeight="1" x14ac:dyDescent="0.15">
      <c r="A16" s="186" t="s">
        <v>68</v>
      </c>
      <c r="B16" s="295" t="s">
        <v>297</v>
      </c>
      <c r="C16" s="295" t="s">
        <v>297</v>
      </c>
      <c r="D16" s="295" t="s">
        <v>297</v>
      </c>
      <c r="E16" s="295" t="s">
        <v>297</v>
      </c>
      <c r="F16" s="295" t="s">
        <v>297</v>
      </c>
      <c r="G16" s="295" t="s">
        <v>297</v>
      </c>
      <c r="H16" s="295" t="s">
        <v>297</v>
      </c>
      <c r="I16" s="295" t="s">
        <v>297</v>
      </c>
      <c r="J16" s="295" t="s">
        <v>297</v>
      </c>
      <c r="K16" s="295" t="s">
        <v>297</v>
      </c>
      <c r="L16" s="295" t="s">
        <v>297</v>
      </c>
      <c r="M16" s="295" t="s">
        <v>297</v>
      </c>
      <c r="N16" s="295" t="s">
        <v>297</v>
      </c>
      <c r="O16" s="295" t="s">
        <v>297</v>
      </c>
      <c r="P16" s="295">
        <v>1520.5983621010728</v>
      </c>
      <c r="Q16" s="295">
        <v>852.5883377873314</v>
      </c>
      <c r="R16" s="295">
        <v>488.9436438866183</v>
      </c>
      <c r="S16" s="295">
        <v>1152.948471605953</v>
      </c>
      <c r="T16" s="295">
        <v>1892.3399010359326</v>
      </c>
      <c r="U16" s="295">
        <v>2512.1751893321257</v>
      </c>
      <c r="V16" s="295">
        <v>2904.8</v>
      </c>
      <c r="W16" s="295">
        <v>3826.6706093653147</v>
      </c>
      <c r="X16" s="295">
        <v>4495.478881608924</v>
      </c>
      <c r="Y16" s="295">
        <v>3753.3438069927815</v>
      </c>
      <c r="Z16" s="295">
        <v>4676.432679352688</v>
      </c>
      <c r="AA16" s="295">
        <v>5750.3722110701729</v>
      </c>
      <c r="AB16" s="295">
        <v>4930.5496567709461</v>
      </c>
      <c r="AC16" s="295">
        <v>5109.5844942126532</v>
      </c>
      <c r="AD16" s="295">
        <v>6355.3244273891842</v>
      </c>
      <c r="AE16" s="295">
        <v>8732.322936862538</v>
      </c>
      <c r="AF16" s="183">
        <v>9761.1141736826721</v>
      </c>
      <c r="AG16" s="183">
        <v>13041.350140766142</v>
      </c>
      <c r="AH16" s="183">
        <v>18461.101905884199</v>
      </c>
      <c r="AI16" s="183">
        <v>20698.529280408227</v>
      </c>
      <c r="AJ16" s="183">
        <v>11163.762473206485</v>
      </c>
      <c r="AK16" s="183">
        <v>15978.062546913052</v>
      </c>
      <c r="AL16" s="183">
        <v>18966.882969092756</v>
      </c>
      <c r="AM16" s="183">
        <v>19521.493350669924</v>
      </c>
      <c r="AN16" s="183">
        <v>18800.302550317418</v>
      </c>
      <c r="AO16" s="183">
        <v>18386.598587990615</v>
      </c>
      <c r="AP16" s="183">
        <v>13594.488446103896</v>
      </c>
      <c r="AQ16" s="183">
        <v>13212.014934155897</v>
      </c>
      <c r="AR16" s="183">
        <v>14041.322925246574</v>
      </c>
      <c r="AS16" s="183">
        <v>16518.309566658136</v>
      </c>
      <c r="AT16" s="183">
        <v>16689.126590656484</v>
      </c>
      <c r="AU16" s="183">
        <v>14575.71986665041</v>
      </c>
      <c r="AV16" s="183">
        <v>22281.919638079751</v>
      </c>
      <c r="AW16" s="295">
        <v>28482.976631961068</v>
      </c>
      <c r="AX16" s="304"/>
    </row>
    <row r="17" spans="1:50" ht="14.25" customHeight="1" x14ac:dyDescent="0.15">
      <c r="A17" s="186" t="s">
        <v>187</v>
      </c>
      <c r="B17" s="296" t="s">
        <v>297</v>
      </c>
      <c r="C17" s="296" t="s">
        <v>297</v>
      </c>
      <c r="D17" s="296" t="s">
        <v>297</v>
      </c>
      <c r="E17" s="296" t="s">
        <v>297</v>
      </c>
      <c r="F17" s="296" t="s">
        <v>297</v>
      </c>
      <c r="G17" s="296" t="s">
        <v>297</v>
      </c>
      <c r="H17" s="296" t="s">
        <v>297</v>
      </c>
      <c r="I17" s="296" t="s">
        <v>297</v>
      </c>
      <c r="J17" s="296" t="s">
        <v>297</v>
      </c>
      <c r="K17" s="296" t="s">
        <v>297</v>
      </c>
      <c r="L17" s="296" t="s">
        <v>297</v>
      </c>
      <c r="M17" s="296" t="s">
        <v>297</v>
      </c>
      <c r="N17" s="296" t="s">
        <v>297</v>
      </c>
      <c r="O17" s="296" t="s">
        <v>297</v>
      </c>
      <c r="P17" s="296" t="s">
        <v>297</v>
      </c>
      <c r="Q17" s="296" t="s">
        <v>297</v>
      </c>
      <c r="R17" s="296" t="s">
        <v>297</v>
      </c>
      <c r="S17" s="296" t="s">
        <v>297</v>
      </c>
      <c r="T17" s="296" t="s">
        <v>297</v>
      </c>
      <c r="U17" s="296" t="s">
        <v>297</v>
      </c>
      <c r="V17" s="296" t="s">
        <v>297</v>
      </c>
      <c r="W17" s="296" t="s">
        <v>297</v>
      </c>
      <c r="X17" s="296" t="s">
        <v>297</v>
      </c>
      <c r="Y17" s="296" t="s">
        <v>297</v>
      </c>
      <c r="Z17" s="296" t="s">
        <v>297</v>
      </c>
      <c r="AA17" s="296" t="s">
        <v>297</v>
      </c>
      <c r="AB17" s="296" t="s">
        <v>297</v>
      </c>
      <c r="AC17" s="296" t="s">
        <v>297</v>
      </c>
      <c r="AD17" s="296" t="s">
        <v>297</v>
      </c>
      <c r="AE17" s="296" t="s">
        <v>297</v>
      </c>
      <c r="AF17" s="185">
        <v>8700.9568586346741</v>
      </c>
      <c r="AG17" s="185">
        <v>9886</v>
      </c>
      <c r="AH17" s="185">
        <v>14791.991977883721</v>
      </c>
      <c r="AI17" s="185">
        <v>11155.723333637317</v>
      </c>
      <c r="AJ17" s="185">
        <v>9786.0440969026986</v>
      </c>
      <c r="AK17" s="185">
        <v>15439.757555555507</v>
      </c>
      <c r="AL17" s="185">
        <v>22928.058982792078</v>
      </c>
      <c r="AM17" s="185">
        <v>20141.572860266628</v>
      </c>
      <c r="AN17" s="185">
        <v>6929.4024733972819</v>
      </c>
      <c r="AO17" s="185">
        <v>10277.761374507461</v>
      </c>
      <c r="AP17" s="185">
        <v>1195.7740221375536</v>
      </c>
      <c r="AQ17" s="185">
        <v>14223.186180981511</v>
      </c>
      <c r="AR17" s="185">
        <v>10940.553787149891</v>
      </c>
      <c r="AS17" s="185">
        <v>12617.458227426743</v>
      </c>
      <c r="AT17" s="185">
        <v>15712.201513636184</v>
      </c>
      <c r="AU17" s="185">
        <v>12997.05627245619</v>
      </c>
      <c r="AV17" s="185">
        <v>19748.384493650785</v>
      </c>
      <c r="AW17" s="296">
        <v>9033.1635818723225</v>
      </c>
      <c r="AX17" s="304"/>
    </row>
    <row r="18" spans="1:50" ht="14.25" customHeight="1" x14ac:dyDescent="0.15">
      <c r="A18" s="186" t="s">
        <v>306</v>
      </c>
      <c r="B18" s="295" t="s">
        <v>297</v>
      </c>
      <c r="C18" s="295" t="s">
        <v>297</v>
      </c>
      <c r="D18" s="295" t="s">
        <v>297</v>
      </c>
      <c r="E18" s="295" t="s">
        <v>297</v>
      </c>
      <c r="F18" s="295" t="s">
        <v>297</v>
      </c>
      <c r="G18" s="295" t="s">
        <v>297</v>
      </c>
      <c r="H18" s="295" t="s">
        <v>297</v>
      </c>
      <c r="I18" s="295" t="s">
        <v>297</v>
      </c>
      <c r="J18" s="295" t="s">
        <v>297</v>
      </c>
      <c r="K18" s="295" t="s">
        <v>297</v>
      </c>
      <c r="L18" s="295" t="s">
        <v>297</v>
      </c>
      <c r="M18" s="295" t="s">
        <v>297</v>
      </c>
      <c r="N18" s="295" t="s">
        <v>297</v>
      </c>
      <c r="O18" s="295" t="s">
        <v>297</v>
      </c>
      <c r="P18" s="295" t="s">
        <v>297</v>
      </c>
      <c r="Q18" s="295" t="s">
        <v>297</v>
      </c>
      <c r="R18" s="295" t="s">
        <v>297</v>
      </c>
      <c r="S18" s="295" t="s">
        <v>297</v>
      </c>
      <c r="T18" s="295" t="s">
        <v>297</v>
      </c>
      <c r="U18" s="295" t="s">
        <v>297</v>
      </c>
      <c r="V18" s="295" t="s">
        <v>297</v>
      </c>
      <c r="W18" s="295" t="s">
        <v>297</v>
      </c>
      <c r="X18" s="295" t="s">
        <v>297</v>
      </c>
      <c r="Y18" s="295" t="s">
        <v>297</v>
      </c>
      <c r="Z18" s="295" t="s">
        <v>297</v>
      </c>
      <c r="AA18" s="295" t="s">
        <v>297</v>
      </c>
      <c r="AB18" s="295" t="s">
        <v>297</v>
      </c>
      <c r="AC18" s="295" t="s">
        <v>297</v>
      </c>
      <c r="AD18" s="295">
        <v>0.16800000000000001</v>
      </c>
      <c r="AE18" s="295" t="s">
        <v>297</v>
      </c>
      <c r="AF18" s="183">
        <v>0.436</v>
      </c>
      <c r="AG18" s="183">
        <v>0.495</v>
      </c>
      <c r="AH18" s="183">
        <v>0.10299999999999999</v>
      </c>
      <c r="AI18" s="183">
        <v>10.375</v>
      </c>
      <c r="AJ18" s="183">
        <v>12.13</v>
      </c>
      <c r="AK18" s="183">
        <v>31.05</v>
      </c>
      <c r="AL18" s="183">
        <v>138.75299999999999</v>
      </c>
      <c r="AM18" s="183">
        <v>213.52600000000001</v>
      </c>
      <c r="AN18" s="183">
        <v>194.8</v>
      </c>
      <c r="AO18" s="183">
        <v>685.32399999999996</v>
      </c>
      <c r="AP18" s="183">
        <v>442.68200000000002</v>
      </c>
      <c r="AQ18" s="183">
        <v>307.255</v>
      </c>
      <c r="AR18" s="183">
        <v>665.19500000000005</v>
      </c>
      <c r="AS18" s="183">
        <v>750.22699999999998</v>
      </c>
      <c r="AT18" s="183">
        <v>438.762</v>
      </c>
      <c r="AU18" s="183">
        <v>827.60699999999997</v>
      </c>
      <c r="AV18" s="183">
        <v>857.57</v>
      </c>
      <c r="AW18" s="295">
        <v>358.18900000000002</v>
      </c>
      <c r="AX18" s="304"/>
    </row>
    <row r="19" spans="1:50" ht="14.25" customHeight="1" x14ac:dyDescent="0.15">
      <c r="A19" s="186" t="s">
        <v>307</v>
      </c>
      <c r="B19" s="296" t="s">
        <v>297</v>
      </c>
      <c r="C19" s="296">
        <v>0</v>
      </c>
      <c r="D19" s="296">
        <v>0</v>
      </c>
      <c r="E19" s="296">
        <v>0</v>
      </c>
      <c r="F19" s="296">
        <v>0</v>
      </c>
      <c r="G19" s="296">
        <v>0</v>
      </c>
      <c r="H19" s="296">
        <v>0</v>
      </c>
      <c r="I19" s="296">
        <v>0</v>
      </c>
      <c r="J19" s="296">
        <v>0</v>
      </c>
      <c r="K19" s="296">
        <v>0</v>
      </c>
      <c r="L19" s="296">
        <v>0</v>
      </c>
      <c r="M19" s="296">
        <v>0</v>
      </c>
      <c r="N19" s="296">
        <v>0</v>
      </c>
      <c r="O19" s="296">
        <v>0</v>
      </c>
      <c r="P19" s="296">
        <v>0</v>
      </c>
      <c r="Q19" s="296" t="s">
        <v>297</v>
      </c>
      <c r="R19" s="296" t="s">
        <v>297</v>
      </c>
      <c r="S19" s="296" t="s">
        <v>297</v>
      </c>
      <c r="T19" s="296" t="s">
        <v>297</v>
      </c>
      <c r="U19" s="296" t="s">
        <v>297</v>
      </c>
      <c r="V19" s="296" t="s">
        <v>297</v>
      </c>
      <c r="W19" s="296" t="s">
        <v>297</v>
      </c>
      <c r="X19" s="296" t="s">
        <v>297</v>
      </c>
      <c r="Y19" s="296" t="s">
        <v>297</v>
      </c>
      <c r="Z19" s="296" t="s">
        <v>297</v>
      </c>
      <c r="AA19" s="296" t="s">
        <v>297</v>
      </c>
      <c r="AB19" s="296" t="s">
        <v>297</v>
      </c>
      <c r="AC19" s="296" t="s">
        <v>297</v>
      </c>
      <c r="AD19" s="296" t="s">
        <v>297</v>
      </c>
      <c r="AE19" s="296" t="s">
        <v>297</v>
      </c>
      <c r="AF19" s="185" t="s">
        <v>297</v>
      </c>
      <c r="AG19" s="185" t="s">
        <v>297</v>
      </c>
      <c r="AH19" s="185" t="s">
        <v>297</v>
      </c>
      <c r="AI19" s="185" t="s">
        <v>297</v>
      </c>
      <c r="AJ19" s="185" t="s">
        <v>297</v>
      </c>
      <c r="AK19" s="185" t="s">
        <v>297</v>
      </c>
      <c r="AL19" s="185" t="s">
        <v>297</v>
      </c>
      <c r="AM19" s="185" t="s">
        <v>297</v>
      </c>
      <c r="AN19" s="185" t="s">
        <v>297</v>
      </c>
      <c r="AO19" s="185" t="s">
        <v>297</v>
      </c>
      <c r="AP19" s="185" t="s">
        <v>297</v>
      </c>
      <c r="AQ19" s="185">
        <v>0</v>
      </c>
      <c r="AR19" s="185" t="s">
        <v>297</v>
      </c>
      <c r="AS19" s="185" t="s">
        <v>297</v>
      </c>
      <c r="AT19" s="185">
        <v>0</v>
      </c>
      <c r="AU19" s="185">
        <v>0</v>
      </c>
      <c r="AV19" s="185">
        <v>0</v>
      </c>
      <c r="AW19" s="296">
        <v>0</v>
      </c>
      <c r="AX19" s="304"/>
    </row>
    <row r="20" spans="1:50" ht="14.25" customHeight="1" x14ac:dyDescent="0.15">
      <c r="A20" s="186" t="s">
        <v>308</v>
      </c>
      <c r="B20" s="295">
        <v>0</v>
      </c>
      <c r="C20" s="295">
        <v>0</v>
      </c>
      <c r="D20" s="295">
        <v>0</v>
      </c>
      <c r="E20" s="295">
        <v>0</v>
      </c>
      <c r="F20" s="295">
        <v>0</v>
      </c>
      <c r="G20" s="295">
        <v>0</v>
      </c>
      <c r="H20" s="295">
        <v>0</v>
      </c>
      <c r="I20" s="295">
        <v>0</v>
      </c>
      <c r="J20" s="295">
        <v>0</v>
      </c>
      <c r="K20" s="295">
        <v>0</v>
      </c>
      <c r="L20" s="295">
        <v>0</v>
      </c>
      <c r="M20" s="295">
        <v>0</v>
      </c>
      <c r="N20" s="295">
        <v>0</v>
      </c>
      <c r="O20" s="295">
        <v>0</v>
      </c>
      <c r="P20" s="295">
        <v>0</v>
      </c>
      <c r="Q20" s="295">
        <v>83.244680851063833</v>
      </c>
      <c r="R20" s="295">
        <v>86.436170212765958</v>
      </c>
      <c r="S20" s="295">
        <v>92.28723404255318</v>
      </c>
      <c r="T20" s="295">
        <v>98.670215608849219</v>
      </c>
      <c r="U20" s="295">
        <v>103.19149896729378</v>
      </c>
      <c r="V20" s="295">
        <v>127.18558888434499</v>
      </c>
      <c r="W20" s="295">
        <v>125.25648836450685</v>
      </c>
      <c r="X20" s="295">
        <v>161.83514144722807</v>
      </c>
      <c r="Y20" s="295">
        <v>167.55260820582052</v>
      </c>
      <c r="Z20" s="295">
        <v>189.29131154612512</v>
      </c>
      <c r="AA20" s="295">
        <v>208.85367500471995</v>
      </c>
      <c r="AB20" s="295">
        <v>208.81914893617022</v>
      </c>
      <c r="AC20" s="295">
        <v>234.73382655526515</v>
      </c>
      <c r="AD20" s="295">
        <v>257.53744764050265</v>
      </c>
      <c r="AE20" s="295">
        <v>346.5</v>
      </c>
      <c r="AF20" s="183">
        <v>470.77659574468083</v>
      </c>
      <c r="AG20" s="183">
        <v>607.02127659574478</v>
      </c>
      <c r="AH20" s="183">
        <v>724.62765957446811</v>
      </c>
      <c r="AI20" s="183">
        <v>924.92553191489367</v>
      </c>
      <c r="AJ20" s="183">
        <v>1305.9468085106382</v>
      </c>
      <c r="AK20" s="183">
        <v>1055.1382978723404</v>
      </c>
      <c r="AL20" s="183">
        <v>4386.9680851063822</v>
      </c>
      <c r="AM20" s="183">
        <v>1886.5</v>
      </c>
      <c r="AN20" s="183">
        <v>1958.7340425531913</v>
      </c>
      <c r="AO20" s="183">
        <v>2033.1648936170213</v>
      </c>
      <c r="AP20" s="183">
        <v>2119.1999999999998</v>
      </c>
      <c r="AQ20" s="183">
        <v>2144.6808510638298</v>
      </c>
      <c r="AR20" s="183">
        <v>2509.8404255319147</v>
      </c>
      <c r="AS20" s="183" t="s">
        <v>297</v>
      </c>
      <c r="AT20" s="183" t="s">
        <v>297</v>
      </c>
      <c r="AU20" s="183" t="s">
        <v>297</v>
      </c>
      <c r="AV20" s="183" t="s">
        <v>297</v>
      </c>
      <c r="AW20" s="295" t="s">
        <v>297</v>
      </c>
      <c r="AX20" s="304"/>
    </row>
    <row r="21" spans="1:50" ht="14.25" customHeight="1" x14ac:dyDescent="0.15">
      <c r="A21" s="186" t="s">
        <v>309</v>
      </c>
      <c r="B21" s="296" t="s">
        <v>297</v>
      </c>
      <c r="C21" s="296">
        <v>0</v>
      </c>
      <c r="D21" s="296">
        <v>0</v>
      </c>
      <c r="E21" s="296">
        <v>0</v>
      </c>
      <c r="F21" s="296">
        <v>0</v>
      </c>
      <c r="G21" s="296">
        <v>0</v>
      </c>
      <c r="H21" s="296">
        <v>0</v>
      </c>
      <c r="I21" s="296">
        <v>0</v>
      </c>
      <c r="J21" s="296">
        <v>0</v>
      </c>
      <c r="K21" s="296">
        <v>0</v>
      </c>
      <c r="L21" s="296">
        <v>0</v>
      </c>
      <c r="M21" s="296">
        <v>0</v>
      </c>
      <c r="N21" s="296">
        <v>0</v>
      </c>
      <c r="O21" s="296">
        <v>0</v>
      </c>
      <c r="P21" s="296">
        <v>0</v>
      </c>
      <c r="Q21" s="296">
        <v>0</v>
      </c>
      <c r="R21" s="296">
        <v>0</v>
      </c>
      <c r="S21" s="296">
        <v>0</v>
      </c>
      <c r="T21" s="296">
        <v>0</v>
      </c>
      <c r="U21" s="296">
        <v>0</v>
      </c>
      <c r="V21" s="296">
        <v>0</v>
      </c>
      <c r="W21" s="296">
        <v>0.19299970560061216</v>
      </c>
      <c r="X21" s="296">
        <v>0.32122104648360006</v>
      </c>
      <c r="Y21" s="296">
        <v>1.6235783365423637</v>
      </c>
      <c r="Z21" s="296">
        <v>2.0426066197856487</v>
      </c>
      <c r="AA21" s="296">
        <v>1.8183494210761171</v>
      </c>
      <c r="AB21" s="296">
        <v>1.7923887189942231</v>
      </c>
      <c r="AC21" s="296">
        <v>1.3644500761098806</v>
      </c>
      <c r="AD21" s="296">
        <v>2.7272810637703708</v>
      </c>
      <c r="AE21" s="296">
        <v>3.0067477603865971</v>
      </c>
      <c r="AF21" s="185">
        <v>2.1</v>
      </c>
      <c r="AG21" s="185">
        <v>10.711446739359056</v>
      </c>
      <c r="AH21" s="185">
        <v>12.237699983394482</v>
      </c>
      <c r="AI21" s="185">
        <v>0.23312965517004491</v>
      </c>
      <c r="AJ21" s="185">
        <v>1.0145170555595633</v>
      </c>
      <c r="AK21" s="185">
        <v>1.521093075677699</v>
      </c>
      <c r="AL21" s="185">
        <v>0.20639685524296944</v>
      </c>
      <c r="AM21" s="185">
        <v>7.2485829020426509E-2</v>
      </c>
      <c r="AN21" s="185">
        <v>1.6185708260368985</v>
      </c>
      <c r="AO21" s="185">
        <v>2.522645910352356</v>
      </c>
      <c r="AP21" s="185">
        <v>13.700771240123814</v>
      </c>
      <c r="AQ21" s="185">
        <v>26.736738617640473</v>
      </c>
      <c r="AR21" s="185">
        <v>23.092469800921901</v>
      </c>
      <c r="AS21" s="185">
        <v>254.04608006469232</v>
      </c>
      <c r="AT21" s="185">
        <v>27.639136934162252</v>
      </c>
      <c r="AU21" s="185">
        <v>72.541953448108274</v>
      </c>
      <c r="AV21" s="185">
        <v>20.890139764771003</v>
      </c>
      <c r="AW21" s="296">
        <v>11.273894925420336</v>
      </c>
      <c r="AX21" s="304"/>
    </row>
    <row r="22" spans="1:50" ht="14.25" customHeight="1" x14ac:dyDescent="0.15">
      <c r="A22" s="186" t="s">
        <v>310</v>
      </c>
      <c r="B22" s="295">
        <v>1.2066176154956856</v>
      </c>
      <c r="C22" s="295">
        <v>0.81699999999999995</v>
      </c>
      <c r="D22" s="295">
        <v>0.21049999999999999</v>
      </c>
      <c r="E22" s="295">
        <v>0.36549999999999999</v>
      </c>
      <c r="F22" s="295">
        <v>0.65</v>
      </c>
      <c r="G22" s="295">
        <v>0.8</v>
      </c>
      <c r="H22" s="295">
        <v>1.7</v>
      </c>
      <c r="I22" s="295">
        <v>1.1499999999999999</v>
      </c>
      <c r="J22" s="295">
        <v>1.35</v>
      </c>
      <c r="K22" s="295">
        <v>2.4500000000000002</v>
      </c>
      <c r="L22" s="295">
        <v>2.4500000000000002</v>
      </c>
      <c r="M22" s="295">
        <v>4.05</v>
      </c>
      <c r="N22" s="295">
        <v>3.9</v>
      </c>
      <c r="O22" s="295">
        <v>4.0999999999999996</v>
      </c>
      <c r="P22" s="295">
        <v>1.25</v>
      </c>
      <c r="Q22" s="295">
        <v>1.35</v>
      </c>
      <c r="R22" s="295">
        <v>1.1499999999999999</v>
      </c>
      <c r="S22" s="295">
        <v>1.1499999999999999</v>
      </c>
      <c r="T22" s="295">
        <v>1.55</v>
      </c>
      <c r="U22" s="295">
        <v>0.75</v>
      </c>
      <c r="V22" s="295">
        <v>1.2</v>
      </c>
      <c r="W22" s="295">
        <v>4.5</v>
      </c>
      <c r="X22" s="295">
        <v>3.7</v>
      </c>
      <c r="Y22" s="295">
        <v>4.25</v>
      </c>
      <c r="Z22" s="295">
        <v>4.7</v>
      </c>
      <c r="AA22" s="295">
        <v>5.75</v>
      </c>
      <c r="AB22" s="295">
        <v>5.85</v>
      </c>
      <c r="AC22" s="295">
        <v>5.7789999999999999</v>
      </c>
      <c r="AD22" s="295">
        <v>6.05</v>
      </c>
      <c r="AE22" s="295">
        <v>21.5982795</v>
      </c>
      <c r="AF22" s="183">
        <v>30.476099059999999</v>
      </c>
      <c r="AG22" s="183">
        <v>33.745808500000003</v>
      </c>
      <c r="AH22" s="183">
        <v>53.822137725000005</v>
      </c>
      <c r="AI22" s="183">
        <v>109.95163584000001</v>
      </c>
      <c r="AJ22" s="183">
        <v>153.47038458</v>
      </c>
      <c r="AK22" s="183">
        <v>168.85429286000002</v>
      </c>
      <c r="AL22" s="183">
        <v>310.06878098499999</v>
      </c>
      <c r="AM22" s="183">
        <v>90.755428252895996</v>
      </c>
      <c r="AN22" s="183">
        <v>177.699521988046</v>
      </c>
      <c r="AO22" s="183">
        <v>-78.34781424143199</v>
      </c>
      <c r="AP22" s="183">
        <v>145.04771120249998</v>
      </c>
      <c r="AQ22" s="183">
        <v>175.78193670964001</v>
      </c>
      <c r="AR22" s="183">
        <v>12.351834201245001</v>
      </c>
      <c r="AS22" s="183" t="s">
        <v>297</v>
      </c>
      <c r="AT22" s="183" t="s">
        <v>297</v>
      </c>
      <c r="AU22" s="183" t="s">
        <v>297</v>
      </c>
      <c r="AV22" s="183" t="s">
        <v>297</v>
      </c>
      <c r="AW22" s="295" t="s">
        <v>297</v>
      </c>
      <c r="AX22" s="304"/>
    </row>
    <row r="23" spans="1:50" ht="14.25" customHeight="1" x14ac:dyDescent="0.15">
      <c r="A23" s="186" t="s">
        <v>311</v>
      </c>
      <c r="B23" s="296" t="s">
        <v>297</v>
      </c>
      <c r="C23" s="296" t="s">
        <v>297</v>
      </c>
      <c r="D23" s="296" t="s">
        <v>297</v>
      </c>
      <c r="E23" s="296" t="s">
        <v>297</v>
      </c>
      <c r="F23" s="296" t="s">
        <v>297</v>
      </c>
      <c r="G23" s="296" t="s">
        <v>297</v>
      </c>
      <c r="H23" s="296" t="s">
        <v>297</v>
      </c>
      <c r="I23" s="296" t="s">
        <v>297</v>
      </c>
      <c r="J23" s="296" t="s">
        <v>297</v>
      </c>
      <c r="K23" s="296" t="s">
        <v>297</v>
      </c>
      <c r="L23" s="296" t="s">
        <v>297</v>
      </c>
      <c r="M23" s="296" t="s">
        <v>297</v>
      </c>
      <c r="N23" s="296" t="s">
        <v>297</v>
      </c>
      <c r="O23" s="296" t="s">
        <v>297</v>
      </c>
      <c r="P23" s="296" t="s">
        <v>297</v>
      </c>
      <c r="Q23" s="296" t="s">
        <v>297</v>
      </c>
      <c r="R23" s="296" t="s">
        <v>297</v>
      </c>
      <c r="S23" s="296" t="s">
        <v>297</v>
      </c>
      <c r="T23" s="296" t="s">
        <v>297</v>
      </c>
      <c r="U23" s="296" t="s">
        <v>297</v>
      </c>
      <c r="V23" s="296" t="s">
        <v>297</v>
      </c>
      <c r="W23" s="296" t="s">
        <v>297</v>
      </c>
      <c r="X23" s="296">
        <v>0</v>
      </c>
      <c r="Y23" s="296" t="s">
        <v>297</v>
      </c>
      <c r="Z23" s="296">
        <v>0.2</v>
      </c>
      <c r="AA23" s="296">
        <v>0.6</v>
      </c>
      <c r="AB23" s="296">
        <v>0.4</v>
      </c>
      <c r="AC23" s="296">
        <v>1.6</v>
      </c>
      <c r="AD23" s="296">
        <v>1.1000000000000001</v>
      </c>
      <c r="AE23" s="296">
        <v>1</v>
      </c>
      <c r="AF23" s="185">
        <v>1.3</v>
      </c>
      <c r="AG23" s="185">
        <v>1</v>
      </c>
      <c r="AH23" s="185">
        <v>1.9</v>
      </c>
      <c r="AI23" s="185">
        <v>7.3</v>
      </c>
      <c r="AJ23" s="185">
        <v>67.400000000000006</v>
      </c>
      <c r="AK23" s="185">
        <v>56.4</v>
      </c>
      <c r="AL23" s="185">
        <v>95.3</v>
      </c>
      <c r="AM23" s="185">
        <v>142.1</v>
      </c>
      <c r="AN23" s="185">
        <v>72.099999999999994</v>
      </c>
      <c r="AO23" s="185">
        <v>26.7</v>
      </c>
      <c r="AP23" s="185">
        <v>48.1</v>
      </c>
      <c r="AQ23" s="185">
        <v>84.5</v>
      </c>
      <c r="AR23" s="185">
        <v>103.3</v>
      </c>
      <c r="AS23" s="185">
        <v>145.80000000000001</v>
      </c>
      <c r="AT23" s="185">
        <v>142.9</v>
      </c>
      <c r="AU23" s="185">
        <v>126.7</v>
      </c>
      <c r="AV23" s="185">
        <v>158.72956021000002</v>
      </c>
      <c r="AW23" s="296">
        <v>124.52209999999999</v>
      </c>
      <c r="AX23" s="304"/>
    </row>
    <row r="24" spans="1:50" ht="14.25" customHeight="1" x14ac:dyDescent="0.15">
      <c r="A24" s="186" t="s">
        <v>65</v>
      </c>
      <c r="B24" s="295" t="s">
        <v>297</v>
      </c>
      <c r="C24" s="295" t="s">
        <v>297</v>
      </c>
      <c r="D24" s="295" t="s">
        <v>297</v>
      </c>
      <c r="E24" s="295" t="s">
        <v>297</v>
      </c>
      <c r="F24" s="295" t="s">
        <v>297</v>
      </c>
      <c r="G24" s="295" t="s">
        <v>297</v>
      </c>
      <c r="H24" s="295" t="s">
        <v>297</v>
      </c>
      <c r="I24" s="295" t="s">
        <v>297</v>
      </c>
      <c r="J24" s="295" t="s">
        <v>297</v>
      </c>
      <c r="K24" s="295" t="s">
        <v>297</v>
      </c>
      <c r="L24" s="295" t="s">
        <v>297</v>
      </c>
      <c r="M24" s="295" t="s">
        <v>297</v>
      </c>
      <c r="N24" s="295" t="s">
        <v>297</v>
      </c>
      <c r="O24" s="295" t="s">
        <v>297</v>
      </c>
      <c r="P24" s="295" t="s">
        <v>297</v>
      </c>
      <c r="Q24" s="295" t="s">
        <v>297</v>
      </c>
      <c r="R24" s="295" t="s">
        <v>297</v>
      </c>
      <c r="S24" s="295" t="s">
        <v>297</v>
      </c>
      <c r="T24" s="295" t="s">
        <v>297</v>
      </c>
      <c r="U24" s="295" t="s">
        <v>297</v>
      </c>
      <c r="V24" s="295" t="s">
        <v>297</v>
      </c>
      <c r="W24" s="295" t="s">
        <v>297</v>
      </c>
      <c r="X24" s="295" t="s">
        <v>297</v>
      </c>
      <c r="Y24" s="295" t="s">
        <v>297</v>
      </c>
      <c r="Z24" s="295" t="s">
        <v>297</v>
      </c>
      <c r="AA24" s="295" t="s">
        <v>297</v>
      </c>
      <c r="AB24" s="295" t="s">
        <v>297</v>
      </c>
      <c r="AC24" s="295">
        <v>5123.9973054898337</v>
      </c>
      <c r="AD24" s="295">
        <v>5735.5994908289458</v>
      </c>
      <c r="AE24" s="295">
        <v>8513.2980376622909</v>
      </c>
      <c r="AF24" s="183">
        <v>10880.671934906988</v>
      </c>
      <c r="AG24" s="183">
        <v>17494.711186012813</v>
      </c>
      <c r="AH24" s="183">
        <v>21659.321762646341</v>
      </c>
      <c r="AI24" s="183">
        <v>14506.5</v>
      </c>
      <c r="AJ24" s="183">
        <v>30024.478472002549</v>
      </c>
      <c r="AK24" s="183">
        <v>27964.134057431402</v>
      </c>
      <c r="AL24" s="183">
        <v>18398.955553104595</v>
      </c>
      <c r="AM24" s="183">
        <v>25455.309145976677</v>
      </c>
      <c r="AN24" s="183">
        <v>28324.371027554891</v>
      </c>
      <c r="AO24" s="183">
        <v>32276.86806377285</v>
      </c>
      <c r="AP24" s="183">
        <v>27363.247120336691</v>
      </c>
      <c r="AQ24" s="183">
        <v>33046.108724836173</v>
      </c>
      <c r="AR24" s="183">
        <v>28410.456168766268</v>
      </c>
      <c r="AS24" s="183">
        <v>37188.239996730779</v>
      </c>
      <c r="AT24" s="183">
        <v>37480.734740448686</v>
      </c>
      <c r="AU24" s="183">
        <v>26313.183200676394</v>
      </c>
      <c r="AV24" s="183">
        <v>34866.77359790761</v>
      </c>
      <c r="AW24" s="295">
        <v>31034.616464042301</v>
      </c>
      <c r="AX24" s="304"/>
    </row>
    <row r="25" spans="1:50" ht="14.25" customHeight="1" x14ac:dyDescent="0.15">
      <c r="A25" s="186" t="s">
        <v>312</v>
      </c>
      <c r="B25" s="296" t="s">
        <v>297</v>
      </c>
      <c r="C25" s="296" t="s">
        <v>297</v>
      </c>
      <c r="D25" s="296" t="s">
        <v>297</v>
      </c>
      <c r="E25" s="296" t="s">
        <v>297</v>
      </c>
      <c r="F25" s="296" t="s">
        <v>297</v>
      </c>
      <c r="G25" s="296" t="s">
        <v>297</v>
      </c>
      <c r="H25" s="296" t="s">
        <v>297</v>
      </c>
      <c r="I25" s="296" t="s">
        <v>297</v>
      </c>
      <c r="J25" s="296" t="s">
        <v>297</v>
      </c>
      <c r="K25" s="296" t="s">
        <v>297</v>
      </c>
      <c r="L25" s="296" t="s">
        <v>297</v>
      </c>
      <c r="M25" s="296" t="s">
        <v>297</v>
      </c>
      <c r="N25" s="296" t="s">
        <v>297</v>
      </c>
      <c r="O25" s="296" t="s">
        <v>297</v>
      </c>
      <c r="P25" s="296" t="s">
        <v>297</v>
      </c>
      <c r="Q25" s="296" t="s">
        <v>297</v>
      </c>
      <c r="R25" s="296" t="s">
        <v>297</v>
      </c>
      <c r="S25" s="296" t="s">
        <v>297</v>
      </c>
      <c r="T25" s="296" t="s">
        <v>297</v>
      </c>
      <c r="U25" s="296" t="s">
        <v>297</v>
      </c>
      <c r="V25" s="296" t="s">
        <v>297</v>
      </c>
      <c r="W25" s="296" t="s">
        <v>297</v>
      </c>
      <c r="X25" s="296" t="s">
        <v>297</v>
      </c>
      <c r="Y25" s="296" t="s">
        <v>297</v>
      </c>
      <c r="Z25" s="296" t="s">
        <v>297</v>
      </c>
      <c r="AA25" s="296" t="s">
        <v>297</v>
      </c>
      <c r="AB25" s="296" t="s">
        <v>297</v>
      </c>
      <c r="AC25" s="296" t="s">
        <v>297</v>
      </c>
      <c r="AD25" s="296" t="s">
        <v>297</v>
      </c>
      <c r="AE25" s="296" t="s">
        <v>297</v>
      </c>
      <c r="AF25" s="185" t="s">
        <v>297</v>
      </c>
      <c r="AG25" s="185" t="s">
        <v>297</v>
      </c>
      <c r="AH25" s="185" t="s">
        <v>297</v>
      </c>
      <c r="AI25" s="185" t="s">
        <v>297</v>
      </c>
      <c r="AJ25" s="185" t="s">
        <v>297</v>
      </c>
      <c r="AK25" s="185" t="s">
        <v>297</v>
      </c>
      <c r="AL25" s="185" t="s">
        <v>297</v>
      </c>
      <c r="AM25" s="185" t="s">
        <v>297</v>
      </c>
      <c r="AN25" s="185" t="s">
        <v>297</v>
      </c>
      <c r="AO25" s="185" t="s">
        <v>297</v>
      </c>
      <c r="AP25" s="185" t="s">
        <v>297</v>
      </c>
      <c r="AQ25" s="185" t="s">
        <v>297</v>
      </c>
      <c r="AR25" s="185" t="s">
        <v>297</v>
      </c>
      <c r="AS25" s="185" t="s">
        <v>297</v>
      </c>
      <c r="AT25" s="185" t="s">
        <v>297</v>
      </c>
      <c r="AU25" s="185" t="s">
        <v>297</v>
      </c>
      <c r="AV25" s="185" t="s">
        <v>297</v>
      </c>
      <c r="AW25" s="296" t="s">
        <v>297</v>
      </c>
      <c r="AX25" s="304"/>
    </row>
    <row r="26" spans="1:50" ht="14.25" customHeight="1" x14ac:dyDescent="0.15">
      <c r="A26" s="186" t="s">
        <v>313</v>
      </c>
      <c r="B26" s="295" t="s">
        <v>297</v>
      </c>
      <c r="C26" s="295" t="s">
        <v>297</v>
      </c>
      <c r="D26" s="295" t="s">
        <v>297</v>
      </c>
      <c r="E26" s="295" t="s">
        <v>297</v>
      </c>
      <c r="F26" s="295" t="s">
        <v>297</v>
      </c>
      <c r="G26" s="295" t="s">
        <v>297</v>
      </c>
      <c r="H26" s="295" t="s">
        <v>297</v>
      </c>
      <c r="I26" s="295" t="s">
        <v>297</v>
      </c>
      <c r="J26" s="295" t="s">
        <v>297</v>
      </c>
      <c r="K26" s="295">
        <v>0</v>
      </c>
      <c r="L26" s="295">
        <v>0</v>
      </c>
      <c r="M26" s="295">
        <v>0</v>
      </c>
      <c r="N26" s="295">
        <v>0</v>
      </c>
      <c r="O26" s="295">
        <v>0</v>
      </c>
      <c r="P26" s="295">
        <v>0</v>
      </c>
      <c r="Q26" s="295">
        <v>0</v>
      </c>
      <c r="R26" s="295">
        <v>0</v>
      </c>
      <c r="S26" s="295">
        <v>0</v>
      </c>
      <c r="T26" s="295">
        <v>0</v>
      </c>
      <c r="U26" s="295">
        <v>0</v>
      </c>
      <c r="V26" s="295">
        <v>0</v>
      </c>
      <c r="W26" s="295">
        <v>0</v>
      </c>
      <c r="X26" s="295">
        <v>0</v>
      </c>
      <c r="Y26" s="295">
        <v>0</v>
      </c>
      <c r="Z26" s="295">
        <v>0</v>
      </c>
      <c r="AA26" s="295">
        <v>0</v>
      </c>
      <c r="AB26" s="295">
        <v>0.31300953232381801</v>
      </c>
      <c r="AC26" s="295">
        <v>0.30042335226459899</v>
      </c>
      <c r="AD26" s="295">
        <v>0.37559682103650149</v>
      </c>
      <c r="AE26" s="295">
        <v>0.40868550044485547</v>
      </c>
      <c r="AF26" s="183">
        <v>0.49926792154934502</v>
      </c>
      <c r="AG26" s="183">
        <v>0.53814692311296752</v>
      </c>
      <c r="AH26" s="183">
        <v>0.51906820261416653</v>
      </c>
      <c r="AI26" s="183">
        <v>0.59643729970118597</v>
      </c>
      <c r="AJ26" s="183">
        <v>0.43838696539140998</v>
      </c>
      <c r="AK26" s="183">
        <v>0.445193008258913</v>
      </c>
      <c r="AL26" s="183">
        <v>0.6</v>
      </c>
      <c r="AM26" s="183">
        <v>0.89201358476275994</v>
      </c>
      <c r="AN26" s="183">
        <v>0.92375658019222007</v>
      </c>
      <c r="AO26" s="183">
        <v>1.054859189486095</v>
      </c>
      <c r="AP26" s="183">
        <v>1.210522334291305</v>
      </c>
      <c r="AQ26" s="183">
        <v>1.332729695083557</v>
      </c>
      <c r="AR26" s="183">
        <v>1.4821695822150374</v>
      </c>
      <c r="AS26" s="183">
        <v>1.5748838405803605</v>
      </c>
      <c r="AT26" s="183">
        <v>1.6566692472639257</v>
      </c>
      <c r="AU26" s="183">
        <v>2.0617052676042666</v>
      </c>
      <c r="AV26" s="183">
        <v>2.2965951753189406</v>
      </c>
      <c r="AW26" s="295">
        <v>2.2571826275133402</v>
      </c>
      <c r="AX26" s="304"/>
    </row>
    <row r="27" spans="1:50" ht="14.25" customHeight="1" x14ac:dyDescent="0.15">
      <c r="A27" s="186" t="s">
        <v>314</v>
      </c>
      <c r="B27" s="296">
        <v>0</v>
      </c>
      <c r="C27" s="296">
        <v>0</v>
      </c>
      <c r="D27" s="296">
        <v>0</v>
      </c>
      <c r="E27" s="296">
        <v>0</v>
      </c>
      <c r="F27" s="296">
        <v>0</v>
      </c>
      <c r="G27" s="296">
        <v>0</v>
      </c>
      <c r="H27" s="296">
        <v>0</v>
      </c>
      <c r="I27" s="296">
        <v>0</v>
      </c>
      <c r="J27" s="296">
        <v>0</v>
      </c>
      <c r="K27" s="296">
        <v>0</v>
      </c>
      <c r="L27" s="296">
        <v>0</v>
      </c>
      <c r="M27" s="296">
        <v>0</v>
      </c>
      <c r="N27" s="296">
        <v>0</v>
      </c>
      <c r="O27" s="296">
        <v>0</v>
      </c>
      <c r="P27" s="296">
        <v>0</v>
      </c>
      <c r="Q27" s="296">
        <v>0</v>
      </c>
      <c r="R27" s="296">
        <v>0</v>
      </c>
      <c r="S27" s="296">
        <v>0</v>
      </c>
      <c r="T27" s="296">
        <v>0</v>
      </c>
      <c r="U27" s="296">
        <v>0</v>
      </c>
      <c r="V27" s="296">
        <v>0</v>
      </c>
      <c r="W27" s="296">
        <v>10.188593957462864</v>
      </c>
      <c r="X27" s="296">
        <v>1.3792054853832456</v>
      </c>
      <c r="Y27" s="296">
        <v>3.4765553531967837</v>
      </c>
      <c r="Z27" s="296">
        <v>1.6247657207353525E-2</v>
      </c>
      <c r="AA27" s="296">
        <v>0.24218257969862536</v>
      </c>
      <c r="AB27" s="296">
        <v>0.4847093365624276</v>
      </c>
      <c r="AC27" s="296">
        <v>6.486830332942399E-2</v>
      </c>
      <c r="AD27" s="296">
        <v>0.42593739660184182</v>
      </c>
      <c r="AE27" s="296">
        <v>0.50631660083330798</v>
      </c>
      <c r="AF27" s="185">
        <v>-0.89519680186398187</v>
      </c>
      <c r="AG27" s="185">
        <v>0.57424442007451737</v>
      </c>
      <c r="AH27" s="185">
        <v>0.30294564382463574</v>
      </c>
      <c r="AI27" s="185">
        <v>0.41031386322769664</v>
      </c>
      <c r="AJ27" s="185">
        <v>1.1737353163012212</v>
      </c>
      <c r="AK27" s="185">
        <v>1.7482013556783382</v>
      </c>
      <c r="AL27" s="185">
        <v>44.2</v>
      </c>
      <c r="AM27" s="185">
        <v>21.812871883477591</v>
      </c>
      <c r="AN27" s="185">
        <v>0.85624685579133997</v>
      </c>
      <c r="AO27" s="185">
        <v>3.4423792765348908</v>
      </c>
      <c r="AP27" s="185">
        <v>-1.6998987053695973</v>
      </c>
      <c r="AQ27" s="185">
        <v>2.4989638342231206</v>
      </c>
      <c r="AR27" s="185">
        <v>2.84376268969929</v>
      </c>
      <c r="AS27" s="185">
        <v>0.67693293262556298</v>
      </c>
      <c r="AT27" s="185">
        <v>10.077125692749817</v>
      </c>
      <c r="AU27" s="185">
        <v>9.4740059840805486</v>
      </c>
      <c r="AV27" s="185">
        <v>8.1904906662024271</v>
      </c>
      <c r="AW27" s="296" t="s">
        <v>297</v>
      </c>
      <c r="AX27" s="304"/>
    </row>
    <row r="28" spans="1:50" ht="14.25" customHeight="1" x14ac:dyDescent="0.15">
      <c r="A28" s="186" t="s">
        <v>224</v>
      </c>
      <c r="B28" s="295" t="s">
        <v>297</v>
      </c>
      <c r="C28" s="295" t="s">
        <v>297</v>
      </c>
      <c r="D28" s="295" t="s">
        <v>297</v>
      </c>
      <c r="E28" s="295" t="s">
        <v>297</v>
      </c>
      <c r="F28" s="295" t="s">
        <v>297</v>
      </c>
      <c r="G28" s="295" t="s">
        <v>297</v>
      </c>
      <c r="H28" s="295" t="s">
        <v>297</v>
      </c>
      <c r="I28" s="295" t="s">
        <v>297</v>
      </c>
      <c r="J28" s="295" t="s">
        <v>297</v>
      </c>
      <c r="K28" s="295" t="s">
        <v>297</v>
      </c>
      <c r="L28" s="295" t="s">
        <v>297</v>
      </c>
      <c r="M28" s="295" t="s">
        <v>297</v>
      </c>
      <c r="N28" s="295" t="s">
        <v>297</v>
      </c>
      <c r="O28" s="295" t="s">
        <v>297</v>
      </c>
      <c r="P28" s="295" t="s">
        <v>297</v>
      </c>
      <c r="Q28" s="295" t="s">
        <v>297</v>
      </c>
      <c r="R28" s="295" t="s">
        <v>297</v>
      </c>
      <c r="S28" s="295" t="s">
        <v>297</v>
      </c>
      <c r="T28" s="295" t="s">
        <v>297</v>
      </c>
      <c r="U28" s="295" t="s">
        <v>297</v>
      </c>
      <c r="V28" s="295" t="s">
        <v>297</v>
      </c>
      <c r="W28" s="295" t="s">
        <v>297</v>
      </c>
      <c r="X28" s="295" t="s">
        <v>297</v>
      </c>
      <c r="Y28" s="295" t="s">
        <v>297</v>
      </c>
      <c r="Z28" s="295" t="s">
        <v>297</v>
      </c>
      <c r="AA28" s="295" t="s">
        <v>297</v>
      </c>
      <c r="AB28" s="295" t="s">
        <v>297</v>
      </c>
      <c r="AC28" s="295" t="s">
        <v>297</v>
      </c>
      <c r="AD28" s="295" t="s">
        <v>297</v>
      </c>
      <c r="AE28" s="295" t="s">
        <v>297</v>
      </c>
      <c r="AF28" s="183" t="s">
        <v>297</v>
      </c>
      <c r="AG28" s="183">
        <v>189.2</v>
      </c>
      <c r="AH28" s="183">
        <v>211.25261486057471</v>
      </c>
      <c r="AI28" s="183">
        <v>302.888566607472</v>
      </c>
      <c r="AJ28" s="183">
        <v>99.942141101356299</v>
      </c>
      <c r="AK28" s="183">
        <v>86.493836950281903</v>
      </c>
      <c r="AL28" s="183">
        <v>96.450208151142704</v>
      </c>
      <c r="AM28" s="183">
        <v>80.270966318248298</v>
      </c>
      <c r="AN28" s="183">
        <v>643.39557075018797</v>
      </c>
      <c r="AO28" s="183">
        <v>78.1947223493965</v>
      </c>
      <c r="AP28" s="183">
        <v>99.742837894054404</v>
      </c>
      <c r="AQ28" s="183">
        <v>113.559382737118</v>
      </c>
      <c r="AR28" s="183">
        <v>151.29590389958199</v>
      </c>
      <c r="AS28" s="183">
        <v>85.737785855275305</v>
      </c>
      <c r="AT28" s="183">
        <v>66.466240040040304</v>
      </c>
      <c r="AU28" s="183">
        <v>63.305837354773402</v>
      </c>
      <c r="AV28" s="183">
        <v>59.944234144303394</v>
      </c>
      <c r="AW28" s="295" t="s">
        <v>297</v>
      </c>
      <c r="AX28" s="304"/>
    </row>
    <row r="29" spans="1:50" ht="14.25" customHeight="1" x14ac:dyDescent="0.15">
      <c r="A29" s="186" t="s">
        <v>315</v>
      </c>
      <c r="B29" s="296" t="s">
        <v>297</v>
      </c>
      <c r="C29" s="296" t="s">
        <v>297</v>
      </c>
      <c r="D29" s="296" t="s">
        <v>297</v>
      </c>
      <c r="E29" s="296" t="s">
        <v>297</v>
      </c>
      <c r="F29" s="296" t="s">
        <v>297</v>
      </c>
      <c r="G29" s="296" t="s">
        <v>297</v>
      </c>
      <c r="H29" s="296" t="s">
        <v>297</v>
      </c>
      <c r="I29" s="296" t="s">
        <v>297</v>
      </c>
      <c r="J29" s="296" t="s">
        <v>297</v>
      </c>
      <c r="K29" s="296" t="s">
        <v>297</v>
      </c>
      <c r="L29" s="296" t="s">
        <v>297</v>
      </c>
      <c r="M29" s="296" t="s">
        <v>297</v>
      </c>
      <c r="N29" s="296" t="s">
        <v>297</v>
      </c>
      <c r="O29" s="296" t="s">
        <v>297</v>
      </c>
      <c r="P29" s="296" t="s">
        <v>297</v>
      </c>
      <c r="Q29" s="296" t="s">
        <v>297</v>
      </c>
      <c r="R29" s="296" t="s">
        <v>297</v>
      </c>
      <c r="S29" s="296" t="s">
        <v>297</v>
      </c>
      <c r="T29" s="296" t="s">
        <v>297</v>
      </c>
      <c r="U29" s="296" t="s">
        <v>297</v>
      </c>
      <c r="V29" s="296" t="s">
        <v>297</v>
      </c>
      <c r="W29" s="296" t="s">
        <v>297</v>
      </c>
      <c r="X29" s="296" t="s">
        <v>297</v>
      </c>
      <c r="Y29" s="296" t="s">
        <v>297</v>
      </c>
      <c r="Z29" s="296" t="s">
        <v>297</v>
      </c>
      <c r="AA29" s="296" t="s">
        <v>297</v>
      </c>
      <c r="AB29" s="296" t="s">
        <v>297</v>
      </c>
      <c r="AC29" s="296" t="s">
        <v>297</v>
      </c>
      <c r="AD29" s="296" t="s">
        <v>297</v>
      </c>
      <c r="AE29" s="296" t="s">
        <v>297</v>
      </c>
      <c r="AF29" s="185" t="s">
        <v>297</v>
      </c>
      <c r="AG29" s="185">
        <v>0</v>
      </c>
      <c r="AH29" s="185" t="s">
        <v>297</v>
      </c>
      <c r="AI29" s="185" t="s">
        <v>297</v>
      </c>
      <c r="AJ29" s="185" t="s">
        <v>297</v>
      </c>
      <c r="AK29" s="185" t="s">
        <v>297</v>
      </c>
      <c r="AL29" s="185" t="s">
        <v>297</v>
      </c>
      <c r="AM29" s="185" t="s">
        <v>297</v>
      </c>
      <c r="AN29" s="185" t="s">
        <v>297</v>
      </c>
      <c r="AO29" s="185">
        <v>0</v>
      </c>
      <c r="AP29" s="185">
        <v>0</v>
      </c>
      <c r="AQ29" s="185">
        <v>0</v>
      </c>
      <c r="AR29" s="185">
        <v>0</v>
      </c>
      <c r="AS29" s="185">
        <v>0</v>
      </c>
      <c r="AT29" s="185">
        <v>0</v>
      </c>
      <c r="AU29" s="185">
        <v>0</v>
      </c>
      <c r="AV29" s="185">
        <v>0</v>
      </c>
      <c r="AW29" s="296">
        <v>0</v>
      </c>
      <c r="AX29" s="304"/>
    </row>
    <row r="30" spans="1:50" ht="14.25" customHeight="1" x14ac:dyDescent="0.15">
      <c r="A30" s="186" t="s">
        <v>316</v>
      </c>
      <c r="B30" s="295" t="s">
        <v>297</v>
      </c>
      <c r="C30" s="295">
        <v>0</v>
      </c>
      <c r="D30" s="295">
        <v>0</v>
      </c>
      <c r="E30" s="295">
        <v>0</v>
      </c>
      <c r="F30" s="295">
        <v>0</v>
      </c>
      <c r="G30" s="295">
        <v>0.1</v>
      </c>
      <c r="H30" s="295">
        <v>0.5</v>
      </c>
      <c r="I30" s="295">
        <v>0.5</v>
      </c>
      <c r="J30" s="295">
        <v>0.5</v>
      </c>
      <c r="K30" s="295">
        <v>0</v>
      </c>
      <c r="L30" s="295">
        <v>0</v>
      </c>
      <c r="M30" s="295">
        <v>0</v>
      </c>
      <c r="N30" s="295">
        <v>0</v>
      </c>
      <c r="O30" s="295">
        <v>0</v>
      </c>
      <c r="P30" s="295">
        <v>0</v>
      </c>
      <c r="Q30" s="295">
        <v>0</v>
      </c>
      <c r="R30" s="295">
        <v>0</v>
      </c>
      <c r="S30" s="295">
        <v>0</v>
      </c>
      <c r="T30" s="295">
        <v>0</v>
      </c>
      <c r="U30" s="295">
        <v>0</v>
      </c>
      <c r="V30" s="295">
        <v>0</v>
      </c>
      <c r="W30" s="295">
        <v>20</v>
      </c>
      <c r="X30" s="295">
        <v>2.8</v>
      </c>
      <c r="Y30" s="295">
        <v>3.2</v>
      </c>
      <c r="Z30" s="295">
        <v>3.2</v>
      </c>
      <c r="AA30" s="295">
        <v>3.2</v>
      </c>
      <c r="AB30" s="295">
        <v>2.98</v>
      </c>
      <c r="AC30" s="295">
        <v>3</v>
      </c>
      <c r="AD30" s="295">
        <v>3.18</v>
      </c>
      <c r="AE30" s="295">
        <v>2.8</v>
      </c>
      <c r="AF30" s="183">
        <v>3</v>
      </c>
      <c r="AG30" s="183">
        <v>3</v>
      </c>
      <c r="AH30" s="183">
        <v>3</v>
      </c>
      <c r="AI30" s="183">
        <v>3</v>
      </c>
      <c r="AJ30" s="183">
        <v>3</v>
      </c>
      <c r="AK30" s="183">
        <v>-28.805361000000001</v>
      </c>
      <c r="AL30" s="183">
        <v>0.27476672733845497</v>
      </c>
      <c r="AM30" s="183">
        <v>0</v>
      </c>
      <c r="AN30" s="183">
        <v>0</v>
      </c>
      <c r="AO30" s="183">
        <v>0</v>
      </c>
      <c r="AP30" s="183">
        <v>0</v>
      </c>
      <c r="AQ30" s="183">
        <v>0</v>
      </c>
      <c r="AR30" s="183">
        <v>26.3228451723954</v>
      </c>
      <c r="AS30" s="183">
        <v>-20.647569530013001</v>
      </c>
      <c r="AT30" s="183">
        <v>-15.431806325365343</v>
      </c>
      <c r="AU30" s="183">
        <v>10.073438907851044</v>
      </c>
      <c r="AV30" s="183">
        <v>-6.6316263271883438</v>
      </c>
      <c r="AW30" s="295">
        <v>10.376967439167238</v>
      </c>
      <c r="AX30" s="304"/>
    </row>
    <row r="31" spans="1:50" ht="14.25" customHeight="1" x14ac:dyDescent="0.15">
      <c r="A31" s="186" t="s">
        <v>317</v>
      </c>
      <c r="B31" s="296" t="s">
        <v>297</v>
      </c>
      <c r="C31" s="296" t="s">
        <v>297</v>
      </c>
      <c r="D31" s="296" t="s">
        <v>297</v>
      </c>
      <c r="E31" s="296" t="s">
        <v>297</v>
      </c>
      <c r="F31" s="296" t="s">
        <v>297</v>
      </c>
      <c r="G31" s="296" t="s">
        <v>297</v>
      </c>
      <c r="H31" s="296" t="s">
        <v>297</v>
      </c>
      <c r="I31" s="296" t="s">
        <v>297</v>
      </c>
      <c r="J31" s="296" t="s">
        <v>297</v>
      </c>
      <c r="K31" s="296" t="s">
        <v>297</v>
      </c>
      <c r="L31" s="296" t="s">
        <v>297</v>
      </c>
      <c r="M31" s="296" t="s">
        <v>297</v>
      </c>
      <c r="N31" s="296" t="s">
        <v>297</v>
      </c>
      <c r="O31" s="296" t="s">
        <v>297</v>
      </c>
      <c r="P31" s="296" t="s">
        <v>297</v>
      </c>
      <c r="Q31" s="296" t="s">
        <v>297</v>
      </c>
      <c r="R31" s="296" t="s">
        <v>297</v>
      </c>
      <c r="S31" s="296" t="s">
        <v>297</v>
      </c>
      <c r="T31" s="296" t="s">
        <v>297</v>
      </c>
      <c r="U31" s="296" t="s">
        <v>297</v>
      </c>
      <c r="V31" s="296" t="s">
        <v>297</v>
      </c>
      <c r="W31" s="296" t="s">
        <v>297</v>
      </c>
      <c r="X31" s="296" t="s">
        <v>297</v>
      </c>
      <c r="Y31" s="296">
        <v>0</v>
      </c>
      <c r="Z31" s="296">
        <v>0</v>
      </c>
      <c r="AA31" s="296">
        <v>0</v>
      </c>
      <c r="AB31" s="296">
        <v>0</v>
      </c>
      <c r="AC31" s="296">
        <v>0</v>
      </c>
      <c r="AD31" s="296">
        <v>0</v>
      </c>
      <c r="AE31" s="296">
        <v>0</v>
      </c>
      <c r="AF31" s="185">
        <v>0</v>
      </c>
      <c r="AG31" s="185">
        <v>2.4396842490856673E-2</v>
      </c>
      <c r="AH31" s="185">
        <v>0.6</v>
      </c>
      <c r="AI31" s="185">
        <v>8.1043451772259949E-3</v>
      </c>
      <c r="AJ31" s="185">
        <v>0</v>
      </c>
      <c r="AK31" s="185">
        <v>1.0244372553999324</v>
      </c>
      <c r="AL31" s="185">
        <v>-0.30042642894701677</v>
      </c>
      <c r="AM31" s="185">
        <v>2.97230010891344E-2</v>
      </c>
      <c r="AN31" s="185">
        <v>-4.6915254555838724</v>
      </c>
      <c r="AO31" s="185">
        <v>-1.298162222300737</v>
      </c>
      <c r="AP31" s="185">
        <v>1.5483609091245054</v>
      </c>
      <c r="AQ31" s="185">
        <v>1.5638936540007475E-2</v>
      </c>
      <c r="AR31" s="185">
        <v>1.4889411247814397</v>
      </c>
      <c r="AS31" s="185">
        <v>1.4341666046925448</v>
      </c>
      <c r="AT31" s="185">
        <v>10.463051071787842</v>
      </c>
      <c r="AU31" s="185">
        <v>13.345205822711286</v>
      </c>
      <c r="AV31" s="185">
        <v>16.054163074833479</v>
      </c>
      <c r="AW31" s="296">
        <v>27.79068953400991</v>
      </c>
      <c r="AX31" s="304"/>
    </row>
    <row r="32" spans="1:50" ht="14.25" customHeight="1" x14ac:dyDescent="0.15">
      <c r="A32" s="186" t="s">
        <v>318</v>
      </c>
      <c r="B32" s="295">
        <v>0</v>
      </c>
      <c r="C32" s="295">
        <v>0.92000023105805806</v>
      </c>
      <c r="D32" s="295">
        <v>0.47508214028670648</v>
      </c>
      <c r="E32" s="295">
        <v>0.6037502558135116</v>
      </c>
      <c r="F32" s="295">
        <v>0.24539676597172622</v>
      </c>
      <c r="G32" s="295">
        <v>0.77197722766506127</v>
      </c>
      <c r="H32" s="295">
        <v>0.35853502631272843</v>
      </c>
      <c r="I32" s="295">
        <v>0.29135807688402093</v>
      </c>
      <c r="J32" s="295">
        <v>0.36465546543685762</v>
      </c>
      <c r="K32" s="295">
        <v>0.38509725001575501</v>
      </c>
      <c r="L32" s="295">
        <v>0</v>
      </c>
      <c r="M32" s="295">
        <v>0</v>
      </c>
      <c r="N32" s="295">
        <v>7.2664859641172725</v>
      </c>
      <c r="O32" s="295">
        <v>8.2030529028553456</v>
      </c>
      <c r="P32" s="295">
        <v>14.641028048322035</v>
      </c>
      <c r="Q32" s="295">
        <v>27.949989227608366</v>
      </c>
      <c r="R32" s="295">
        <v>29.828498500330554</v>
      </c>
      <c r="S32" s="295">
        <v>31.852492623446182</v>
      </c>
      <c r="T32" s="295">
        <v>25.711131516771047</v>
      </c>
      <c r="U32" s="295">
        <v>25.180233293371511</v>
      </c>
      <c r="V32" s="295">
        <v>57.896116451154363</v>
      </c>
      <c r="W32" s="295">
        <v>20.095080615968349</v>
      </c>
      <c r="X32" s="295">
        <v>20.65787155015072</v>
      </c>
      <c r="Y32" s="295">
        <v>25.721269889348491</v>
      </c>
      <c r="Z32" s="295">
        <v>20.672973401224734</v>
      </c>
      <c r="AA32" s="295">
        <v>18.108511128278568</v>
      </c>
      <c r="AB32" s="295">
        <v>33.188695664579065</v>
      </c>
      <c r="AC32" s="295">
        <v>23.35727972502254</v>
      </c>
      <c r="AD32" s="295">
        <v>159.42649336655654</v>
      </c>
      <c r="AE32" s="295">
        <v>11.355324361751242</v>
      </c>
      <c r="AF32" s="183">
        <v>195.53755802022772</v>
      </c>
      <c r="AG32" s="183">
        <v>150.17288990274943</v>
      </c>
      <c r="AH32" s="183">
        <v>38.187067429136107</v>
      </c>
      <c r="AI32" s="183">
        <v>0.29808733397377779</v>
      </c>
      <c r="AJ32" s="183">
        <v>23.352454330627033</v>
      </c>
      <c r="AK32" s="183">
        <v>-0.3</v>
      </c>
      <c r="AL32" s="183">
        <v>0.81454196259267786</v>
      </c>
      <c r="AM32" s="183">
        <v>0.67634920375235996</v>
      </c>
      <c r="AN32" s="183">
        <v>2.4353732875998779</v>
      </c>
      <c r="AO32" s="183">
        <v>8.3743456035947315</v>
      </c>
      <c r="AP32" s="183">
        <v>4.3603034017041695</v>
      </c>
      <c r="AQ32" s="183">
        <v>1.467060834980437</v>
      </c>
      <c r="AR32" s="183">
        <v>2.3440271479438786</v>
      </c>
      <c r="AS32" s="183">
        <v>-38.990848172726494</v>
      </c>
      <c r="AT32" s="183">
        <v>-0.70025775080885877</v>
      </c>
      <c r="AU32" s="183">
        <v>-20.358714243501947</v>
      </c>
      <c r="AV32" s="183">
        <v>4.7642968053279224</v>
      </c>
      <c r="AW32" s="295">
        <v>-1.4830940654406906</v>
      </c>
      <c r="AX32" s="304"/>
    </row>
    <row r="33" spans="1:50" ht="14.25" customHeight="1" x14ac:dyDescent="0.15">
      <c r="A33" s="186" t="s">
        <v>83</v>
      </c>
      <c r="B33" s="296">
        <v>2</v>
      </c>
      <c r="C33" s="296">
        <v>4</v>
      </c>
      <c r="D33" s="296">
        <v>2</v>
      </c>
      <c r="E33" s="296">
        <v>4</v>
      </c>
      <c r="F33" s="296">
        <v>104</v>
      </c>
      <c r="G33" s="296">
        <v>234</v>
      </c>
      <c r="H33" s="296">
        <v>217</v>
      </c>
      <c r="I33" s="296">
        <v>277</v>
      </c>
      <c r="J33" s="296">
        <v>4</v>
      </c>
      <c r="K33" s="296">
        <v>3</v>
      </c>
      <c r="L33" s="296">
        <v>80</v>
      </c>
      <c r="M33" s="296">
        <v>41</v>
      </c>
      <c r="N33" s="296">
        <v>31</v>
      </c>
      <c r="O33" s="296">
        <v>3</v>
      </c>
      <c r="P33" s="296">
        <v>1</v>
      </c>
      <c r="Q33" s="296">
        <v>27</v>
      </c>
      <c r="R33" s="296">
        <v>22</v>
      </c>
      <c r="S33" s="296">
        <v>75</v>
      </c>
      <c r="T33" s="296">
        <v>171</v>
      </c>
      <c r="U33" s="296">
        <v>365</v>
      </c>
      <c r="V33" s="296">
        <v>770</v>
      </c>
      <c r="W33" s="296">
        <v>1409</v>
      </c>
      <c r="X33" s="296">
        <v>862.45899999999995</v>
      </c>
      <c r="Y33" s="296">
        <v>420.767</v>
      </c>
      <c r="Z33" s="296">
        <v>1389.3330000000001</v>
      </c>
      <c r="AA33" s="296">
        <v>931.92700000000002</v>
      </c>
      <c r="AB33" s="296">
        <v>264.48200000000003</v>
      </c>
      <c r="AC33" s="296">
        <v>857.41700000000003</v>
      </c>
      <c r="AD33" s="296">
        <v>759.601</v>
      </c>
      <c r="AE33" s="296">
        <v>915.67399999999998</v>
      </c>
      <c r="AF33" s="185">
        <v>640.96400000000006</v>
      </c>
      <c r="AG33" s="185">
        <v>928.06200000000001</v>
      </c>
      <c r="AH33" s="185">
        <v>1152.0969414062499</v>
      </c>
      <c r="AI33" s="185">
        <v>1525.8879999999999</v>
      </c>
      <c r="AJ33" s="185">
        <v>1186.2378000000001</v>
      </c>
      <c r="AK33" s="185">
        <v>10594</v>
      </c>
      <c r="AL33" s="185">
        <v>13348.49285461</v>
      </c>
      <c r="AM33" s="185">
        <v>2353.6683966199998</v>
      </c>
      <c r="AN33" s="185">
        <v>7076.9583626899994</v>
      </c>
      <c r="AO33" s="185">
        <v>2282.7781375999998</v>
      </c>
      <c r="AP33" s="185">
        <v>-2514.3501642800002</v>
      </c>
      <c r="AQ33" s="185">
        <v>7836.2133560100001</v>
      </c>
      <c r="AR33" s="185">
        <v>17305.62394388</v>
      </c>
      <c r="AS33" s="185">
        <v>4787.8638876999994</v>
      </c>
      <c r="AT33" s="185">
        <v>15932.08720607</v>
      </c>
      <c r="AU33" s="185">
        <v>13090.050485739999</v>
      </c>
      <c r="AV33" s="185">
        <v>24647.472291669998</v>
      </c>
      <c r="AW33" s="296">
        <v>28979.519148700001</v>
      </c>
      <c r="AX33" s="304"/>
    </row>
    <row r="34" spans="1:50" ht="14.25" customHeight="1" x14ac:dyDescent="0.15">
      <c r="A34" s="186" t="s">
        <v>319</v>
      </c>
      <c r="B34" s="295" t="s">
        <v>297</v>
      </c>
      <c r="C34" s="295" t="s">
        <v>297</v>
      </c>
      <c r="D34" s="295" t="s">
        <v>297</v>
      </c>
      <c r="E34" s="295" t="s">
        <v>297</v>
      </c>
      <c r="F34" s="295" t="s">
        <v>297</v>
      </c>
      <c r="G34" s="295" t="s">
        <v>297</v>
      </c>
      <c r="H34" s="295" t="s">
        <v>297</v>
      </c>
      <c r="I34" s="295" t="s">
        <v>297</v>
      </c>
      <c r="J34" s="295" t="s">
        <v>297</v>
      </c>
      <c r="K34" s="295" t="s">
        <v>297</v>
      </c>
      <c r="L34" s="295" t="s">
        <v>297</v>
      </c>
      <c r="M34" s="295" t="s">
        <v>297</v>
      </c>
      <c r="N34" s="295" t="s">
        <v>297</v>
      </c>
      <c r="O34" s="295" t="s">
        <v>297</v>
      </c>
      <c r="P34" s="295" t="s">
        <v>297</v>
      </c>
      <c r="Q34" s="295" t="s">
        <v>297</v>
      </c>
      <c r="R34" s="295" t="s">
        <v>297</v>
      </c>
      <c r="S34" s="295" t="s">
        <v>297</v>
      </c>
      <c r="T34" s="295" t="s">
        <v>297</v>
      </c>
      <c r="U34" s="295" t="s">
        <v>297</v>
      </c>
      <c r="V34" s="295" t="s">
        <v>297</v>
      </c>
      <c r="W34" s="295" t="s">
        <v>297</v>
      </c>
      <c r="X34" s="295" t="s">
        <v>297</v>
      </c>
      <c r="Y34" s="295" t="s">
        <v>297</v>
      </c>
      <c r="Z34" s="295" t="s">
        <v>297</v>
      </c>
      <c r="AA34" s="295" t="s">
        <v>297</v>
      </c>
      <c r="AB34" s="295" t="s">
        <v>297</v>
      </c>
      <c r="AC34" s="295" t="s">
        <v>297</v>
      </c>
      <c r="AD34" s="295" t="s">
        <v>297</v>
      </c>
      <c r="AE34" s="295" t="s">
        <v>297</v>
      </c>
      <c r="AF34" s="183" t="s">
        <v>297</v>
      </c>
      <c r="AG34" s="183" t="s">
        <v>297</v>
      </c>
      <c r="AH34" s="183" t="s">
        <v>297</v>
      </c>
      <c r="AI34" s="183" t="s">
        <v>297</v>
      </c>
      <c r="AJ34" s="183" t="s">
        <v>297</v>
      </c>
      <c r="AK34" s="183" t="s">
        <v>297</v>
      </c>
      <c r="AL34" s="183" t="s">
        <v>297</v>
      </c>
      <c r="AM34" s="183" t="s">
        <v>297</v>
      </c>
      <c r="AN34" s="183" t="s">
        <v>297</v>
      </c>
      <c r="AO34" s="183" t="s">
        <v>297</v>
      </c>
      <c r="AP34" s="183" t="s">
        <v>297</v>
      </c>
      <c r="AQ34" s="183" t="s">
        <v>297</v>
      </c>
      <c r="AR34" s="183" t="s">
        <v>297</v>
      </c>
      <c r="AS34" s="183" t="s">
        <v>297</v>
      </c>
      <c r="AT34" s="183" t="s">
        <v>297</v>
      </c>
      <c r="AU34" s="183" t="s">
        <v>297</v>
      </c>
      <c r="AV34" s="183" t="s">
        <v>297</v>
      </c>
      <c r="AW34" s="295" t="s">
        <v>297</v>
      </c>
      <c r="AX34" s="304"/>
    </row>
    <row r="35" spans="1:50" ht="14.25" customHeight="1" x14ac:dyDescent="0.15">
      <c r="A35" s="186" t="s">
        <v>320</v>
      </c>
      <c r="B35" s="296" t="s">
        <v>297</v>
      </c>
      <c r="C35" s="296" t="s">
        <v>297</v>
      </c>
      <c r="D35" s="296" t="s">
        <v>297</v>
      </c>
      <c r="E35" s="296" t="s">
        <v>297</v>
      </c>
      <c r="F35" s="296" t="s">
        <v>297</v>
      </c>
      <c r="G35" s="296">
        <v>0</v>
      </c>
      <c r="H35" s="296">
        <v>0</v>
      </c>
      <c r="I35" s="296">
        <v>0</v>
      </c>
      <c r="J35" s="296">
        <v>0</v>
      </c>
      <c r="K35" s="296">
        <v>0</v>
      </c>
      <c r="L35" s="296">
        <v>0</v>
      </c>
      <c r="M35" s="296">
        <v>0</v>
      </c>
      <c r="N35" s="296">
        <v>0</v>
      </c>
      <c r="O35" s="296">
        <v>0</v>
      </c>
      <c r="P35" s="296">
        <v>0</v>
      </c>
      <c r="Q35" s="296">
        <v>0</v>
      </c>
      <c r="R35" s="296" t="s">
        <v>297</v>
      </c>
      <c r="S35" s="296">
        <v>0</v>
      </c>
      <c r="T35" s="296">
        <v>0</v>
      </c>
      <c r="U35" s="296">
        <v>0</v>
      </c>
      <c r="V35" s="296">
        <v>0</v>
      </c>
      <c r="W35" s="296" t="s">
        <v>297</v>
      </c>
      <c r="X35" s="296" t="s">
        <v>297</v>
      </c>
      <c r="Y35" s="296">
        <v>1.002</v>
      </c>
      <c r="Z35" s="296">
        <v>-0.88421935593813095</v>
      </c>
      <c r="AA35" s="296">
        <v>-2.5550909294071702</v>
      </c>
      <c r="AB35" s="296">
        <v>0.62974799999999997</v>
      </c>
      <c r="AC35" s="296">
        <v>1.0895188329664101</v>
      </c>
      <c r="AD35" s="296">
        <v>1.134518569539033</v>
      </c>
      <c r="AE35" s="296">
        <v>-0.682028774496649</v>
      </c>
      <c r="AF35" s="185">
        <v>7.6363667085046512</v>
      </c>
      <c r="AG35" s="185">
        <v>3.9780808508157555</v>
      </c>
      <c r="AH35" s="185">
        <v>-0.47515104197172076</v>
      </c>
      <c r="AI35" s="185">
        <v>52.636974514107422</v>
      </c>
      <c r="AJ35" s="185">
        <v>2.2621573641838904</v>
      </c>
      <c r="AK35" s="185">
        <v>5.6</v>
      </c>
      <c r="AL35" s="185">
        <v>-33.46</v>
      </c>
      <c r="AM35" s="185">
        <v>18.940000000000001</v>
      </c>
      <c r="AN35" s="185">
        <v>14.79</v>
      </c>
      <c r="AO35" s="185">
        <v>-30.41</v>
      </c>
      <c r="AP35" s="185">
        <v>-10.91</v>
      </c>
      <c r="AQ35" s="185">
        <v>46.04</v>
      </c>
      <c r="AR35" s="185">
        <v>107.02</v>
      </c>
      <c r="AS35" s="185">
        <v>9.19</v>
      </c>
      <c r="AT35" s="185">
        <v>118.32</v>
      </c>
      <c r="AU35" s="185">
        <v>10.47</v>
      </c>
      <c r="AV35" s="185">
        <v>354.3</v>
      </c>
      <c r="AW35" s="296">
        <v>376.03</v>
      </c>
      <c r="AX35" s="304"/>
    </row>
    <row r="36" spans="1:50" ht="14.25" customHeight="1" x14ac:dyDescent="0.15">
      <c r="A36" s="186" t="s">
        <v>321</v>
      </c>
      <c r="B36" s="295" t="s">
        <v>297</v>
      </c>
      <c r="C36" s="295" t="s">
        <v>297</v>
      </c>
      <c r="D36" s="295" t="s">
        <v>297</v>
      </c>
      <c r="E36" s="295" t="s">
        <v>297</v>
      </c>
      <c r="F36" s="295" t="s">
        <v>297</v>
      </c>
      <c r="G36" s="295" t="s">
        <v>297</v>
      </c>
      <c r="H36" s="295" t="s">
        <v>297</v>
      </c>
      <c r="I36" s="295" t="s">
        <v>297</v>
      </c>
      <c r="J36" s="295" t="s">
        <v>297</v>
      </c>
      <c r="K36" s="295" t="s">
        <v>297</v>
      </c>
      <c r="L36" s="295" t="s">
        <v>297</v>
      </c>
      <c r="M36" s="295" t="s">
        <v>297</v>
      </c>
      <c r="N36" s="295" t="s">
        <v>297</v>
      </c>
      <c r="O36" s="295" t="s">
        <v>297</v>
      </c>
      <c r="P36" s="295" t="s">
        <v>297</v>
      </c>
      <c r="Q36" s="295" t="s">
        <v>297</v>
      </c>
      <c r="R36" s="295" t="s">
        <v>297</v>
      </c>
      <c r="S36" s="295" t="s">
        <v>297</v>
      </c>
      <c r="T36" s="295" t="s">
        <v>297</v>
      </c>
      <c r="U36" s="295" t="s">
        <v>297</v>
      </c>
      <c r="V36" s="295" t="s">
        <v>297</v>
      </c>
      <c r="W36" s="295" t="s">
        <v>297</v>
      </c>
      <c r="X36" s="295" t="s">
        <v>297</v>
      </c>
      <c r="Y36" s="295" t="s">
        <v>297</v>
      </c>
      <c r="Z36" s="295" t="s">
        <v>297</v>
      </c>
      <c r="AA36" s="295" t="s">
        <v>297</v>
      </c>
      <c r="AB36" s="295" t="s">
        <v>297</v>
      </c>
      <c r="AC36" s="295" t="s">
        <v>297</v>
      </c>
      <c r="AD36" s="295" t="s">
        <v>297</v>
      </c>
      <c r="AE36" s="295" t="s">
        <v>297</v>
      </c>
      <c r="AF36" s="183">
        <v>17.867900572798405</v>
      </c>
      <c r="AG36" s="183">
        <v>40.036320967595657</v>
      </c>
      <c r="AH36" s="183">
        <v>33.386699229776809</v>
      </c>
      <c r="AI36" s="183">
        <v>49.289233089259312</v>
      </c>
      <c r="AJ36" s="183">
        <v>26.981027950264853</v>
      </c>
      <c r="AK36" s="183">
        <v>18.682512522416417</v>
      </c>
      <c r="AL36" s="183">
        <v>23</v>
      </c>
      <c r="AM36" s="183">
        <v>21.376681039829968</v>
      </c>
      <c r="AN36" s="183">
        <v>17.50726176415742</v>
      </c>
      <c r="AO36" s="183">
        <v>19.359712598927743</v>
      </c>
      <c r="AP36" s="183">
        <v>8.8563876829007082</v>
      </c>
      <c r="AQ36" s="183">
        <v>10.43358321763869</v>
      </c>
      <c r="AR36" s="183">
        <v>11.202280873540056</v>
      </c>
      <c r="AS36" s="183">
        <v>38.170195667715703</v>
      </c>
      <c r="AT36" s="183">
        <v>12.394373610731977</v>
      </c>
      <c r="AU36" s="183">
        <v>12.993409453405354</v>
      </c>
      <c r="AV36" s="183">
        <v>14.00491174525148</v>
      </c>
      <c r="AW36" s="295" t="s">
        <v>297</v>
      </c>
      <c r="AX36" s="304"/>
    </row>
    <row r="37" spans="1:50" ht="14.25" customHeight="1" x14ac:dyDescent="0.15">
      <c r="A37" s="186" t="s">
        <v>322</v>
      </c>
      <c r="B37" s="296" t="s">
        <v>297</v>
      </c>
      <c r="C37" s="296" t="s">
        <v>297</v>
      </c>
      <c r="D37" s="296" t="s">
        <v>297</v>
      </c>
      <c r="E37" s="296" t="s">
        <v>297</v>
      </c>
      <c r="F37" s="296" t="s">
        <v>297</v>
      </c>
      <c r="G37" s="296" t="s">
        <v>297</v>
      </c>
      <c r="H37" s="296" t="s">
        <v>297</v>
      </c>
      <c r="I37" s="296" t="s">
        <v>297</v>
      </c>
      <c r="J37" s="296" t="s">
        <v>297</v>
      </c>
      <c r="K37" s="296" t="s">
        <v>297</v>
      </c>
      <c r="L37" s="296">
        <v>0</v>
      </c>
      <c r="M37" s="296">
        <v>0</v>
      </c>
      <c r="N37" s="296">
        <v>0</v>
      </c>
      <c r="O37" s="296">
        <v>0</v>
      </c>
      <c r="P37" s="296">
        <v>0</v>
      </c>
      <c r="Q37" s="296">
        <v>0</v>
      </c>
      <c r="R37" s="296">
        <v>0</v>
      </c>
      <c r="S37" s="296">
        <v>0</v>
      </c>
      <c r="T37" s="296">
        <v>0</v>
      </c>
      <c r="U37" s="296">
        <v>0</v>
      </c>
      <c r="V37" s="296">
        <v>0</v>
      </c>
      <c r="W37" s="296">
        <v>0</v>
      </c>
      <c r="X37" s="296">
        <v>0</v>
      </c>
      <c r="Y37" s="296">
        <v>0</v>
      </c>
      <c r="Z37" s="296">
        <v>0</v>
      </c>
      <c r="AA37" s="296" t="s">
        <v>297</v>
      </c>
      <c r="AB37" s="296" t="s">
        <v>297</v>
      </c>
      <c r="AC37" s="296" t="s">
        <v>297</v>
      </c>
      <c r="AD37" s="296" t="s">
        <v>297</v>
      </c>
      <c r="AE37" s="296" t="s">
        <v>297</v>
      </c>
      <c r="AF37" s="185" t="s">
        <v>297</v>
      </c>
      <c r="AG37" s="185" t="s">
        <v>297</v>
      </c>
      <c r="AH37" s="185" t="s">
        <v>297</v>
      </c>
      <c r="AI37" s="185" t="s">
        <v>297</v>
      </c>
      <c r="AJ37" s="185" t="s">
        <v>297</v>
      </c>
      <c r="AK37" s="185" t="s">
        <v>297</v>
      </c>
      <c r="AL37" s="185" t="s">
        <v>297</v>
      </c>
      <c r="AM37" s="185" t="s">
        <v>297</v>
      </c>
      <c r="AN37" s="185" t="s">
        <v>297</v>
      </c>
      <c r="AO37" s="185">
        <v>3.4266798274160175E-2</v>
      </c>
      <c r="AP37" s="185">
        <v>3.1808672952767371E-3</v>
      </c>
      <c r="AQ37" s="185">
        <v>0.10171478762580864</v>
      </c>
      <c r="AR37" s="185">
        <v>1.7350518057551666E-3</v>
      </c>
      <c r="AS37" s="185">
        <v>1.9014212633163465E-2</v>
      </c>
      <c r="AT37" s="185" t="s">
        <v>297</v>
      </c>
      <c r="AU37" s="185" t="s">
        <v>297</v>
      </c>
      <c r="AV37" s="185" t="s">
        <v>297</v>
      </c>
      <c r="AW37" s="296" t="s">
        <v>297</v>
      </c>
      <c r="AX37" s="304"/>
    </row>
    <row r="38" spans="1:50" ht="14.25" customHeight="1" x14ac:dyDescent="0.15">
      <c r="A38" s="186" t="s">
        <v>323</v>
      </c>
      <c r="B38" s="295" t="s">
        <v>297</v>
      </c>
      <c r="C38" s="295" t="s">
        <v>297</v>
      </c>
      <c r="D38" s="295">
        <v>0</v>
      </c>
      <c r="E38" s="295">
        <v>0</v>
      </c>
      <c r="F38" s="295">
        <v>0</v>
      </c>
      <c r="G38" s="295">
        <v>0</v>
      </c>
      <c r="H38" s="295">
        <v>0</v>
      </c>
      <c r="I38" s="295">
        <v>0</v>
      </c>
      <c r="J38" s="295">
        <v>0</v>
      </c>
      <c r="K38" s="295">
        <v>0</v>
      </c>
      <c r="L38" s="295">
        <v>0</v>
      </c>
      <c r="M38" s="295">
        <v>0</v>
      </c>
      <c r="N38" s="295">
        <v>0</v>
      </c>
      <c r="O38" s="295">
        <v>0.14014639053664968</v>
      </c>
      <c r="P38" s="295">
        <v>0.76944697067658996</v>
      </c>
      <c r="Q38" s="295">
        <v>0.20562224528068401</v>
      </c>
      <c r="R38" s="295">
        <v>0.50274244369237975</v>
      </c>
      <c r="S38" s="295">
        <v>0.17642496854367323</v>
      </c>
      <c r="T38" s="295">
        <v>0.65401249990622468</v>
      </c>
      <c r="U38" s="295">
        <v>0.41518688497898643</v>
      </c>
      <c r="V38" s="295">
        <v>0.57382026370576011</v>
      </c>
      <c r="W38" s="295">
        <v>0.23368031564197098</v>
      </c>
      <c r="X38" s="295">
        <v>0</v>
      </c>
      <c r="Y38" s="295" t="s">
        <v>297</v>
      </c>
      <c r="Z38" s="295" t="s">
        <v>297</v>
      </c>
      <c r="AA38" s="295">
        <v>1.3970189506086135</v>
      </c>
      <c r="AB38" s="295">
        <v>0.53205715846555601</v>
      </c>
      <c r="AC38" s="295">
        <v>0</v>
      </c>
      <c r="AD38" s="295">
        <v>0.96239890059862632</v>
      </c>
      <c r="AE38" s="295">
        <v>0</v>
      </c>
      <c r="AF38" s="183">
        <v>0</v>
      </c>
      <c r="AG38" s="183">
        <v>2.5944848185964358E-2</v>
      </c>
      <c r="AH38" s="183">
        <v>0</v>
      </c>
      <c r="AI38" s="183">
        <v>3.0521248541797663E-2</v>
      </c>
      <c r="AJ38" s="183">
        <v>0</v>
      </c>
      <c r="AK38" s="183">
        <v>0</v>
      </c>
      <c r="AL38" s="183">
        <v>5.6538345611485624E-5</v>
      </c>
      <c r="AM38" s="183">
        <v>0</v>
      </c>
      <c r="AN38" s="183">
        <v>0</v>
      </c>
      <c r="AO38" s="183">
        <v>0</v>
      </c>
      <c r="AP38" s="183">
        <v>0</v>
      </c>
      <c r="AQ38" s="183">
        <v>0</v>
      </c>
      <c r="AR38" s="183">
        <v>0.32966893704288097</v>
      </c>
      <c r="AS38" s="183">
        <v>0.8694528291882283</v>
      </c>
      <c r="AT38" s="183">
        <v>1.0053579322955351</v>
      </c>
      <c r="AU38" s="183">
        <v>1.28336454641034</v>
      </c>
      <c r="AV38" s="183">
        <v>0.43594037719515188</v>
      </c>
      <c r="AW38" s="295">
        <v>0.68997843541005588</v>
      </c>
      <c r="AX38" s="304"/>
    </row>
    <row r="39" spans="1:50" ht="14.25" customHeight="1" x14ac:dyDescent="0.15">
      <c r="A39" s="186" t="s">
        <v>324</v>
      </c>
      <c r="B39" s="296" t="s">
        <v>297</v>
      </c>
      <c r="C39" s="296" t="s">
        <v>297</v>
      </c>
      <c r="D39" s="296" t="s">
        <v>297</v>
      </c>
      <c r="E39" s="296" t="s">
        <v>297</v>
      </c>
      <c r="F39" s="296" t="s">
        <v>297</v>
      </c>
      <c r="G39" s="296" t="s">
        <v>297</v>
      </c>
      <c r="H39" s="296" t="s">
        <v>297</v>
      </c>
      <c r="I39" s="296" t="s">
        <v>297</v>
      </c>
      <c r="J39" s="296" t="s">
        <v>297</v>
      </c>
      <c r="K39" s="296" t="s">
        <v>297</v>
      </c>
      <c r="L39" s="296" t="s">
        <v>297</v>
      </c>
      <c r="M39" s="296" t="s">
        <v>297</v>
      </c>
      <c r="N39" s="296" t="s">
        <v>297</v>
      </c>
      <c r="O39" s="296" t="s">
        <v>297</v>
      </c>
      <c r="P39" s="296" t="s">
        <v>297</v>
      </c>
      <c r="Q39" s="296" t="s">
        <v>297</v>
      </c>
      <c r="R39" s="296" t="s">
        <v>297</v>
      </c>
      <c r="S39" s="296" t="s">
        <v>297</v>
      </c>
      <c r="T39" s="296" t="s">
        <v>297</v>
      </c>
      <c r="U39" s="296">
        <v>0</v>
      </c>
      <c r="V39" s="296">
        <v>0</v>
      </c>
      <c r="W39" s="296">
        <v>0</v>
      </c>
      <c r="X39" s="296">
        <v>0</v>
      </c>
      <c r="Y39" s="296">
        <v>3.9750000000000001</v>
      </c>
      <c r="Z39" s="296">
        <v>4.4240000000000004</v>
      </c>
      <c r="AA39" s="296">
        <v>4.83</v>
      </c>
      <c r="AB39" s="296">
        <v>5.2759999999999998</v>
      </c>
      <c r="AC39" s="296">
        <v>5.7119999999999997</v>
      </c>
      <c r="AD39" s="296">
        <v>7.101</v>
      </c>
      <c r="AE39" s="296">
        <v>7.5060000000000002</v>
      </c>
      <c r="AF39" s="185">
        <v>7.8380000000000001</v>
      </c>
      <c r="AG39" s="185">
        <v>8.2587852356982605</v>
      </c>
      <c r="AH39" s="185">
        <v>8.4580434252571024</v>
      </c>
      <c r="AI39" s="185">
        <v>8.9597227278131601</v>
      </c>
      <c r="AJ39" s="185">
        <v>6.0667427442722808</v>
      </c>
      <c r="AK39" s="185">
        <v>6.4</v>
      </c>
      <c r="AL39" s="185">
        <v>6.9638159145137806</v>
      </c>
      <c r="AM39" s="185">
        <v>7.72591126035773</v>
      </c>
      <c r="AN39" s="185">
        <v>8.5873114052579407</v>
      </c>
      <c r="AO39" s="185">
        <v>9.5690150957843496</v>
      </c>
      <c r="AP39" s="185">
        <v>2.1449218956637801</v>
      </c>
      <c r="AQ39" s="185">
        <v>3.5640790594290168</v>
      </c>
      <c r="AR39" s="185">
        <v>8.7373950941558505</v>
      </c>
      <c r="AS39" s="185">
        <v>23.596044249110722</v>
      </c>
      <c r="AT39" s="185">
        <v>40.110712051932794</v>
      </c>
      <c r="AU39" s="185">
        <v>16.579234503383731</v>
      </c>
      <c r="AV39" s="185">
        <v>12.517775428890337</v>
      </c>
      <c r="AW39" s="296">
        <v>47.30366932567842</v>
      </c>
      <c r="AX39" s="304"/>
    </row>
    <row r="40" spans="1:50" ht="14.25" customHeight="1" x14ac:dyDescent="0.15">
      <c r="A40" s="186" t="s">
        <v>325</v>
      </c>
      <c r="B40" s="295" t="s">
        <v>297</v>
      </c>
      <c r="C40" s="295" t="s">
        <v>297</v>
      </c>
      <c r="D40" s="295">
        <v>0</v>
      </c>
      <c r="E40" s="295">
        <v>0</v>
      </c>
      <c r="F40" s="295">
        <v>4.7009790821594599</v>
      </c>
      <c r="G40" s="295">
        <v>4.1650977458406384</v>
      </c>
      <c r="H40" s="295">
        <v>4.2321195769084188</v>
      </c>
      <c r="I40" s="295">
        <v>1.5520094210354858</v>
      </c>
      <c r="J40" s="295">
        <v>2.3880375419791742</v>
      </c>
      <c r="K40" s="295">
        <v>0.61791024405837081</v>
      </c>
      <c r="L40" s="295">
        <v>2.0700571317671477</v>
      </c>
      <c r="M40" s="295">
        <v>6.6415269748298797</v>
      </c>
      <c r="N40" s="295">
        <v>1.8966078384784131</v>
      </c>
      <c r="O40" s="295">
        <v>12.08669306222416</v>
      </c>
      <c r="P40" s="295">
        <v>8.8085482556749515</v>
      </c>
      <c r="Q40" s="295">
        <v>1.762989638162114</v>
      </c>
      <c r="R40" s="295">
        <v>13.044700023613693</v>
      </c>
      <c r="S40" s="295">
        <v>31.961700271826402</v>
      </c>
      <c r="T40" s="295">
        <v>9.0760580177573811</v>
      </c>
      <c r="U40" s="295">
        <v>8.8435851469182687</v>
      </c>
      <c r="V40" s="295">
        <v>4.5277113634469117</v>
      </c>
      <c r="W40" s="295">
        <v>8.4910162535755376</v>
      </c>
      <c r="X40" s="295">
        <v>7.6070464038529328</v>
      </c>
      <c r="Y40" s="295">
        <v>1.2729854072407532</v>
      </c>
      <c r="Z40" s="295">
        <v>3.666283848839496</v>
      </c>
      <c r="AA40" s="295">
        <v>10.829926231116238</v>
      </c>
      <c r="AB40" s="295">
        <v>4.1959444005349944</v>
      </c>
      <c r="AC40" s="295">
        <v>5.7696752016892976</v>
      </c>
      <c r="AD40" s="295">
        <v>74.440751159949968</v>
      </c>
      <c r="AE40" s="295">
        <v>77.993616013758199</v>
      </c>
      <c r="AF40" s="183">
        <v>10.127862122783512</v>
      </c>
      <c r="AG40" s="183">
        <v>17.591020734949517</v>
      </c>
      <c r="AH40" s="183">
        <v>29.53615563275061</v>
      </c>
      <c r="AI40" s="183">
        <v>10.053810725207605</v>
      </c>
      <c r="AJ40" s="183">
        <v>-5.3158302368714737E-2</v>
      </c>
      <c r="AK40" s="183">
        <v>32.973300714325383</v>
      </c>
      <c r="AL40" s="183">
        <v>62.538113411023822</v>
      </c>
      <c r="AM40" s="183">
        <v>86.824894064011616</v>
      </c>
      <c r="AN40" s="183">
        <v>59.813773028582546</v>
      </c>
      <c r="AO40" s="183">
        <v>59.745948495487859</v>
      </c>
      <c r="AP40" s="183">
        <v>83.083606375875235</v>
      </c>
      <c r="AQ40" s="183">
        <v>86.5</v>
      </c>
      <c r="AR40" s="183">
        <v>90.68558837028344</v>
      </c>
      <c r="AS40" s="183">
        <v>79.904112617137969</v>
      </c>
      <c r="AT40" s="183">
        <v>86.81210104514274</v>
      </c>
      <c r="AU40" s="183">
        <v>0</v>
      </c>
      <c r="AV40" s="183">
        <v>1.0764385261947416</v>
      </c>
      <c r="AW40" s="295" t="s">
        <v>297</v>
      </c>
      <c r="AX40" s="304"/>
    </row>
    <row r="41" spans="1:50" ht="14.25" customHeight="1" x14ac:dyDescent="0.15">
      <c r="A41" s="186" t="s">
        <v>82</v>
      </c>
      <c r="B41" s="296">
        <v>838.50383089756667</v>
      </c>
      <c r="C41" s="296">
        <v>818.4281033825107</v>
      </c>
      <c r="D41" s="296">
        <v>1381.8600307347451</v>
      </c>
      <c r="E41" s="296">
        <v>959.9455976842828</v>
      </c>
      <c r="F41" s="296">
        <v>2398.6028336871473</v>
      </c>
      <c r="G41" s="296">
        <v>2284.9088128315111</v>
      </c>
      <c r="H41" s="296">
        <v>1443.5</v>
      </c>
      <c r="I41" s="296">
        <v>3327.1738392558332</v>
      </c>
      <c r="J41" s="296">
        <v>1482.6634041534621</v>
      </c>
      <c r="K41" s="296">
        <v>3279.1160893522451</v>
      </c>
      <c r="L41" s="296">
        <v>3224.6826724048151</v>
      </c>
      <c r="M41" s="296">
        <v>2059.7573550216962</v>
      </c>
      <c r="N41" s="296">
        <v>2376.4724345349296</v>
      </c>
      <c r="O41" s="296">
        <v>5706.3884302263787</v>
      </c>
      <c r="P41" s="296">
        <v>4164.2315795328195</v>
      </c>
      <c r="Q41" s="296">
        <v>3512.6221409267891</v>
      </c>
      <c r="R41" s="296">
        <v>2561.7493904186267</v>
      </c>
      <c r="S41" s="296">
        <v>3034.1189207644993</v>
      </c>
      <c r="T41" s="296">
        <v>3108.0828403390387</v>
      </c>
      <c r="U41" s="296">
        <v>6455.6364969702427</v>
      </c>
      <c r="V41" s="296">
        <v>6973.8958908231034</v>
      </c>
      <c r="W41" s="296">
        <v>7697.8241259293991</v>
      </c>
      <c r="X41" s="296">
        <v>10684.221093416578</v>
      </c>
      <c r="Y41" s="296">
        <v>8604.429786598972</v>
      </c>
      <c r="Z41" s="296">
        <v>9412.1437616350322</v>
      </c>
      <c r="AA41" s="296">
        <v>9768.5992261918254</v>
      </c>
      <c r="AB41" s="296">
        <v>3929.1755356828871</v>
      </c>
      <c r="AC41" s="296">
        <v>8454.9934623721365</v>
      </c>
      <c r="AD41" s="296">
        <v>9712.4866923961745</v>
      </c>
      <c r="AE41" s="296">
        <v>15745.233599788391</v>
      </c>
      <c r="AF41" s="185">
        <v>21946.717193207725</v>
      </c>
      <c r="AG41" s="185">
        <v>31219.35927311991</v>
      </c>
      <c r="AH41" s="185">
        <v>38288.814600274563</v>
      </c>
      <c r="AI41" s="185">
        <v>32699.170280478578</v>
      </c>
      <c r="AJ41" s="185">
        <v>23876.866093776887</v>
      </c>
      <c r="AK41" s="185">
        <v>35273.390200856935</v>
      </c>
      <c r="AL41" s="185">
        <v>41791.050069376499</v>
      </c>
      <c r="AM41" s="185">
        <v>41282.09564944591</v>
      </c>
      <c r="AN41" s="185">
        <v>40787.001018306641</v>
      </c>
      <c r="AO41" s="185">
        <v>43210.450537136829</v>
      </c>
      <c r="AP41" s="185">
        <v>36892.083820966167</v>
      </c>
      <c r="AQ41" s="185">
        <v>36048.257260670689</v>
      </c>
      <c r="AR41" s="185">
        <v>49053.675114276477</v>
      </c>
      <c r="AS41" s="185">
        <v>57872.089489790655</v>
      </c>
      <c r="AT41" s="185">
        <v>55707.378758824372</v>
      </c>
      <c r="AU41" s="185">
        <v>47815.088504885716</v>
      </c>
      <c r="AV41" s="185">
        <v>70788.619928959073</v>
      </c>
      <c r="AW41" s="296">
        <v>72025.418383413766</v>
      </c>
      <c r="AX41" s="304"/>
    </row>
    <row r="42" spans="1:50" ht="14.25" customHeight="1" x14ac:dyDescent="0.15">
      <c r="A42" s="186" t="s">
        <v>326</v>
      </c>
      <c r="B42" s="295" t="s">
        <v>297</v>
      </c>
      <c r="C42" s="295" t="s">
        <v>297</v>
      </c>
      <c r="D42" s="295" t="s">
        <v>297</v>
      </c>
      <c r="E42" s="295" t="s">
        <v>297</v>
      </c>
      <c r="F42" s="295" t="s">
        <v>297</v>
      </c>
      <c r="G42" s="295" t="s">
        <v>297</v>
      </c>
      <c r="H42" s="295" t="s">
        <v>297</v>
      </c>
      <c r="I42" s="295" t="s">
        <v>297</v>
      </c>
      <c r="J42" s="295" t="s">
        <v>297</v>
      </c>
      <c r="K42" s="295" t="s">
        <v>297</v>
      </c>
      <c r="L42" s="295" t="s">
        <v>297</v>
      </c>
      <c r="M42" s="295" t="s">
        <v>297</v>
      </c>
      <c r="N42" s="295" t="s">
        <v>297</v>
      </c>
      <c r="O42" s="295" t="s">
        <v>297</v>
      </c>
      <c r="P42" s="295" t="s">
        <v>297</v>
      </c>
      <c r="Q42" s="295" t="s">
        <v>297</v>
      </c>
      <c r="R42" s="295" t="s">
        <v>297</v>
      </c>
      <c r="S42" s="295" t="s">
        <v>297</v>
      </c>
      <c r="T42" s="295" t="s">
        <v>297</v>
      </c>
      <c r="U42" s="295" t="s">
        <v>297</v>
      </c>
      <c r="V42" s="295" t="s">
        <v>297</v>
      </c>
      <c r="W42" s="295" t="s">
        <v>297</v>
      </c>
      <c r="X42" s="295" t="s">
        <v>297</v>
      </c>
      <c r="Y42" s="295" t="s">
        <v>297</v>
      </c>
      <c r="Z42" s="295" t="s">
        <v>297</v>
      </c>
      <c r="AA42" s="295" t="s">
        <v>297</v>
      </c>
      <c r="AB42" s="295" t="s">
        <v>297</v>
      </c>
      <c r="AC42" s="295" t="s">
        <v>297</v>
      </c>
      <c r="AD42" s="295" t="s">
        <v>297</v>
      </c>
      <c r="AE42" s="295" t="s">
        <v>297</v>
      </c>
      <c r="AF42" s="183" t="s">
        <v>297</v>
      </c>
      <c r="AG42" s="183" t="s">
        <v>297</v>
      </c>
      <c r="AH42" s="183" t="s">
        <v>297</v>
      </c>
      <c r="AI42" s="183" t="s">
        <v>297</v>
      </c>
      <c r="AJ42" s="183" t="s">
        <v>297</v>
      </c>
      <c r="AK42" s="183" t="s">
        <v>297</v>
      </c>
      <c r="AL42" s="183" t="s">
        <v>297</v>
      </c>
      <c r="AM42" s="183" t="s">
        <v>297</v>
      </c>
      <c r="AN42" s="183" t="s">
        <v>297</v>
      </c>
      <c r="AO42" s="183" t="s">
        <v>297</v>
      </c>
      <c r="AP42" s="183" t="s">
        <v>297</v>
      </c>
      <c r="AQ42" s="183" t="s">
        <v>297</v>
      </c>
      <c r="AR42" s="183" t="s">
        <v>297</v>
      </c>
      <c r="AS42" s="183" t="s">
        <v>297</v>
      </c>
      <c r="AT42" s="183">
        <v>29.811870778322877</v>
      </c>
      <c r="AU42" s="183">
        <v>-7.2187098870844437</v>
      </c>
      <c r="AV42" s="183" t="s">
        <v>297</v>
      </c>
      <c r="AW42" s="295" t="s">
        <v>297</v>
      </c>
      <c r="AX42" s="304"/>
    </row>
    <row r="43" spans="1:50" ht="14.25" customHeight="1" x14ac:dyDescent="0.15">
      <c r="A43" s="186" t="s">
        <v>327</v>
      </c>
      <c r="B43" s="296" t="s">
        <v>297</v>
      </c>
      <c r="C43" s="296" t="s">
        <v>297</v>
      </c>
      <c r="D43" s="296">
        <v>0</v>
      </c>
      <c r="E43" s="296">
        <v>0</v>
      </c>
      <c r="F43" s="296">
        <v>0</v>
      </c>
      <c r="G43" s="296">
        <v>0</v>
      </c>
      <c r="H43" s="296">
        <v>0</v>
      </c>
      <c r="I43" s="296">
        <v>0</v>
      </c>
      <c r="J43" s="296">
        <v>0</v>
      </c>
      <c r="K43" s="296">
        <v>0</v>
      </c>
      <c r="L43" s="296">
        <v>0</v>
      </c>
      <c r="M43" s="296">
        <v>0</v>
      </c>
      <c r="N43" s="296">
        <v>0</v>
      </c>
      <c r="O43" s="296">
        <v>0</v>
      </c>
      <c r="P43" s="296">
        <v>0</v>
      </c>
      <c r="Q43" s="296">
        <v>0</v>
      </c>
      <c r="R43" s="296">
        <v>0.15242448397157304</v>
      </c>
      <c r="S43" s="296">
        <v>0</v>
      </c>
      <c r="T43" s="296" t="s">
        <v>297</v>
      </c>
      <c r="U43" s="296" t="s">
        <v>297</v>
      </c>
      <c r="V43" s="296" t="s">
        <v>297</v>
      </c>
      <c r="W43" s="296" t="s">
        <v>297</v>
      </c>
      <c r="X43" s="296" t="s">
        <v>297</v>
      </c>
      <c r="Y43" s="296" t="s">
        <v>297</v>
      </c>
      <c r="Z43" s="296" t="s">
        <v>297</v>
      </c>
      <c r="AA43" s="296" t="s">
        <v>297</v>
      </c>
      <c r="AB43" s="296" t="s">
        <v>297</v>
      </c>
      <c r="AC43" s="296" t="s">
        <v>297</v>
      </c>
      <c r="AD43" s="296" t="s">
        <v>297</v>
      </c>
      <c r="AE43" s="296" t="s">
        <v>297</v>
      </c>
      <c r="AF43" s="185" t="s">
        <v>297</v>
      </c>
      <c r="AG43" s="185" t="s">
        <v>297</v>
      </c>
      <c r="AH43" s="185" t="s">
        <v>297</v>
      </c>
      <c r="AI43" s="185" t="s">
        <v>297</v>
      </c>
      <c r="AJ43" s="185" t="s">
        <v>297</v>
      </c>
      <c r="AK43" s="185" t="s">
        <v>297</v>
      </c>
      <c r="AL43" s="185" t="s">
        <v>297</v>
      </c>
      <c r="AM43" s="185" t="s">
        <v>297</v>
      </c>
      <c r="AN43" s="185" t="s">
        <v>297</v>
      </c>
      <c r="AO43" s="185" t="s">
        <v>297</v>
      </c>
      <c r="AP43" s="185" t="s">
        <v>297</v>
      </c>
      <c r="AQ43" s="185" t="s">
        <v>297</v>
      </c>
      <c r="AR43" s="185" t="s">
        <v>297</v>
      </c>
      <c r="AS43" s="185" t="s">
        <v>297</v>
      </c>
      <c r="AT43" s="185" t="s">
        <v>297</v>
      </c>
      <c r="AU43" s="185" t="s">
        <v>297</v>
      </c>
      <c r="AV43" s="185" t="s">
        <v>297</v>
      </c>
      <c r="AW43" s="296" t="s">
        <v>297</v>
      </c>
      <c r="AX43" s="304"/>
    </row>
    <row r="44" spans="1:50" ht="14.25" customHeight="1" x14ac:dyDescent="0.15">
      <c r="A44" s="186" t="s">
        <v>328</v>
      </c>
      <c r="B44" s="295" t="s">
        <v>297</v>
      </c>
      <c r="C44" s="295" t="s">
        <v>297</v>
      </c>
      <c r="D44" s="295">
        <v>0</v>
      </c>
      <c r="E44" s="295">
        <v>0</v>
      </c>
      <c r="F44" s="295">
        <v>0</v>
      </c>
      <c r="G44" s="295">
        <v>0</v>
      </c>
      <c r="H44" s="295">
        <v>0</v>
      </c>
      <c r="I44" s="295">
        <v>0</v>
      </c>
      <c r="J44" s="295">
        <v>0</v>
      </c>
      <c r="K44" s="295">
        <v>0</v>
      </c>
      <c r="L44" s="295">
        <v>0</v>
      </c>
      <c r="M44" s="295">
        <v>0</v>
      </c>
      <c r="N44" s="295">
        <v>0</v>
      </c>
      <c r="O44" s="295">
        <v>0</v>
      </c>
      <c r="P44" s="295">
        <v>0</v>
      </c>
      <c r="Q44" s="295">
        <v>0</v>
      </c>
      <c r="R44" s="295">
        <v>0</v>
      </c>
      <c r="S44" s="295">
        <v>0</v>
      </c>
      <c r="T44" s="295">
        <v>0</v>
      </c>
      <c r="U44" s="295" t="s">
        <v>297</v>
      </c>
      <c r="V44" s="295" t="s">
        <v>297</v>
      </c>
      <c r="W44" s="295" t="s">
        <v>297</v>
      </c>
      <c r="X44" s="295" t="s">
        <v>297</v>
      </c>
      <c r="Y44" s="295" t="s">
        <v>297</v>
      </c>
      <c r="Z44" s="295" t="s">
        <v>297</v>
      </c>
      <c r="AA44" s="295" t="s">
        <v>297</v>
      </c>
      <c r="AB44" s="295" t="s">
        <v>297</v>
      </c>
      <c r="AC44" s="295" t="s">
        <v>297</v>
      </c>
      <c r="AD44" s="295" t="s">
        <v>297</v>
      </c>
      <c r="AE44" s="295" t="s">
        <v>297</v>
      </c>
      <c r="AF44" s="183" t="s">
        <v>297</v>
      </c>
      <c r="AG44" s="183" t="s">
        <v>297</v>
      </c>
      <c r="AH44" s="183" t="s">
        <v>297</v>
      </c>
      <c r="AI44" s="183" t="s">
        <v>297</v>
      </c>
      <c r="AJ44" s="183" t="s">
        <v>297</v>
      </c>
      <c r="AK44" s="183" t="s">
        <v>297</v>
      </c>
      <c r="AL44" s="183" t="s">
        <v>297</v>
      </c>
      <c r="AM44" s="183" t="s">
        <v>297</v>
      </c>
      <c r="AN44" s="183" t="s">
        <v>297</v>
      </c>
      <c r="AO44" s="183" t="s">
        <v>297</v>
      </c>
      <c r="AP44" s="183" t="s">
        <v>297</v>
      </c>
      <c r="AQ44" s="183" t="s">
        <v>297</v>
      </c>
      <c r="AR44" s="183" t="s">
        <v>297</v>
      </c>
      <c r="AS44" s="183" t="s">
        <v>297</v>
      </c>
      <c r="AT44" s="183" t="s">
        <v>297</v>
      </c>
      <c r="AU44" s="183" t="s">
        <v>297</v>
      </c>
      <c r="AV44" s="183" t="s">
        <v>297</v>
      </c>
      <c r="AW44" s="295" t="s">
        <v>297</v>
      </c>
      <c r="AX44" s="304"/>
    </row>
    <row r="45" spans="1:50" ht="14.25" customHeight="1" x14ac:dyDescent="0.15">
      <c r="A45" s="186" t="s">
        <v>188</v>
      </c>
      <c r="B45" s="296">
        <v>0</v>
      </c>
      <c r="C45" s="296">
        <v>2</v>
      </c>
      <c r="D45" s="296">
        <v>1</v>
      </c>
      <c r="E45" s="296">
        <v>2</v>
      </c>
      <c r="F45" s="296">
        <v>0</v>
      </c>
      <c r="G45" s="296">
        <v>4</v>
      </c>
      <c r="H45" s="296">
        <v>5</v>
      </c>
      <c r="I45" s="296">
        <v>6</v>
      </c>
      <c r="J45" s="296">
        <v>13</v>
      </c>
      <c r="K45" s="296">
        <v>4</v>
      </c>
      <c r="L45" s="296">
        <v>3</v>
      </c>
      <c r="M45" s="296">
        <v>7.4</v>
      </c>
      <c r="N45" s="296">
        <v>3.9</v>
      </c>
      <c r="O45" s="296">
        <v>4.0999999999999996</v>
      </c>
      <c r="P45" s="296">
        <v>2.6</v>
      </c>
      <c r="Q45" s="296">
        <v>2.4</v>
      </c>
      <c r="R45" s="296">
        <v>2.1</v>
      </c>
      <c r="S45" s="296">
        <v>26.8</v>
      </c>
      <c r="T45" s="296">
        <v>7</v>
      </c>
      <c r="U45" s="296">
        <v>-4</v>
      </c>
      <c r="V45" s="296">
        <v>68.400000000000006</v>
      </c>
      <c r="W45" s="296">
        <v>132.19999999999999</v>
      </c>
      <c r="X45" s="296">
        <v>239.7</v>
      </c>
      <c r="Y45" s="296">
        <v>256.8</v>
      </c>
      <c r="Z45" s="296">
        <v>47.1</v>
      </c>
      <c r="AA45" s="296">
        <v>550.79999999999995</v>
      </c>
      <c r="AB45" s="296">
        <v>586.82522523</v>
      </c>
      <c r="AC45" s="296">
        <v>276.89999999999998</v>
      </c>
      <c r="AD45" s="296">
        <v>650</v>
      </c>
      <c r="AE45" s="296">
        <v>939.45</v>
      </c>
      <c r="AF45" s="185">
        <v>1033.118016020936</v>
      </c>
      <c r="AG45" s="185">
        <v>1115.23</v>
      </c>
      <c r="AH45" s="185">
        <v>2727.6053320799997</v>
      </c>
      <c r="AI45" s="185">
        <v>2808.9450359233333</v>
      </c>
      <c r="AJ45" s="185">
        <v>2937.1052757090392</v>
      </c>
      <c r="AK45" s="185">
        <v>4185.24376123</v>
      </c>
      <c r="AL45" s="185">
        <v>4407</v>
      </c>
      <c r="AM45" s="185">
        <v>3337.5085018984919</v>
      </c>
      <c r="AN45" s="185">
        <v>4183.4076345951116</v>
      </c>
      <c r="AO45" s="185">
        <v>2672.194523350091</v>
      </c>
      <c r="AP45" s="185">
        <v>2299.6931785888128</v>
      </c>
      <c r="AQ45" s="185">
        <v>2994.2496483215782</v>
      </c>
      <c r="AR45" s="185">
        <v>3899.9263259576983</v>
      </c>
      <c r="AS45" s="185">
        <v>4599.2396594645297</v>
      </c>
      <c r="AT45" s="185">
        <v>5511.712753270097</v>
      </c>
      <c r="AU45" s="185">
        <v>165.23581087533086</v>
      </c>
      <c r="AV45" s="185">
        <v>6065.2744593112739</v>
      </c>
      <c r="AW45" s="296">
        <v>10402.6388044746</v>
      </c>
      <c r="AX45" s="304"/>
    </row>
    <row r="46" spans="1:50" ht="14.25" customHeight="1" x14ac:dyDescent="0.15">
      <c r="A46" s="186" t="s">
        <v>329</v>
      </c>
      <c r="B46" s="297">
        <v>0</v>
      </c>
      <c r="C46" s="297">
        <v>0</v>
      </c>
      <c r="D46" s="297">
        <v>0</v>
      </c>
      <c r="E46" s="297">
        <v>0</v>
      </c>
      <c r="F46" s="297">
        <v>0</v>
      </c>
      <c r="G46" s="297">
        <v>0</v>
      </c>
      <c r="H46" s="297">
        <v>0</v>
      </c>
      <c r="I46" s="297">
        <v>0</v>
      </c>
      <c r="J46" s="297">
        <v>0</v>
      </c>
      <c r="K46" s="297">
        <v>0</v>
      </c>
      <c r="L46" s="297">
        <v>0</v>
      </c>
      <c r="M46" s="297">
        <v>0</v>
      </c>
      <c r="N46" s="297">
        <v>0</v>
      </c>
      <c r="O46" s="297">
        <v>0</v>
      </c>
      <c r="P46" s="297">
        <v>0</v>
      </c>
      <c r="Q46" s="297">
        <v>0</v>
      </c>
      <c r="R46" s="297">
        <v>0</v>
      </c>
      <c r="S46" s="297">
        <v>0</v>
      </c>
      <c r="T46" s="297">
        <v>0</v>
      </c>
      <c r="U46" s="297">
        <v>0</v>
      </c>
      <c r="V46" s="297">
        <v>0</v>
      </c>
      <c r="W46" s="297">
        <v>0</v>
      </c>
      <c r="X46" s="297">
        <v>0</v>
      </c>
      <c r="Y46" s="295">
        <v>15463</v>
      </c>
      <c r="Z46" s="295">
        <v>16457.667072904183</v>
      </c>
      <c r="AA46" s="295">
        <v>19034.014100055108</v>
      </c>
      <c r="AB46" s="295">
        <v>21324.2595331667</v>
      </c>
      <c r="AC46" s="295">
        <v>22894.201533130083</v>
      </c>
      <c r="AD46" s="295">
        <v>25005.138143915356</v>
      </c>
      <c r="AE46" s="295">
        <v>29273.544804765199</v>
      </c>
      <c r="AF46" s="183">
        <v>34920.081832127886</v>
      </c>
      <c r="AG46" s="183">
        <v>44273.458829425297</v>
      </c>
      <c r="AH46" s="183">
        <v>63167.779707662979</v>
      </c>
      <c r="AI46" s="183">
        <v>74006.390437890339</v>
      </c>
      <c r="AJ46" s="183">
        <v>73762.891485313536</v>
      </c>
      <c r="AK46" s="183">
        <v>91227.533080126683</v>
      </c>
      <c r="AL46" s="183">
        <v>103639.49247431288</v>
      </c>
      <c r="AM46" s="183">
        <v>107035.18760340579</v>
      </c>
      <c r="AN46" s="183">
        <v>115933.91655816765</v>
      </c>
      <c r="AO46" s="183">
        <v>118791.97875987984</v>
      </c>
      <c r="AP46" s="183">
        <v>119444.79954874859</v>
      </c>
      <c r="AQ46" s="183">
        <v>115457.3911397264</v>
      </c>
      <c r="AR46" s="183">
        <v>122680.76884542221</v>
      </c>
      <c r="AS46" s="183">
        <v>132685.79526297309</v>
      </c>
      <c r="AT46" s="183">
        <v>134777.45641753884</v>
      </c>
      <c r="AU46" s="183">
        <v>132959.63327825165</v>
      </c>
      <c r="AV46" s="183">
        <v>149097.13449093833</v>
      </c>
      <c r="AW46" s="295">
        <v>148007.60534278568</v>
      </c>
      <c r="AX46" s="304"/>
    </row>
    <row r="47" spans="1:50" ht="14.25" customHeight="1" x14ac:dyDescent="0.15">
      <c r="A47" s="186" t="s">
        <v>330</v>
      </c>
      <c r="B47" s="296" t="s">
        <v>297</v>
      </c>
      <c r="C47" s="296" t="s">
        <v>297</v>
      </c>
      <c r="D47" s="296" t="s">
        <v>297</v>
      </c>
      <c r="E47" s="296" t="s">
        <v>297</v>
      </c>
      <c r="F47" s="296" t="s">
        <v>297</v>
      </c>
      <c r="G47" s="296" t="s">
        <v>297</v>
      </c>
      <c r="H47" s="296" t="s">
        <v>297</v>
      </c>
      <c r="I47" s="296" t="s">
        <v>297</v>
      </c>
      <c r="J47" s="296" t="s">
        <v>297</v>
      </c>
      <c r="K47" s="296" t="s">
        <v>297</v>
      </c>
      <c r="L47" s="296" t="s">
        <v>297</v>
      </c>
      <c r="M47" s="296" t="s">
        <v>297</v>
      </c>
      <c r="N47" s="296" t="s">
        <v>297</v>
      </c>
      <c r="O47" s="296" t="s">
        <v>297</v>
      </c>
      <c r="P47" s="296" t="s">
        <v>297</v>
      </c>
      <c r="Q47" s="296" t="s">
        <v>297</v>
      </c>
      <c r="R47" s="296" t="s">
        <v>297</v>
      </c>
      <c r="S47" s="296" t="s">
        <v>297</v>
      </c>
      <c r="T47" s="296" t="s">
        <v>297</v>
      </c>
      <c r="U47" s="296" t="s">
        <v>297</v>
      </c>
      <c r="V47" s="296" t="s">
        <v>297</v>
      </c>
      <c r="W47" s="296" t="s">
        <v>297</v>
      </c>
      <c r="X47" s="296" t="s">
        <v>297</v>
      </c>
      <c r="Y47" s="296" t="s">
        <v>297</v>
      </c>
      <c r="Z47" s="296" t="s">
        <v>297</v>
      </c>
      <c r="AA47" s="296" t="s">
        <v>297</v>
      </c>
      <c r="AB47" s="296" t="s">
        <v>297</v>
      </c>
      <c r="AC47" s="296">
        <v>9.6999999999999993</v>
      </c>
      <c r="AD47" s="296">
        <v>-4.8652358393330086</v>
      </c>
      <c r="AE47" s="296">
        <v>-2.1577699877235035</v>
      </c>
      <c r="AF47" s="185">
        <v>34.128797384658888</v>
      </c>
      <c r="AG47" s="185">
        <v>55.68507297563638</v>
      </c>
      <c r="AH47" s="185">
        <v>70.080293375168878</v>
      </c>
      <c r="AI47" s="185">
        <v>-29.034514790887258</v>
      </c>
      <c r="AJ47" s="185">
        <v>62.416372164481501</v>
      </c>
      <c r="AK47" s="185">
        <v>92.080860928117815</v>
      </c>
      <c r="AL47" s="185">
        <v>158.76550908609056</v>
      </c>
      <c r="AM47" s="185">
        <v>117.26066997264722</v>
      </c>
      <c r="AN47" s="185">
        <v>31.360498387709573</v>
      </c>
      <c r="AO47" s="185">
        <v>84.509912385288885</v>
      </c>
      <c r="AP47" s="185">
        <v>104.60689338629049</v>
      </c>
      <c r="AQ47" s="185">
        <v>43.379420246685321</v>
      </c>
      <c r="AR47" s="185">
        <v>198.61236548562601</v>
      </c>
      <c r="AS47" s="185">
        <v>237.36386157341084</v>
      </c>
      <c r="AT47" s="185">
        <v>217.8477315923472</v>
      </c>
      <c r="AU47" s="185">
        <v>-105.9885753587068</v>
      </c>
      <c r="AV47" s="185">
        <v>93.113936747549587</v>
      </c>
      <c r="AW47" s="296" t="s">
        <v>297</v>
      </c>
      <c r="AX47" s="304"/>
    </row>
    <row r="48" spans="1:50" ht="14.25" customHeight="1" x14ac:dyDescent="0.15">
      <c r="A48" s="186" t="s">
        <v>208</v>
      </c>
      <c r="B48" s="295" t="s">
        <v>297</v>
      </c>
      <c r="C48" s="295" t="s">
        <v>297</v>
      </c>
      <c r="D48" s="295" t="s">
        <v>297</v>
      </c>
      <c r="E48" s="295" t="s">
        <v>297</v>
      </c>
      <c r="F48" s="295" t="s">
        <v>297</v>
      </c>
      <c r="G48" s="295" t="s">
        <v>297</v>
      </c>
      <c r="H48" s="295" t="s">
        <v>297</v>
      </c>
      <c r="I48" s="295">
        <v>20</v>
      </c>
      <c r="J48" s="295">
        <v>31</v>
      </c>
      <c r="K48" s="295">
        <v>2</v>
      </c>
      <c r="L48" s="295">
        <v>6</v>
      </c>
      <c r="M48" s="295">
        <v>0</v>
      </c>
      <c r="N48" s="295">
        <v>10</v>
      </c>
      <c r="O48" s="295">
        <v>0</v>
      </c>
      <c r="P48" s="295">
        <v>6</v>
      </c>
      <c r="Q48" s="295">
        <v>0</v>
      </c>
      <c r="R48" s="295">
        <v>0</v>
      </c>
      <c r="S48" s="295">
        <v>0</v>
      </c>
      <c r="T48" s="295">
        <v>0</v>
      </c>
      <c r="U48" s="295" t="s">
        <v>297</v>
      </c>
      <c r="V48" s="295">
        <v>0.97</v>
      </c>
      <c r="W48" s="295">
        <v>7</v>
      </c>
      <c r="X48" s="295">
        <v>60</v>
      </c>
      <c r="Y48" s="295">
        <v>23</v>
      </c>
      <c r="Z48" s="295">
        <v>18</v>
      </c>
      <c r="AA48" s="295">
        <v>62.146999999999998</v>
      </c>
      <c r="AB48" s="295">
        <v>146</v>
      </c>
      <c r="AC48" s="295">
        <v>126.29353550489999</v>
      </c>
      <c r="AD48" s="295">
        <v>100.2625159313</v>
      </c>
      <c r="AE48" s="295">
        <v>218.1428350214</v>
      </c>
      <c r="AF48" s="269" t="e">
        <v>#REF!</v>
      </c>
      <c r="AG48" s="269" t="e">
        <v>#REF!</v>
      </c>
      <c r="AH48" s="269" t="e">
        <v>#REF!</v>
      </c>
      <c r="AI48" s="269" t="e">
        <v>#REF!</v>
      </c>
      <c r="AJ48" s="269" t="e">
        <v>#REF!</v>
      </c>
      <c r="AK48" s="269" t="e">
        <v>#REF!</v>
      </c>
      <c r="AL48" s="269" t="e">
        <v>#REF!</v>
      </c>
      <c r="AM48" s="269" t="e">
        <v>#REF!</v>
      </c>
      <c r="AN48" s="269" t="e">
        <v>#REF!</v>
      </c>
      <c r="AO48" s="269" t="e">
        <v>#REF!</v>
      </c>
      <c r="AP48" s="269" t="e">
        <v>#REF!</v>
      </c>
      <c r="AQ48" s="269" t="e">
        <v>#REF!</v>
      </c>
      <c r="AR48" s="269" t="e">
        <v>#REF!</v>
      </c>
      <c r="AS48" s="269" t="e">
        <v>#REF!</v>
      </c>
      <c r="AT48" s="269" t="e">
        <v>#REF!</v>
      </c>
      <c r="AU48" s="269" t="e">
        <v>#REF!</v>
      </c>
      <c r="AV48" s="269" t="e">
        <v>#REF!</v>
      </c>
      <c r="AW48" s="269" t="e">
        <v>#REF!</v>
      </c>
      <c r="AX48" s="304"/>
    </row>
    <row r="49" spans="1:50" ht="14.25" customHeight="1" x14ac:dyDescent="0.15">
      <c r="A49" s="186" t="s">
        <v>209</v>
      </c>
      <c r="B49" s="296">
        <v>6</v>
      </c>
      <c r="C49" s="296">
        <v>6</v>
      </c>
      <c r="D49" s="296">
        <v>7</v>
      </c>
      <c r="E49" s="296">
        <v>9</v>
      </c>
      <c r="F49" s="296">
        <v>18</v>
      </c>
      <c r="G49" s="296">
        <v>23</v>
      </c>
      <c r="H49" s="296">
        <v>16</v>
      </c>
      <c r="I49" s="296">
        <v>11.040099999939001</v>
      </c>
      <c r="J49" s="296">
        <v>8</v>
      </c>
      <c r="K49" s="296">
        <v>13</v>
      </c>
      <c r="L49" s="296">
        <v>15</v>
      </c>
      <c r="M49" s="296">
        <v>21</v>
      </c>
      <c r="N49" s="296">
        <v>17</v>
      </c>
      <c r="O49" s="296">
        <v>20</v>
      </c>
      <c r="P49" s="296">
        <v>20</v>
      </c>
      <c r="Q49" s="296">
        <v>20</v>
      </c>
      <c r="R49" s="296">
        <v>12.4</v>
      </c>
      <c r="S49" s="296">
        <v>8.1999999999999993</v>
      </c>
      <c r="T49" s="296">
        <v>65.8</v>
      </c>
      <c r="U49" s="296">
        <v>189.44118012999999</v>
      </c>
      <c r="V49" s="296">
        <v>33.946585299999995</v>
      </c>
      <c r="W49" s="296">
        <v>32.33644795</v>
      </c>
      <c r="X49" s="296">
        <v>44.77307175</v>
      </c>
      <c r="Y49" s="296">
        <v>46.757734920000004</v>
      </c>
      <c r="Z49" s="296">
        <v>58.823775409999996</v>
      </c>
      <c r="AA49" s="296">
        <v>30.8</v>
      </c>
      <c r="AB49" s="296">
        <v>38.032825505999995</v>
      </c>
      <c r="AC49" s="296">
        <v>88.373627999999997</v>
      </c>
      <c r="AD49" s="296">
        <v>119.94433473999999</v>
      </c>
      <c r="AE49" s="296">
        <v>151.84828236000001</v>
      </c>
      <c r="AF49" s="185">
        <v>166.46705124000002</v>
      </c>
      <c r="AG49" s="185">
        <v>359.34459246</v>
      </c>
      <c r="AH49" s="185">
        <v>441.12420056999997</v>
      </c>
      <c r="AI49" s="185">
        <v>665.46062107785997</v>
      </c>
      <c r="AJ49" s="185">
        <v>901.56940438658205</v>
      </c>
      <c r="AK49" s="185">
        <v>1001.9859126938891</v>
      </c>
      <c r="AL49" s="185">
        <v>2113.6068368440601</v>
      </c>
      <c r="AM49" s="185">
        <v>2757.2018216022548</v>
      </c>
      <c r="AN49" s="185">
        <v>2711.0739461988742</v>
      </c>
      <c r="AO49" s="185">
        <v>3065.8779655082699</v>
      </c>
      <c r="AP49" s="185">
        <v>3533.121320003725</v>
      </c>
      <c r="AQ49" s="185">
        <v>3666.3295085382401</v>
      </c>
      <c r="AR49" s="185">
        <v>3813.5978790403651</v>
      </c>
      <c r="AS49" s="185">
        <v>3825.2295740858544</v>
      </c>
      <c r="AT49" s="185">
        <v>4348.0325624860698</v>
      </c>
      <c r="AU49" s="185">
        <v>2447.6754597154004</v>
      </c>
      <c r="AV49" s="185">
        <v>3848.6948824879341</v>
      </c>
      <c r="AW49" s="296">
        <v>3720.5996622825801</v>
      </c>
      <c r="AX49" s="304"/>
    </row>
    <row r="50" spans="1:50" ht="14.25" customHeight="1" x14ac:dyDescent="0.15">
      <c r="A50" s="186" t="s">
        <v>331</v>
      </c>
      <c r="B50" s="295" t="s">
        <v>297</v>
      </c>
      <c r="C50" s="295" t="s">
        <v>297</v>
      </c>
      <c r="D50" s="295" t="s">
        <v>297</v>
      </c>
      <c r="E50" s="295" t="s">
        <v>297</v>
      </c>
      <c r="F50" s="295" t="s">
        <v>297</v>
      </c>
      <c r="G50" s="295">
        <v>0</v>
      </c>
      <c r="H50" s="295">
        <v>0</v>
      </c>
      <c r="I50" s="295">
        <v>0</v>
      </c>
      <c r="J50" s="295">
        <v>0</v>
      </c>
      <c r="K50" s="295">
        <v>0</v>
      </c>
      <c r="L50" s="295">
        <v>0</v>
      </c>
      <c r="M50" s="295">
        <v>0</v>
      </c>
      <c r="N50" s="295">
        <v>0</v>
      </c>
      <c r="O50" s="295">
        <v>0</v>
      </c>
      <c r="P50" s="295">
        <v>0</v>
      </c>
      <c r="Q50" s="295">
        <v>0.18364631018337371</v>
      </c>
      <c r="R50" s="295">
        <v>0</v>
      </c>
      <c r="S50" s="295" t="s">
        <v>297</v>
      </c>
      <c r="T50" s="295" t="s">
        <v>297</v>
      </c>
      <c r="U50" s="295" t="s">
        <v>297</v>
      </c>
      <c r="V50" s="295" t="s">
        <v>297</v>
      </c>
      <c r="W50" s="295" t="s">
        <v>297</v>
      </c>
      <c r="X50" s="295" t="s">
        <v>297</v>
      </c>
      <c r="Y50" s="295" t="s">
        <v>297</v>
      </c>
      <c r="Z50" s="295" t="s">
        <v>297</v>
      </c>
      <c r="AA50" s="295" t="s">
        <v>297</v>
      </c>
      <c r="AB50" s="295" t="s">
        <v>297</v>
      </c>
      <c r="AC50" s="295" t="s">
        <v>297</v>
      </c>
      <c r="AD50" s="295">
        <v>0</v>
      </c>
      <c r="AE50" s="295">
        <v>0</v>
      </c>
      <c r="AF50" s="183">
        <v>0</v>
      </c>
      <c r="AG50" s="183">
        <v>0</v>
      </c>
      <c r="AH50" s="183">
        <v>0</v>
      </c>
      <c r="AI50" s="183">
        <v>0</v>
      </c>
      <c r="AJ50" s="183">
        <v>0</v>
      </c>
      <c r="AK50" s="183">
        <v>0</v>
      </c>
      <c r="AL50" s="183">
        <v>0</v>
      </c>
      <c r="AM50" s="183">
        <v>0</v>
      </c>
      <c r="AN50" s="183" t="s">
        <v>297</v>
      </c>
      <c r="AO50" s="183">
        <v>0</v>
      </c>
      <c r="AP50" s="183">
        <v>0</v>
      </c>
      <c r="AQ50" s="183">
        <v>0</v>
      </c>
      <c r="AR50" s="183">
        <v>0</v>
      </c>
      <c r="AS50" s="183">
        <v>0</v>
      </c>
      <c r="AT50" s="183" t="s">
        <v>297</v>
      </c>
      <c r="AU50" s="183" t="s">
        <v>297</v>
      </c>
      <c r="AV50" s="183" t="s">
        <v>297</v>
      </c>
      <c r="AW50" s="295" t="s">
        <v>297</v>
      </c>
      <c r="AX50" s="304"/>
    </row>
    <row r="51" spans="1:50" ht="14.25" customHeight="1" x14ac:dyDescent="0.15">
      <c r="A51" s="186" t="s">
        <v>332</v>
      </c>
      <c r="B51" s="296" t="s">
        <v>297</v>
      </c>
      <c r="C51" s="296" t="s">
        <v>297</v>
      </c>
      <c r="D51" s="296" t="s">
        <v>297</v>
      </c>
      <c r="E51" s="296" t="s">
        <v>297</v>
      </c>
      <c r="F51" s="296" t="s">
        <v>297</v>
      </c>
      <c r="G51" s="296" t="s">
        <v>297</v>
      </c>
      <c r="H51" s="296" t="s">
        <v>297</v>
      </c>
      <c r="I51" s="296" t="s">
        <v>297</v>
      </c>
      <c r="J51" s="296" t="s">
        <v>297</v>
      </c>
      <c r="K51" s="296" t="s">
        <v>297</v>
      </c>
      <c r="L51" s="296" t="s">
        <v>297</v>
      </c>
      <c r="M51" s="296" t="s">
        <v>297</v>
      </c>
      <c r="N51" s="296" t="s">
        <v>297</v>
      </c>
      <c r="O51" s="296" t="s">
        <v>297</v>
      </c>
      <c r="P51" s="296" t="s">
        <v>297</v>
      </c>
      <c r="Q51" s="296" t="s">
        <v>297</v>
      </c>
      <c r="R51" s="296" t="s">
        <v>297</v>
      </c>
      <c r="S51" s="296" t="s">
        <v>297</v>
      </c>
      <c r="T51" s="296" t="s">
        <v>297</v>
      </c>
      <c r="U51" s="296" t="s">
        <v>297</v>
      </c>
      <c r="V51" s="296" t="s">
        <v>297</v>
      </c>
      <c r="W51" s="296" t="s">
        <v>297</v>
      </c>
      <c r="X51" s="296" t="s">
        <v>297</v>
      </c>
      <c r="Y51" s="296" t="s">
        <v>297</v>
      </c>
      <c r="Z51" s="296" t="s">
        <v>297</v>
      </c>
      <c r="AA51" s="296" t="s">
        <v>297</v>
      </c>
      <c r="AB51" s="296" t="s">
        <v>297</v>
      </c>
      <c r="AC51" s="296" t="s">
        <v>297</v>
      </c>
      <c r="AD51" s="296" t="s">
        <v>297</v>
      </c>
      <c r="AE51" s="296" t="s">
        <v>297</v>
      </c>
      <c r="AF51" s="185">
        <v>0</v>
      </c>
      <c r="AG51" s="185">
        <v>0</v>
      </c>
      <c r="AH51" s="185">
        <v>0</v>
      </c>
      <c r="AI51" s="185">
        <v>0</v>
      </c>
      <c r="AJ51" s="185">
        <v>0</v>
      </c>
      <c r="AK51" s="185">
        <v>0</v>
      </c>
      <c r="AL51" s="185">
        <v>0</v>
      </c>
      <c r="AM51" s="185">
        <v>0</v>
      </c>
      <c r="AN51" s="185">
        <v>0</v>
      </c>
      <c r="AO51" s="185">
        <v>0</v>
      </c>
      <c r="AP51" s="185">
        <v>0</v>
      </c>
      <c r="AQ51" s="185">
        <v>0</v>
      </c>
      <c r="AR51" s="185">
        <v>0</v>
      </c>
      <c r="AS51" s="185">
        <v>0</v>
      </c>
      <c r="AT51" s="185">
        <v>0</v>
      </c>
      <c r="AU51" s="185">
        <v>0</v>
      </c>
      <c r="AV51" s="185">
        <v>0</v>
      </c>
      <c r="AW51" s="296" t="s">
        <v>297</v>
      </c>
      <c r="AX51" s="304"/>
    </row>
    <row r="52" spans="1:50" ht="14.25" customHeight="1" x14ac:dyDescent="0.15">
      <c r="A52" s="186" t="s">
        <v>333</v>
      </c>
      <c r="B52" s="295" t="s">
        <v>297</v>
      </c>
      <c r="C52" s="295" t="s">
        <v>297</v>
      </c>
      <c r="D52" s="295" t="s">
        <v>297</v>
      </c>
      <c r="E52" s="295">
        <v>3.1020687841842413E-2</v>
      </c>
      <c r="F52" s="295">
        <v>0</v>
      </c>
      <c r="G52" s="295">
        <v>0</v>
      </c>
      <c r="H52" s="295">
        <v>8.4642391538168382E-2</v>
      </c>
      <c r="I52" s="295">
        <v>0</v>
      </c>
      <c r="J52" s="295">
        <v>0</v>
      </c>
      <c r="K52" s="295">
        <v>0.10527359713587059</v>
      </c>
      <c r="L52" s="295">
        <v>0</v>
      </c>
      <c r="M52" s="295">
        <v>0</v>
      </c>
      <c r="N52" s="295">
        <v>0</v>
      </c>
      <c r="O52" s="295">
        <v>0</v>
      </c>
      <c r="P52" s="295">
        <v>0</v>
      </c>
      <c r="Q52" s="295">
        <v>0</v>
      </c>
      <c r="R52" s="295">
        <v>0</v>
      </c>
      <c r="S52" s="295">
        <v>0</v>
      </c>
      <c r="T52" s="295">
        <v>0</v>
      </c>
      <c r="U52" s="295">
        <v>0</v>
      </c>
      <c r="V52" s="295">
        <v>3.3697391651848254</v>
      </c>
      <c r="W52" s="295">
        <v>4.1051510573046845E-2</v>
      </c>
      <c r="X52" s="295">
        <v>6.3392053365441112E-2</v>
      </c>
      <c r="Y52" s="295">
        <v>0.2406976402505818</v>
      </c>
      <c r="Z52" s="295">
        <v>18.512580622059474</v>
      </c>
      <c r="AA52" s="295">
        <v>1.9712535556865019E-2</v>
      </c>
      <c r="AB52" s="295">
        <v>5.1884379688369973E-2</v>
      </c>
      <c r="AC52" s="295" t="s">
        <v>297</v>
      </c>
      <c r="AD52" s="295">
        <v>1.2071100308553786</v>
      </c>
      <c r="AE52" s="295">
        <v>1.13779011423217</v>
      </c>
      <c r="AF52" s="183">
        <v>0</v>
      </c>
      <c r="AG52" s="183">
        <v>0</v>
      </c>
      <c r="AH52" s="183">
        <v>3.5</v>
      </c>
      <c r="AI52" s="183">
        <v>1.7421523045241545</v>
      </c>
      <c r="AJ52" s="183">
        <v>5.7410966558211915E-2</v>
      </c>
      <c r="AK52" s="183">
        <v>0.49313425524335847</v>
      </c>
      <c r="AL52" s="183">
        <v>0.39469611124327075</v>
      </c>
      <c r="AM52" s="183">
        <v>0.39564683617790491</v>
      </c>
      <c r="AN52" s="183" t="s">
        <v>297</v>
      </c>
      <c r="AO52" s="183" t="s">
        <v>297</v>
      </c>
      <c r="AP52" s="183" t="s">
        <v>297</v>
      </c>
      <c r="AQ52" s="183">
        <v>0</v>
      </c>
      <c r="AR52" s="183" t="s">
        <v>297</v>
      </c>
      <c r="AS52" s="183" t="s">
        <v>297</v>
      </c>
      <c r="AT52" s="183">
        <v>1.1947206730256656E-2</v>
      </c>
      <c r="AU52" s="183">
        <v>0</v>
      </c>
      <c r="AV52" s="183" t="s">
        <v>297</v>
      </c>
      <c r="AW52" s="295" t="s">
        <v>297</v>
      </c>
      <c r="AX52" s="304"/>
    </row>
    <row r="53" spans="1:50" ht="14.25" customHeight="1" x14ac:dyDescent="0.15">
      <c r="A53" s="186" t="s">
        <v>210</v>
      </c>
      <c r="B53" s="296" t="s">
        <v>297</v>
      </c>
      <c r="C53" s="296" t="s">
        <v>297</v>
      </c>
      <c r="D53" s="296">
        <v>0</v>
      </c>
      <c r="E53" s="296">
        <v>0</v>
      </c>
      <c r="F53" s="296">
        <v>0.8</v>
      </c>
      <c r="G53" s="296">
        <v>3.8</v>
      </c>
      <c r="H53" s="296">
        <v>3.2</v>
      </c>
      <c r="I53" s="296">
        <v>2.4</v>
      </c>
      <c r="J53" s="296">
        <v>5.4</v>
      </c>
      <c r="K53" s="296">
        <v>3.9</v>
      </c>
      <c r="L53" s="296">
        <v>4.7</v>
      </c>
      <c r="M53" s="296">
        <v>3.6</v>
      </c>
      <c r="N53" s="296">
        <v>4.5</v>
      </c>
      <c r="O53" s="296">
        <v>0.9</v>
      </c>
      <c r="P53" s="296">
        <v>2.7</v>
      </c>
      <c r="Q53" s="296">
        <v>3.3</v>
      </c>
      <c r="R53" s="296">
        <v>3</v>
      </c>
      <c r="S53" s="296">
        <v>4</v>
      </c>
      <c r="T53" s="296">
        <v>5.0999999999999996</v>
      </c>
      <c r="U53" s="296">
        <v>5.7</v>
      </c>
      <c r="V53" s="296">
        <v>5.5</v>
      </c>
      <c r="W53" s="296">
        <v>7.84</v>
      </c>
      <c r="X53" s="296">
        <v>19.75</v>
      </c>
      <c r="Y53" s="296">
        <v>11.2</v>
      </c>
      <c r="Z53" s="296">
        <v>7.6445819999999998</v>
      </c>
      <c r="AA53" s="296">
        <v>57</v>
      </c>
      <c r="AB53" s="296">
        <v>59.869461296312735</v>
      </c>
      <c r="AC53" s="296">
        <v>55.370660509601663</v>
      </c>
      <c r="AD53" s="296">
        <v>54.058578206797044</v>
      </c>
      <c r="AE53" s="296">
        <v>60.612631716451304</v>
      </c>
      <c r="AF53" s="185">
        <v>63.243244753895866</v>
      </c>
      <c r="AG53" s="185">
        <v>70.784724519446101</v>
      </c>
      <c r="AH53" s="185">
        <v>73.758397498169799</v>
      </c>
      <c r="AI53" s="185">
        <v>77.064035986354099</v>
      </c>
      <c r="AJ53" s="185">
        <v>84.948693528319296</v>
      </c>
      <c r="AK53" s="185">
        <v>84.956339598883091</v>
      </c>
      <c r="AL53" s="185">
        <v>95.879738790011601</v>
      </c>
      <c r="AM53" s="185">
        <v>99.977524548709411</v>
      </c>
      <c r="AN53" s="185">
        <v>53.809398141310702</v>
      </c>
      <c r="AO53" s="185">
        <v>128.44966984518371</v>
      </c>
      <c r="AP53" s="185">
        <v>111.83268247769639</v>
      </c>
      <c r="AQ53" s="185">
        <v>92.002992772376103</v>
      </c>
      <c r="AR53" s="185">
        <v>72.968124925021101</v>
      </c>
      <c r="AS53" s="185">
        <v>73.436728355914852</v>
      </c>
      <c r="AT53" s="185">
        <v>89.311409981447909</v>
      </c>
      <c r="AU53" s="185">
        <v>70.386173068756889</v>
      </c>
      <c r="AV53" s="185">
        <v>64.413827551944905</v>
      </c>
      <c r="AW53" s="296">
        <v>90.220072211373406</v>
      </c>
      <c r="AX53" s="304"/>
    </row>
    <row r="54" spans="1:50" ht="14.25" customHeight="1" x14ac:dyDescent="0.15">
      <c r="A54" s="186" t="s">
        <v>334</v>
      </c>
      <c r="B54" s="295" t="s">
        <v>297</v>
      </c>
      <c r="C54" s="295" t="s">
        <v>297</v>
      </c>
      <c r="D54" s="295" t="s">
        <v>297</v>
      </c>
      <c r="E54" s="295" t="s">
        <v>297</v>
      </c>
      <c r="F54" s="295" t="s">
        <v>297</v>
      </c>
      <c r="G54" s="295" t="s">
        <v>297</v>
      </c>
      <c r="H54" s="295" t="s">
        <v>297</v>
      </c>
      <c r="I54" s="295" t="s">
        <v>297</v>
      </c>
      <c r="J54" s="295" t="s">
        <v>297</v>
      </c>
      <c r="K54" s="295" t="s">
        <v>297</v>
      </c>
      <c r="L54" s="295" t="s">
        <v>297</v>
      </c>
      <c r="M54" s="295" t="s">
        <v>297</v>
      </c>
      <c r="N54" s="295" t="s">
        <v>297</v>
      </c>
      <c r="O54" s="295" t="s">
        <v>297</v>
      </c>
      <c r="P54" s="295" t="s">
        <v>297</v>
      </c>
      <c r="Q54" s="295" t="s">
        <v>297</v>
      </c>
      <c r="R54" s="295" t="s">
        <v>297</v>
      </c>
      <c r="S54" s="295" t="s">
        <v>297</v>
      </c>
      <c r="T54" s="295" t="s">
        <v>297</v>
      </c>
      <c r="U54" s="295" t="s">
        <v>297</v>
      </c>
      <c r="V54" s="295" t="s">
        <v>297</v>
      </c>
      <c r="W54" s="295" t="s">
        <v>297</v>
      </c>
      <c r="X54" s="295" t="s">
        <v>297</v>
      </c>
      <c r="Y54" s="295" t="s">
        <v>297</v>
      </c>
      <c r="Z54" s="295" t="s">
        <v>297</v>
      </c>
      <c r="AA54" s="295" t="s">
        <v>297</v>
      </c>
      <c r="AB54" s="295" t="s">
        <v>297</v>
      </c>
      <c r="AC54" s="295" t="s">
        <v>297</v>
      </c>
      <c r="AD54" s="295" t="s">
        <v>297</v>
      </c>
      <c r="AE54" s="295" t="s">
        <v>297</v>
      </c>
      <c r="AF54" s="183">
        <v>2.723522473467626</v>
      </c>
      <c r="AG54" s="183">
        <v>2.8807928407071843</v>
      </c>
      <c r="AH54" s="183">
        <v>3.2947950366306653</v>
      </c>
      <c r="AI54" s="183">
        <v>3.6783353619273562</v>
      </c>
      <c r="AJ54" s="183">
        <v>3.3695619710124425</v>
      </c>
      <c r="AK54" s="183">
        <v>6.9689688562972245</v>
      </c>
      <c r="AL54" s="183">
        <v>3.9</v>
      </c>
      <c r="AM54" s="183">
        <v>9.2170631242132188</v>
      </c>
      <c r="AN54" s="183">
        <v>-0.80862584361774081</v>
      </c>
      <c r="AO54" s="183">
        <v>5.1000559336221212</v>
      </c>
      <c r="AP54" s="183">
        <v>3.823621906863035</v>
      </c>
      <c r="AQ54" s="183">
        <v>34.884583396668461</v>
      </c>
      <c r="AR54" s="183">
        <v>98.490218258191177</v>
      </c>
      <c r="AS54" s="183">
        <v>115.68247313214881</v>
      </c>
      <c r="AT54" s="183">
        <v>163.39209853788691</v>
      </c>
      <c r="AU54" s="183">
        <v>113.28953360393953</v>
      </c>
      <c r="AV54" s="183">
        <v>202.47635533110449</v>
      </c>
      <c r="AW54" s="295" t="s">
        <v>297</v>
      </c>
      <c r="AX54" s="304"/>
    </row>
    <row r="55" spans="1:50" ht="14.25" customHeight="1" x14ac:dyDescent="0.15">
      <c r="A55" s="186" t="s">
        <v>335</v>
      </c>
      <c r="B55" s="296" t="s">
        <v>297</v>
      </c>
      <c r="C55" s="296" t="s">
        <v>297</v>
      </c>
      <c r="D55" s="296" t="s">
        <v>297</v>
      </c>
      <c r="E55" s="296" t="s">
        <v>297</v>
      </c>
      <c r="F55" s="296" t="s">
        <v>297</v>
      </c>
      <c r="G55" s="296" t="s">
        <v>297</v>
      </c>
      <c r="H55" s="296" t="s">
        <v>297</v>
      </c>
      <c r="I55" s="296" t="s">
        <v>297</v>
      </c>
      <c r="J55" s="296" t="s">
        <v>297</v>
      </c>
      <c r="K55" s="296" t="s">
        <v>297</v>
      </c>
      <c r="L55" s="296" t="s">
        <v>297</v>
      </c>
      <c r="M55" s="296" t="s">
        <v>297</v>
      </c>
      <c r="N55" s="296" t="s">
        <v>297</v>
      </c>
      <c r="O55" s="296" t="s">
        <v>297</v>
      </c>
      <c r="P55" s="296" t="s">
        <v>297</v>
      </c>
      <c r="Q55" s="296" t="s">
        <v>297</v>
      </c>
      <c r="R55" s="296" t="s">
        <v>297</v>
      </c>
      <c r="S55" s="296" t="s">
        <v>297</v>
      </c>
      <c r="T55" s="296">
        <v>0.50058152114540655</v>
      </c>
      <c r="U55" s="296">
        <v>14.02875887580255</v>
      </c>
      <c r="V55" s="296">
        <v>8.1120873016395496</v>
      </c>
      <c r="W55" s="296">
        <v>17.648779508566342</v>
      </c>
      <c r="X55" s="296">
        <v>13.368917367648566</v>
      </c>
      <c r="Y55" s="296">
        <v>4.1144528494588233</v>
      </c>
      <c r="Z55" s="296">
        <v>3.22018171934657</v>
      </c>
      <c r="AA55" s="296">
        <v>8.6</v>
      </c>
      <c r="AB55" s="296">
        <v>28.821175069132014</v>
      </c>
      <c r="AC55" s="296">
        <v>23.149863100528634</v>
      </c>
      <c r="AD55" s="296">
        <v>37.345641132862227</v>
      </c>
      <c r="AE55" s="296">
        <v>211.26785521083721</v>
      </c>
      <c r="AF55" s="185">
        <v>133.06106093689181</v>
      </c>
      <c r="AG55" s="185">
        <v>97.879681380144689</v>
      </c>
      <c r="AH55" s="185">
        <v>223.28382682528573</v>
      </c>
      <c r="AI55" s="185">
        <v>278.69143077665501</v>
      </c>
      <c r="AJ55" s="185">
        <v>-107.03188404548696</v>
      </c>
      <c r="AK55" s="185">
        <v>93.247663436492417</v>
      </c>
      <c r="AL55" s="185">
        <v>52.607079422598915</v>
      </c>
      <c r="AM55" s="185">
        <v>-52.928422391139357</v>
      </c>
      <c r="AN55" s="185">
        <v>-190.92940603899598</v>
      </c>
      <c r="AO55" s="185">
        <v>-225.26987178530587</v>
      </c>
      <c r="AP55" s="185">
        <v>-452.04793588138733</v>
      </c>
      <c r="AQ55" s="185">
        <v>-1644.055940286775</v>
      </c>
      <c r="AR55" s="185">
        <v>-1380.1455399957454</v>
      </c>
      <c r="AS55" s="185">
        <v>151.49487970489608</v>
      </c>
      <c r="AT55" s="185">
        <v>193.70537059402614</v>
      </c>
      <c r="AU55" s="185">
        <v>312.17457185648124</v>
      </c>
      <c r="AV55" s="185">
        <v>493.17706126868927</v>
      </c>
      <c r="AW55" s="296">
        <v>293.83825560065105</v>
      </c>
      <c r="AX55" s="304"/>
    </row>
    <row r="56" spans="1:50" ht="14.25" customHeight="1" x14ac:dyDescent="0.15">
      <c r="A56" s="186" t="s">
        <v>336</v>
      </c>
      <c r="B56" s="295" t="s">
        <v>297</v>
      </c>
      <c r="C56" s="295" t="s">
        <v>297</v>
      </c>
      <c r="D56" s="295" t="s">
        <v>297</v>
      </c>
      <c r="E56" s="295" t="s">
        <v>297</v>
      </c>
      <c r="F56" s="295" t="s">
        <v>297</v>
      </c>
      <c r="G56" s="295" t="s">
        <v>297</v>
      </c>
      <c r="H56" s="295" t="s">
        <v>297</v>
      </c>
      <c r="I56" s="295" t="s">
        <v>297</v>
      </c>
      <c r="J56" s="295" t="s">
        <v>297</v>
      </c>
      <c r="K56" s="295" t="s">
        <v>297</v>
      </c>
      <c r="L56" s="295" t="s">
        <v>297</v>
      </c>
      <c r="M56" s="295" t="s">
        <v>297</v>
      </c>
      <c r="N56" s="295" t="s">
        <v>297</v>
      </c>
      <c r="O56" s="295" t="s">
        <v>297</v>
      </c>
      <c r="P56" s="295" t="s">
        <v>297</v>
      </c>
      <c r="Q56" s="295" t="s">
        <v>297</v>
      </c>
      <c r="R56" s="295" t="s">
        <v>297</v>
      </c>
      <c r="S56" s="295" t="s">
        <v>297</v>
      </c>
      <c r="T56" s="295" t="s">
        <v>297</v>
      </c>
      <c r="U56" s="295" t="s">
        <v>297</v>
      </c>
      <c r="V56" s="295" t="s">
        <v>297</v>
      </c>
      <c r="W56" s="295" t="s">
        <v>297</v>
      </c>
      <c r="X56" s="295" t="s">
        <v>297</v>
      </c>
      <c r="Y56" s="295" t="s">
        <v>297</v>
      </c>
      <c r="Z56" s="295" t="s">
        <v>297</v>
      </c>
      <c r="AA56" s="295" t="s">
        <v>297</v>
      </c>
      <c r="AB56" s="295" t="s">
        <v>297</v>
      </c>
      <c r="AC56" s="295" t="s">
        <v>297</v>
      </c>
      <c r="AD56" s="295" t="s">
        <v>297</v>
      </c>
      <c r="AE56" s="295" t="s">
        <v>297</v>
      </c>
      <c r="AF56" s="183" t="s">
        <v>297</v>
      </c>
      <c r="AG56" s="183" t="s">
        <v>297</v>
      </c>
      <c r="AH56" s="183" t="s">
        <v>297</v>
      </c>
      <c r="AI56" s="183" t="s">
        <v>297</v>
      </c>
      <c r="AJ56" s="183" t="s">
        <v>297</v>
      </c>
      <c r="AK56" s="183" t="s">
        <v>297</v>
      </c>
      <c r="AL56" s="183">
        <v>14.7</v>
      </c>
      <c r="AM56" s="183">
        <v>13.059217877094971</v>
      </c>
      <c r="AN56" s="183">
        <v>14.273743016759775</v>
      </c>
      <c r="AO56" s="183">
        <v>19.111731843575416</v>
      </c>
      <c r="AP56" s="183">
        <v>9.0893854748603342</v>
      </c>
      <c r="AQ56" s="183">
        <v>6.7094972067039107</v>
      </c>
      <c r="AR56" s="183">
        <v>11.068406318435752</v>
      </c>
      <c r="AS56" s="183">
        <v>18.715486636871507</v>
      </c>
      <c r="AT56" s="183">
        <v>27.748035268156425</v>
      </c>
      <c r="AU56" s="183">
        <v>15.074877357541899</v>
      </c>
      <c r="AV56" s="183">
        <v>12.772248564245809</v>
      </c>
      <c r="AW56" s="295" t="s">
        <v>297</v>
      </c>
      <c r="AX56" s="304"/>
    </row>
    <row r="57" spans="1:50" ht="14.25" customHeight="1" x14ac:dyDescent="0.15">
      <c r="A57" s="186" t="s">
        <v>337</v>
      </c>
      <c r="B57" s="296" t="s">
        <v>297</v>
      </c>
      <c r="C57" s="296" t="s">
        <v>297</v>
      </c>
      <c r="D57" s="296" t="s">
        <v>297</v>
      </c>
      <c r="E57" s="296" t="s">
        <v>297</v>
      </c>
      <c r="F57" s="296" t="s">
        <v>297</v>
      </c>
      <c r="G57" s="296" t="s">
        <v>297</v>
      </c>
      <c r="H57" s="296" t="s">
        <v>297</v>
      </c>
      <c r="I57" s="296" t="s">
        <v>297</v>
      </c>
      <c r="J57" s="296" t="s">
        <v>297</v>
      </c>
      <c r="K57" s="296" t="s">
        <v>297</v>
      </c>
      <c r="L57" s="296" t="s">
        <v>297</v>
      </c>
      <c r="M57" s="296" t="s">
        <v>297</v>
      </c>
      <c r="N57" s="296" t="s">
        <v>297</v>
      </c>
      <c r="O57" s="296" t="s">
        <v>297</v>
      </c>
      <c r="P57" s="296" t="s">
        <v>297</v>
      </c>
      <c r="Q57" s="296" t="s">
        <v>297</v>
      </c>
      <c r="R57" s="296" t="s">
        <v>297</v>
      </c>
      <c r="S57" s="296" t="s">
        <v>297</v>
      </c>
      <c r="T57" s="296" t="s">
        <v>297</v>
      </c>
      <c r="U57" s="296" t="s">
        <v>297</v>
      </c>
      <c r="V57" s="296" t="s">
        <v>297</v>
      </c>
      <c r="W57" s="296" t="s">
        <v>297</v>
      </c>
      <c r="X57" s="296" t="s">
        <v>297</v>
      </c>
      <c r="Y57" s="296" t="s">
        <v>297</v>
      </c>
      <c r="Z57" s="296" t="s">
        <v>297</v>
      </c>
      <c r="AA57" s="296" t="s">
        <v>297</v>
      </c>
      <c r="AB57" s="296" t="s">
        <v>297</v>
      </c>
      <c r="AC57" s="296" t="s">
        <v>297</v>
      </c>
      <c r="AD57" s="296" t="s">
        <v>297</v>
      </c>
      <c r="AE57" s="296" t="s">
        <v>297</v>
      </c>
      <c r="AF57" s="185" t="s">
        <v>297</v>
      </c>
      <c r="AG57" s="185" t="s">
        <v>297</v>
      </c>
      <c r="AH57" s="185" t="s">
        <v>297</v>
      </c>
      <c r="AI57" s="185" t="s">
        <v>297</v>
      </c>
      <c r="AJ57" s="185" t="s">
        <v>297</v>
      </c>
      <c r="AK57" s="185" t="s">
        <v>297</v>
      </c>
      <c r="AL57" s="185">
        <v>14.4</v>
      </c>
      <c r="AM57" s="185">
        <v>12.47486033519553</v>
      </c>
      <c r="AN57" s="185">
        <v>14.273743016759775</v>
      </c>
      <c r="AO57" s="185">
        <v>18.815642458100559</v>
      </c>
      <c r="AP57" s="185">
        <v>9.0893854748603342</v>
      </c>
      <c r="AQ57" s="185">
        <v>6.4692737430167595</v>
      </c>
      <c r="AR57" s="185">
        <v>9.0795795027932957</v>
      </c>
      <c r="AS57" s="185">
        <v>18.715486636871507</v>
      </c>
      <c r="AT57" s="185">
        <v>25.145435994413404</v>
      </c>
      <c r="AU57" s="185">
        <v>12.417968391061454</v>
      </c>
      <c r="AV57" s="185">
        <v>9.4648351340782124</v>
      </c>
      <c r="AW57" s="296" t="s">
        <v>297</v>
      </c>
      <c r="AX57" s="304"/>
    </row>
    <row r="58" spans="1:50" ht="14.25" customHeight="1" x14ac:dyDescent="0.15">
      <c r="A58" s="186" t="s">
        <v>338</v>
      </c>
      <c r="B58" s="295" t="s">
        <v>297</v>
      </c>
      <c r="C58" s="295">
        <v>0</v>
      </c>
      <c r="D58" s="295">
        <v>0</v>
      </c>
      <c r="E58" s="295">
        <v>0</v>
      </c>
      <c r="F58" s="295">
        <v>0</v>
      </c>
      <c r="G58" s="295">
        <v>0</v>
      </c>
      <c r="H58" s="295">
        <v>0</v>
      </c>
      <c r="I58" s="295">
        <v>0</v>
      </c>
      <c r="J58" s="295">
        <v>0</v>
      </c>
      <c r="K58" s="295">
        <v>0</v>
      </c>
      <c r="L58" s="295">
        <v>0</v>
      </c>
      <c r="M58" s="295" t="s">
        <v>297</v>
      </c>
      <c r="N58" s="295" t="s">
        <v>297</v>
      </c>
      <c r="O58" s="295" t="s">
        <v>297</v>
      </c>
      <c r="P58" s="295" t="s">
        <v>297</v>
      </c>
      <c r="Q58" s="295" t="s">
        <v>297</v>
      </c>
      <c r="R58" s="295" t="s">
        <v>297</v>
      </c>
      <c r="S58" s="295" t="s">
        <v>297</v>
      </c>
      <c r="T58" s="295" t="s">
        <v>297</v>
      </c>
      <c r="U58" s="295" t="s">
        <v>297</v>
      </c>
      <c r="V58" s="295">
        <v>16.577510360022991</v>
      </c>
      <c r="W58" s="295">
        <v>21.444904020651443</v>
      </c>
      <c r="X58" s="295">
        <v>25.85009911188488</v>
      </c>
      <c r="Y58" s="295">
        <v>34.186634592374837</v>
      </c>
      <c r="Z58" s="295">
        <v>42.214680878592837</v>
      </c>
      <c r="AA58" s="295">
        <v>39.029425099198534</v>
      </c>
      <c r="AB58" s="295">
        <v>41.566976857229733</v>
      </c>
      <c r="AC58" s="295">
        <v>91.67690849090485</v>
      </c>
      <c r="AD58" s="295">
        <v>257.62508843353487</v>
      </c>
      <c r="AE58" s="295">
        <v>304.46364722467206</v>
      </c>
      <c r="AF58" s="183">
        <v>359.43120034802723</v>
      </c>
      <c r="AG58" s="183">
        <v>430.33902320848239</v>
      </c>
      <c r="AH58" s="183">
        <v>598.82034460712293</v>
      </c>
      <c r="AI58" s="183">
        <v>10660.4</v>
      </c>
      <c r="AJ58" s="183">
        <v>11119.609656736235</v>
      </c>
      <c r="AK58" s="183">
        <v>12840.19671384195</v>
      </c>
      <c r="AL58" s="183">
        <v>18160.81646312181</v>
      </c>
      <c r="AM58" s="183">
        <v>15059.652232961331</v>
      </c>
      <c r="AN58" s="183">
        <v>17206.079020710938</v>
      </c>
      <c r="AO58" s="183">
        <v>18490.312841517021</v>
      </c>
      <c r="AP58" s="183">
        <v>28011.849278833823</v>
      </c>
      <c r="AQ58" s="183">
        <v>11122.359044892517</v>
      </c>
      <c r="AR58" s="183">
        <v>22332.969967052351</v>
      </c>
      <c r="AS58" s="183">
        <v>27077.83967855903</v>
      </c>
      <c r="AT58" s="183">
        <v>25565.200086281096</v>
      </c>
      <c r="AU58" s="183">
        <v>18269.898846608856</v>
      </c>
      <c r="AV58" s="183">
        <v>23080.812488173287</v>
      </c>
      <c r="AW58" s="295">
        <v>12858.677590000849</v>
      </c>
      <c r="AX58" s="304"/>
    </row>
    <row r="59" spans="1:50" ht="14.25" customHeight="1" x14ac:dyDescent="0.15">
      <c r="A59" s="186" t="s">
        <v>189</v>
      </c>
      <c r="B59" s="296" t="s">
        <v>297</v>
      </c>
      <c r="C59" s="296" t="s">
        <v>297</v>
      </c>
      <c r="D59" s="296" t="s">
        <v>297</v>
      </c>
      <c r="E59" s="296" t="s">
        <v>297</v>
      </c>
      <c r="F59" s="296" t="s">
        <v>297</v>
      </c>
      <c r="G59" s="296" t="s">
        <v>297</v>
      </c>
      <c r="H59" s="296" t="s">
        <v>297</v>
      </c>
      <c r="I59" s="296" t="s">
        <v>297</v>
      </c>
      <c r="J59" s="296" t="s">
        <v>297</v>
      </c>
      <c r="K59" s="296" t="s">
        <v>297</v>
      </c>
      <c r="L59" s="296" t="s">
        <v>297</v>
      </c>
      <c r="M59" s="296" t="s">
        <v>297</v>
      </c>
      <c r="N59" s="296" t="s">
        <v>297</v>
      </c>
      <c r="O59" s="296" t="s">
        <v>297</v>
      </c>
      <c r="P59" s="296" t="s">
        <v>297</v>
      </c>
      <c r="Q59" s="296" t="s">
        <v>297</v>
      </c>
      <c r="R59" s="296" t="s">
        <v>297</v>
      </c>
      <c r="S59" s="296" t="s">
        <v>297</v>
      </c>
      <c r="T59" s="296">
        <v>3.2921004342476925</v>
      </c>
      <c r="U59" s="296">
        <v>2.7263350161651281</v>
      </c>
      <c r="V59" s="296">
        <v>19.409902756352231</v>
      </c>
      <c r="W59" s="296">
        <v>32.229932890355833</v>
      </c>
      <c r="X59" s="296">
        <v>53.252990311827411</v>
      </c>
      <c r="Y59" s="296">
        <v>-82.923647728347746</v>
      </c>
      <c r="Z59" s="296">
        <v>11.515433567020992</v>
      </c>
      <c r="AA59" s="296">
        <v>-14.57138457920561</v>
      </c>
      <c r="AB59" s="296">
        <v>65.492749911495778</v>
      </c>
      <c r="AC59" s="296">
        <v>-71.463168224057711</v>
      </c>
      <c r="AD59" s="296">
        <v>124.899948226934</v>
      </c>
      <c r="AE59" s="296">
        <v>385.1</v>
      </c>
      <c r="AF59" s="185">
        <v>479.47059009138286</v>
      </c>
      <c r="AG59" s="185">
        <v>678.3467363956006</v>
      </c>
      <c r="AH59" s="185">
        <v>1355.3396599920557</v>
      </c>
      <c r="AI59" s="185">
        <v>3966.9619231742577</v>
      </c>
      <c r="AJ59" s="185">
        <v>821.51876348264898</v>
      </c>
      <c r="AK59" s="185">
        <v>1082.6072130110649</v>
      </c>
      <c r="AL59" s="185">
        <v>1181.4238534531664</v>
      </c>
      <c r="AM59" s="185">
        <v>2241.8601567797068</v>
      </c>
      <c r="AN59" s="185">
        <v>1270.7194155811844</v>
      </c>
      <c r="AO59" s="185">
        <v>1555.3001730070275</v>
      </c>
      <c r="AP59" s="185">
        <v>1853.9512789530104</v>
      </c>
      <c r="AQ59" s="185">
        <v>1964.8196903219621</v>
      </c>
      <c r="AR59" s="185">
        <v>4666.6254378219328</v>
      </c>
      <c r="AS59" s="185">
        <v>4090.4938935368386</v>
      </c>
      <c r="AT59" s="185">
        <v>5513.4889137723148</v>
      </c>
      <c r="AU59" s="185">
        <v>2174.3375062430787</v>
      </c>
      <c r="AV59" s="185">
        <v>4677.1244291653875</v>
      </c>
      <c r="AW59" s="296">
        <v>3570.5192384524662</v>
      </c>
      <c r="AX59" s="304"/>
    </row>
    <row r="60" spans="1:50" ht="14.25" customHeight="1" x14ac:dyDescent="0.15">
      <c r="A60" s="186" t="s">
        <v>339</v>
      </c>
      <c r="B60" s="295" t="s">
        <v>297</v>
      </c>
      <c r="C60" s="295" t="s">
        <v>297</v>
      </c>
      <c r="D60" s="295" t="s">
        <v>297</v>
      </c>
      <c r="E60" s="295" t="s">
        <v>297</v>
      </c>
      <c r="F60" s="295" t="s">
        <v>297</v>
      </c>
      <c r="G60" s="295" t="s">
        <v>297</v>
      </c>
      <c r="H60" s="295" t="s">
        <v>297</v>
      </c>
      <c r="I60" s="295" t="s">
        <v>297</v>
      </c>
      <c r="J60" s="295" t="s">
        <v>297</v>
      </c>
      <c r="K60" s="295" t="s">
        <v>297</v>
      </c>
      <c r="L60" s="295" t="s">
        <v>297</v>
      </c>
      <c r="M60" s="295" t="s">
        <v>297</v>
      </c>
      <c r="N60" s="295" t="s">
        <v>297</v>
      </c>
      <c r="O60" s="295" t="s">
        <v>297</v>
      </c>
      <c r="P60" s="295" t="s">
        <v>297</v>
      </c>
      <c r="Q60" s="295" t="s">
        <v>297</v>
      </c>
      <c r="R60" s="295" t="s">
        <v>297</v>
      </c>
      <c r="S60" s="295" t="s">
        <v>297</v>
      </c>
      <c r="T60" s="295" t="s">
        <v>297</v>
      </c>
      <c r="U60" s="295" t="s">
        <v>297</v>
      </c>
      <c r="V60" s="295" t="s">
        <v>297</v>
      </c>
      <c r="W60" s="295" t="s">
        <v>297</v>
      </c>
      <c r="X60" s="295" t="s">
        <v>297</v>
      </c>
      <c r="Y60" s="295" t="s">
        <v>297</v>
      </c>
      <c r="Z60" s="295" t="s">
        <v>297</v>
      </c>
      <c r="AA60" s="295" t="s">
        <v>297</v>
      </c>
      <c r="AB60" s="295" t="s">
        <v>297</v>
      </c>
      <c r="AC60" s="295" t="s">
        <v>297</v>
      </c>
      <c r="AD60" s="295" t="s">
        <v>297</v>
      </c>
      <c r="AE60" s="295" t="s">
        <v>297</v>
      </c>
      <c r="AF60" s="183" t="s">
        <v>297</v>
      </c>
      <c r="AG60" s="183" t="s">
        <v>297</v>
      </c>
      <c r="AH60" s="183" t="s">
        <v>297</v>
      </c>
      <c r="AI60" s="183" t="s">
        <v>297</v>
      </c>
      <c r="AJ60" s="183" t="s">
        <v>297</v>
      </c>
      <c r="AK60" s="183" t="s">
        <v>297</v>
      </c>
      <c r="AL60" s="183" t="s">
        <v>297</v>
      </c>
      <c r="AM60" s="183" t="s">
        <v>297</v>
      </c>
      <c r="AN60" s="183" t="s">
        <v>297</v>
      </c>
      <c r="AO60" s="183" t="s">
        <v>297</v>
      </c>
      <c r="AP60" s="183" t="s">
        <v>297</v>
      </c>
      <c r="AQ60" s="183" t="s">
        <v>297</v>
      </c>
      <c r="AR60" s="183" t="s">
        <v>297</v>
      </c>
      <c r="AS60" s="183" t="s">
        <v>297</v>
      </c>
      <c r="AT60" s="183" t="s">
        <v>297</v>
      </c>
      <c r="AU60" s="183" t="s">
        <v>297</v>
      </c>
      <c r="AV60" s="183" t="s">
        <v>297</v>
      </c>
      <c r="AW60" s="295" t="s">
        <v>297</v>
      </c>
      <c r="AX60" s="304"/>
    </row>
    <row r="61" spans="1:50" ht="14.25" customHeight="1" x14ac:dyDescent="0.15">
      <c r="A61" s="186" t="s">
        <v>190</v>
      </c>
      <c r="B61" s="296">
        <v>65.765251705781949</v>
      </c>
      <c r="C61" s="296">
        <v>76.426790998964577</v>
      </c>
      <c r="D61" s="296">
        <v>103.43946232056689</v>
      </c>
      <c r="E61" s="296">
        <v>94.053336892363603</v>
      </c>
      <c r="F61" s="296" t="s">
        <v>297</v>
      </c>
      <c r="G61" s="296" t="s">
        <v>297</v>
      </c>
      <c r="H61" s="296">
        <v>0</v>
      </c>
      <c r="I61" s="296">
        <v>0</v>
      </c>
      <c r="J61" s="296">
        <v>0</v>
      </c>
      <c r="K61" s="296">
        <v>0</v>
      </c>
      <c r="L61" s="296">
        <v>0</v>
      </c>
      <c r="M61" s="296">
        <v>0</v>
      </c>
      <c r="N61" s="296">
        <v>0</v>
      </c>
      <c r="O61" s="296">
        <v>0</v>
      </c>
      <c r="P61" s="296">
        <v>0</v>
      </c>
      <c r="Q61" s="296">
        <v>0</v>
      </c>
      <c r="R61" s="296">
        <v>0</v>
      </c>
      <c r="S61" s="296">
        <v>0</v>
      </c>
      <c r="T61" s="296">
        <v>0</v>
      </c>
      <c r="U61" s="296" t="s">
        <v>297</v>
      </c>
      <c r="V61" s="296" t="s">
        <v>297</v>
      </c>
      <c r="W61" s="296" t="s">
        <v>297</v>
      </c>
      <c r="X61" s="296" t="s">
        <v>297</v>
      </c>
      <c r="Y61" s="296" t="s">
        <v>297</v>
      </c>
      <c r="Z61" s="296">
        <v>2102.7411010332535</v>
      </c>
      <c r="AA61" s="296">
        <v>4686.622226219788</v>
      </c>
      <c r="AB61" s="296">
        <v>3584.6174310172119</v>
      </c>
      <c r="AC61" s="296">
        <v>2008.2530418193169</v>
      </c>
      <c r="AD61" s="296">
        <v>3899.2076290870737</v>
      </c>
      <c r="AE61" s="296">
        <v>3661.674040450785</v>
      </c>
      <c r="AF61" s="185">
        <v>11217.8</v>
      </c>
      <c r="AG61" s="185">
        <v>9900.0946017664501</v>
      </c>
      <c r="AH61" s="185">
        <v>11244.047231543229</v>
      </c>
      <c r="AI61" s="185">
        <v>10920.379630690824</v>
      </c>
      <c r="AJ61" s="185">
        <v>8662.4939537032351</v>
      </c>
      <c r="AK61" s="185">
        <v>10943.363729334962</v>
      </c>
      <c r="AL61" s="185">
        <v>11242.673200705187</v>
      </c>
      <c r="AM61" s="185">
        <v>8873.8752538359513</v>
      </c>
      <c r="AN61" s="185">
        <v>12192.267935685381</v>
      </c>
      <c r="AO61" s="185">
        <v>13497.403387796696</v>
      </c>
      <c r="AP61" s="185">
        <v>11944.042016473748</v>
      </c>
      <c r="AQ61" s="185">
        <v>11596.330137748102</v>
      </c>
      <c r="AR61" s="185">
        <v>12912.279757975344</v>
      </c>
      <c r="AS61" s="185">
        <v>15155.179800087246</v>
      </c>
      <c r="AT61" s="185">
        <v>14833.11707051876</v>
      </c>
      <c r="AU61" s="185">
        <v>13875.831999883294</v>
      </c>
      <c r="AV61" s="185">
        <v>19711.488444595885</v>
      </c>
      <c r="AW61" s="296">
        <v>19832.222626288345</v>
      </c>
      <c r="AX61" s="304"/>
    </row>
    <row r="62" spans="1:50" ht="14.25" customHeight="1" x14ac:dyDescent="0.15">
      <c r="A62" s="186" t="s">
        <v>340</v>
      </c>
      <c r="B62" s="295" t="s">
        <v>297</v>
      </c>
      <c r="C62" s="295" t="s">
        <v>297</v>
      </c>
      <c r="D62" s="295" t="s">
        <v>297</v>
      </c>
      <c r="E62" s="295" t="s">
        <v>297</v>
      </c>
      <c r="F62" s="295" t="s">
        <v>297</v>
      </c>
      <c r="G62" s="295" t="s">
        <v>297</v>
      </c>
      <c r="H62" s="295" t="s">
        <v>297</v>
      </c>
      <c r="I62" s="295" t="s">
        <v>297</v>
      </c>
      <c r="J62" s="295" t="s">
        <v>297</v>
      </c>
      <c r="K62" s="295" t="s">
        <v>297</v>
      </c>
      <c r="L62" s="295" t="s">
        <v>297</v>
      </c>
      <c r="M62" s="295" t="s">
        <v>297</v>
      </c>
      <c r="N62" s="295" t="s">
        <v>297</v>
      </c>
      <c r="O62" s="295" t="s">
        <v>297</v>
      </c>
      <c r="P62" s="295" t="s">
        <v>297</v>
      </c>
      <c r="Q62" s="295" t="s">
        <v>297</v>
      </c>
      <c r="R62" s="295" t="s">
        <v>297</v>
      </c>
      <c r="S62" s="295" t="s">
        <v>297</v>
      </c>
      <c r="T62" s="295" t="s">
        <v>297</v>
      </c>
      <c r="U62" s="295" t="s">
        <v>297</v>
      </c>
      <c r="V62" s="295" t="s">
        <v>297</v>
      </c>
      <c r="W62" s="295" t="s">
        <v>297</v>
      </c>
      <c r="X62" s="295" t="s">
        <v>297</v>
      </c>
      <c r="Y62" s="295" t="s">
        <v>297</v>
      </c>
      <c r="Z62" s="295" t="s">
        <v>297</v>
      </c>
      <c r="AA62" s="295" t="s">
        <v>297</v>
      </c>
      <c r="AB62" s="295" t="s">
        <v>297</v>
      </c>
      <c r="AC62" s="295" t="s">
        <v>297</v>
      </c>
      <c r="AD62" s="295" t="s">
        <v>297</v>
      </c>
      <c r="AE62" s="295" t="s">
        <v>297</v>
      </c>
      <c r="AF62" s="183" t="s">
        <v>297</v>
      </c>
      <c r="AG62" s="183" t="s">
        <v>297</v>
      </c>
      <c r="AH62" s="183" t="s">
        <v>297</v>
      </c>
      <c r="AI62" s="183" t="s">
        <v>297</v>
      </c>
      <c r="AJ62" s="183" t="s">
        <v>297</v>
      </c>
      <c r="AK62" s="183" t="s">
        <v>297</v>
      </c>
      <c r="AL62" s="183" t="s">
        <v>297</v>
      </c>
      <c r="AM62" s="183" t="s">
        <v>297</v>
      </c>
      <c r="AN62" s="183" t="s">
        <v>297</v>
      </c>
      <c r="AO62" s="183" t="s">
        <v>297</v>
      </c>
      <c r="AP62" s="183" t="s">
        <v>297</v>
      </c>
      <c r="AQ62" s="183" t="s">
        <v>297</v>
      </c>
      <c r="AR62" s="183" t="s">
        <v>297</v>
      </c>
      <c r="AS62" s="183" t="s">
        <v>297</v>
      </c>
      <c r="AT62" s="183" t="s">
        <v>297</v>
      </c>
      <c r="AU62" s="183" t="s">
        <v>297</v>
      </c>
      <c r="AV62" s="183" t="s">
        <v>297</v>
      </c>
      <c r="AW62" s="295" t="s">
        <v>297</v>
      </c>
      <c r="AX62" s="304"/>
    </row>
    <row r="63" spans="1:50" ht="14.25" customHeight="1" x14ac:dyDescent="0.15">
      <c r="A63" s="186" t="s">
        <v>341</v>
      </c>
      <c r="B63" s="296" t="s">
        <v>297</v>
      </c>
      <c r="C63" s="296">
        <v>0</v>
      </c>
      <c r="D63" s="296">
        <v>0</v>
      </c>
      <c r="E63" s="296">
        <v>0</v>
      </c>
      <c r="F63" s="296">
        <v>0</v>
      </c>
      <c r="G63" s="296">
        <v>0</v>
      </c>
      <c r="H63" s="296">
        <v>0</v>
      </c>
      <c r="I63" s="296">
        <v>0</v>
      </c>
      <c r="J63" s="296">
        <v>0</v>
      </c>
      <c r="K63" s="296">
        <v>0</v>
      </c>
      <c r="L63" s="296">
        <v>0</v>
      </c>
      <c r="M63" s="296">
        <v>0</v>
      </c>
      <c r="N63" s="296">
        <v>0</v>
      </c>
      <c r="O63" s="296">
        <v>0</v>
      </c>
      <c r="P63" s="296">
        <v>0</v>
      </c>
      <c r="Q63" s="296">
        <v>0.11851851851851851</v>
      </c>
      <c r="R63" s="296">
        <v>0.11851851851851851</v>
      </c>
      <c r="S63" s="296">
        <v>0.17777777777777776</v>
      </c>
      <c r="T63" s="296">
        <v>0.87777777777777777</v>
      </c>
      <c r="U63" s="296">
        <v>0</v>
      </c>
      <c r="V63" s="296">
        <v>0</v>
      </c>
      <c r="W63" s="296">
        <v>0</v>
      </c>
      <c r="X63" s="296">
        <v>0</v>
      </c>
      <c r="Y63" s="296">
        <v>0.75185185185185166</v>
      </c>
      <c r="Z63" s="296">
        <v>4.8148148148148148E-2</v>
      </c>
      <c r="AA63" s="296">
        <v>0.41481481481481475</v>
      </c>
      <c r="AB63" s="296">
        <v>6.8518518518518506E-2</v>
      </c>
      <c r="AC63" s="296">
        <v>0</v>
      </c>
      <c r="AD63" s="296">
        <v>0</v>
      </c>
      <c r="AE63" s="296">
        <v>0</v>
      </c>
      <c r="AF63" s="185">
        <v>0</v>
      </c>
      <c r="AG63" s="185">
        <v>0</v>
      </c>
      <c r="AH63" s="185">
        <v>0</v>
      </c>
      <c r="AI63" s="185">
        <v>1.624959259259259</v>
      </c>
      <c r="AJ63" s="185">
        <v>0</v>
      </c>
      <c r="AK63" s="185">
        <v>0</v>
      </c>
      <c r="AL63" s="185">
        <v>0</v>
      </c>
      <c r="AM63" s="185">
        <v>0</v>
      </c>
      <c r="AN63" s="185">
        <v>0</v>
      </c>
      <c r="AO63" s="185">
        <v>0.1</v>
      </c>
      <c r="AP63" s="185">
        <v>8.9637066666666654E-2</v>
      </c>
      <c r="AQ63" s="185">
        <v>6.5702370370370362E-3</v>
      </c>
      <c r="AR63" s="185">
        <v>5.7302370370370366E-3</v>
      </c>
      <c r="AS63" s="185">
        <v>2.5961629629629628E-3</v>
      </c>
      <c r="AT63" s="185">
        <v>1.087648148148148E-2</v>
      </c>
      <c r="AU63" s="185">
        <v>6.9259259259259257E-2</v>
      </c>
      <c r="AV63" s="185">
        <v>0</v>
      </c>
      <c r="AW63" s="296" t="s">
        <v>297</v>
      </c>
      <c r="AX63" s="304"/>
    </row>
    <row r="64" spans="1:50" ht="14.25" customHeight="1" x14ac:dyDescent="0.15">
      <c r="A64" s="186" t="s">
        <v>342</v>
      </c>
      <c r="B64" s="295">
        <v>0</v>
      </c>
      <c r="C64" s="295">
        <v>0</v>
      </c>
      <c r="D64" s="295">
        <v>0</v>
      </c>
      <c r="E64" s="295">
        <v>0</v>
      </c>
      <c r="F64" s="295">
        <v>0</v>
      </c>
      <c r="G64" s="295">
        <v>0</v>
      </c>
      <c r="H64" s="295">
        <v>0</v>
      </c>
      <c r="I64" s="295">
        <v>0</v>
      </c>
      <c r="J64" s="295">
        <v>0</v>
      </c>
      <c r="K64" s="295">
        <v>0</v>
      </c>
      <c r="L64" s="295">
        <v>0</v>
      </c>
      <c r="M64" s="295">
        <v>0</v>
      </c>
      <c r="N64" s="295">
        <v>0</v>
      </c>
      <c r="O64" s="295">
        <v>0</v>
      </c>
      <c r="P64" s="295">
        <v>0</v>
      </c>
      <c r="Q64" s="295">
        <v>0</v>
      </c>
      <c r="R64" s="295">
        <v>0</v>
      </c>
      <c r="S64" s="295">
        <v>0</v>
      </c>
      <c r="T64" s="295">
        <v>0</v>
      </c>
      <c r="U64" s="295">
        <v>0</v>
      </c>
      <c r="V64" s="295">
        <v>0</v>
      </c>
      <c r="W64" s="295">
        <v>0</v>
      </c>
      <c r="X64" s="295" t="s">
        <v>297</v>
      </c>
      <c r="Y64" s="295" t="s">
        <v>297</v>
      </c>
      <c r="Z64" s="295" t="s">
        <v>297</v>
      </c>
      <c r="AA64" s="295" t="s">
        <v>297</v>
      </c>
      <c r="AB64" s="295">
        <v>0</v>
      </c>
      <c r="AC64" s="295">
        <v>0</v>
      </c>
      <c r="AD64" s="295">
        <v>0</v>
      </c>
      <c r="AE64" s="295">
        <v>0</v>
      </c>
      <c r="AF64" s="183">
        <v>0</v>
      </c>
      <c r="AG64" s="183">
        <v>0</v>
      </c>
      <c r="AH64" s="183">
        <v>0</v>
      </c>
      <c r="AI64" s="183">
        <v>0</v>
      </c>
      <c r="AJ64" s="183">
        <v>0</v>
      </c>
      <c r="AK64" s="183">
        <v>0</v>
      </c>
      <c r="AL64" s="183">
        <v>39.799999999999997</v>
      </c>
      <c r="AM64" s="183">
        <v>20</v>
      </c>
      <c r="AN64" s="183">
        <v>0</v>
      </c>
      <c r="AO64" s="183">
        <v>0</v>
      </c>
      <c r="AP64" s="183">
        <v>0</v>
      </c>
      <c r="AQ64" s="183">
        <v>0</v>
      </c>
      <c r="AR64" s="183">
        <v>0</v>
      </c>
      <c r="AS64" s="183">
        <v>0</v>
      </c>
      <c r="AT64" s="183">
        <v>0</v>
      </c>
      <c r="AU64" s="183">
        <v>0</v>
      </c>
      <c r="AV64" s="183">
        <v>0</v>
      </c>
      <c r="AW64" s="295">
        <v>0</v>
      </c>
      <c r="AX64" s="304"/>
    </row>
    <row r="65" spans="1:50" ht="14.25" customHeight="1" x14ac:dyDescent="0.15">
      <c r="A65" s="186" t="s">
        <v>343</v>
      </c>
      <c r="B65" s="298">
        <v>0</v>
      </c>
      <c r="C65" s="298">
        <v>0</v>
      </c>
      <c r="D65" s="298">
        <v>0</v>
      </c>
      <c r="E65" s="298">
        <v>0</v>
      </c>
      <c r="F65" s="298">
        <v>0</v>
      </c>
      <c r="G65" s="298">
        <v>0</v>
      </c>
      <c r="H65" s="298">
        <v>0</v>
      </c>
      <c r="I65" s="298">
        <v>0</v>
      </c>
      <c r="J65" s="298">
        <v>0</v>
      </c>
      <c r="K65" s="298">
        <v>0</v>
      </c>
      <c r="L65" s="298">
        <v>0</v>
      </c>
      <c r="M65" s="298">
        <v>0</v>
      </c>
      <c r="N65" s="298">
        <v>0</v>
      </c>
      <c r="O65" s="298">
        <v>0</v>
      </c>
      <c r="P65" s="298">
        <v>0</v>
      </c>
      <c r="Q65" s="298">
        <v>0</v>
      </c>
      <c r="R65" s="296">
        <v>0.61703703703703694</v>
      </c>
      <c r="S65" s="296">
        <v>0.17777777777777776</v>
      </c>
      <c r="T65" s="296">
        <v>0.87777777777777777</v>
      </c>
      <c r="U65" s="296">
        <v>0</v>
      </c>
      <c r="V65" s="296">
        <v>0</v>
      </c>
      <c r="W65" s="296">
        <v>0</v>
      </c>
      <c r="X65" s="296">
        <v>0</v>
      </c>
      <c r="Y65" s="296">
        <v>0.8037037037037037</v>
      </c>
      <c r="Z65" s="296">
        <v>4.8148148148148148E-2</v>
      </c>
      <c r="AA65" s="296">
        <v>0.41481481481481475</v>
      </c>
      <c r="AB65" s="296">
        <v>6.8518518518518506E-2</v>
      </c>
      <c r="AC65" s="296">
        <v>0.13351851851851851</v>
      </c>
      <c r="AD65" s="296">
        <v>0.16071851851851851</v>
      </c>
      <c r="AE65" s="296">
        <v>0.14981481481481479</v>
      </c>
      <c r="AF65" s="185">
        <v>9.0581481481481471E-2</v>
      </c>
      <c r="AG65" s="185">
        <v>0.10288962962962962</v>
      </c>
      <c r="AH65" s="185">
        <v>8.4220740740740735E-2</v>
      </c>
      <c r="AI65" s="185">
        <v>1.6515207407407406</v>
      </c>
      <c r="AJ65" s="185">
        <v>2.4123333333333333E-2</v>
      </c>
      <c r="AK65" s="185">
        <v>2.423444444444444E-2</v>
      </c>
      <c r="AL65" s="185">
        <v>4.7938148148148146E-2</v>
      </c>
      <c r="AM65" s="185">
        <v>2.4259259259259258E-2</v>
      </c>
      <c r="AN65" s="185">
        <v>2.39437037037037E-2</v>
      </c>
      <c r="AO65" s="185">
        <v>4.2</v>
      </c>
      <c r="AP65" s="185">
        <v>2.5231853962962965</v>
      </c>
      <c r="AQ65" s="185">
        <v>2.3980619629629625</v>
      </c>
      <c r="AR65" s="185">
        <v>13.68925122222222</v>
      </c>
      <c r="AS65" s="185">
        <v>24.265596162962961</v>
      </c>
      <c r="AT65" s="185">
        <v>21.544463888888888</v>
      </c>
      <c r="AU65" s="185">
        <v>23</v>
      </c>
      <c r="AV65" s="185">
        <v>25.553622043522036</v>
      </c>
      <c r="AW65" s="298"/>
      <c r="AX65" s="304"/>
    </row>
    <row r="66" spans="1:50" ht="14.25" customHeight="1" x14ac:dyDescent="0.15">
      <c r="A66" s="186" t="s">
        <v>344</v>
      </c>
      <c r="B66" s="295" t="s">
        <v>297</v>
      </c>
      <c r="C66" s="295">
        <v>0</v>
      </c>
      <c r="D66" s="295">
        <v>0</v>
      </c>
      <c r="E66" s="295">
        <v>0</v>
      </c>
      <c r="F66" s="295">
        <v>0</v>
      </c>
      <c r="G66" s="295">
        <v>0</v>
      </c>
      <c r="H66" s="295">
        <v>0</v>
      </c>
      <c r="I66" s="295">
        <v>0</v>
      </c>
      <c r="J66" s="295">
        <v>0</v>
      </c>
      <c r="K66" s="295">
        <v>0</v>
      </c>
      <c r="L66" s="295">
        <v>0</v>
      </c>
      <c r="M66" s="295">
        <v>0</v>
      </c>
      <c r="N66" s="295">
        <v>0</v>
      </c>
      <c r="O66" s="295">
        <v>0</v>
      </c>
      <c r="P66" s="295">
        <v>0</v>
      </c>
      <c r="Q66" s="295" t="s">
        <v>297</v>
      </c>
      <c r="R66" s="295" t="s">
        <v>297</v>
      </c>
      <c r="S66" s="295" t="s">
        <v>297</v>
      </c>
      <c r="T66" s="295" t="s">
        <v>297</v>
      </c>
      <c r="U66" s="295" t="s">
        <v>297</v>
      </c>
      <c r="V66" s="295" t="s">
        <v>297</v>
      </c>
      <c r="W66" s="295" t="s">
        <v>297</v>
      </c>
      <c r="X66" s="295" t="s">
        <v>297</v>
      </c>
      <c r="Y66" s="295" t="s">
        <v>297</v>
      </c>
      <c r="Z66" s="295" t="s">
        <v>297</v>
      </c>
      <c r="AA66" s="295">
        <v>0</v>
      </c>
      <c r="AB66" s="295">
        <v>0</v>
      </c>
      <c r="AC66" s="295">
        <v>0</v>
      </c>
      <c r="AD66" s="295">
        <v>0</v>
      </c>
      <c r="AE66" s="295">
        <v>0</v>
      </c>
      <c r="AF66" s="183">
        <v>0</v>
      </c>
      <c r="AG66" s="183">
        <v>0</v>
      </c>
      <c r="AH66" s="183">
        <v>0</v>
      </c>
      <c r="AI66" s="183">
        <v>0</v>
      </c>
      <c r="AJ66" s="183">
        <v>0</v>
      </c>
      <c r="AK66" s="183">
        <v>0</v>
      </c>
      <c r="AL66" s="183">
        <v>0</v>
      </c>
      <c r="AM66" s="183">
        <v>0</v>
      </c>
      <c r="AN66" s="183">
        <v>0</v>
      </c>
      <c r="AO66" s="183">
        <v>0</v>
      </c>
      <c r="AP66" s="183">
        <v>0</v>
      </c>
      <c r="AQ66" s="183">
        <v>0</v>
      </c>
      <c r="AR66" s="183">
        <v>0</v>
      </c>
      <c r="AS66" s="183">
        <v>0</v>
      </c>
      <c r="AT66" s="183">
        <v>0</v>
      </c>
      <c r="AU66" s="183">
        <v>0</v>
      </c>
      <c r="AV66" s="183">
        <v>0</v>
      </c>
      <c r="AW66" s="295">
        <v>0</v>
      </c>
      <c r="AX66" s="304"/>
    </row>
    <row r="67" spans="1:50" ht="14.25" customHeight="1" x14ac:dyDescent="0.15">
      <c r="A67" s="186" t="s">
        <v>345</v>
      </c>
      <c r="B67" s="296" t="s">
        <v>297</v>
      </c>
      <c r="C67" s="296" t="s">
        <v>297</v>
      </c>
      <c r="D67" s="296">
        <v>10.222205211337</v>
      </c>
      <c r="E67" s="296">
        <v>16.6110834684225</v>
      </c>
      <c r="F67" s="296">
        <v>37.428571482040802</v>
      </c>
      <c r="G67" s="296">
        <v>23.571428605102</v>
      </c>
      <c r="H67" s="296">
        <v>74.000000105714307</v>
      </c>
      <c r="I67" s="296">
        <v>75.428571536326501</v>
      </c>
      <c r="J67" s="296">
        <v>119.28571445612199</v>
      </c>
      <c r="K67" s="296">
        <v>33.142857162585003</v>
      </c>
      <c r="L67" s="296">
        <v>70.14285714285711</v>
      </c>
      <c r="M67" s="296">
        <v>53.428571428571402</v>
      </c>
      <c r="N67" s="296">
        <v>73.428571428571402</v>
      </c>
      <c r="O67" s="296">
        <v>55</v>
      </c>
      <c r="P67" s="296">
        <v>189.18181818181802</v>
      </c>
      <c r="Q67" s="296">
        <v>246.5</v>
      </c>
      <c r="R67" s="296">
        <v>221</v>
      </c>
      <c r="S67" s="296">
        <v>318</v>
      </c>
      <c r="T67" s="296">
        <v>303</v>
      </c>
      <c r="U67" s="296">
        <v>48</v>
      </c>
      <c r="V67" s="296">
        <v>79</v>
      </c>
      <c r="W67" s="296">
        <v>52</v>
      </c>
      <c r="X67" s="296">
        <v>94.1</v>
      </c>
      <c r="Y67" s="296">
        <v>65</v>
      </c>
      <c r="Z67" s="296">
        <v>65.900000000000006</v>
      </c>
      <c r="AA67" s="296">
        <v>71</v>
      </c>
      <c r="AB67" s="296">
        <v>85.1</v>
      </c>
      <c r="AC67" s="296">
        <v>55.8</v>
      </c>
      <c r="AD67" s="296">
        <v>75.7</v>
      </c>
      <c r="AE67" s="296">
        <v>15.5</v>
      </c>
      <c r="AF67" s="185">
        <v>91.9</v>
      </c>
      <c r="AG67" s="185">
        <v>109.7</v>
      </c>
      <c r="AH67" s="185">
        <v>45.5</v>
      </c>
      <c r="AI67" s="185">
        <v>61.1</v>
      </c>
      <c r="AJ67" s="185">
        <v>79.400000000000006</v>
      </c>
      <c r="AK67" s="185">
        <v>168.6</v>
      </c>
      <c r="AL67" s="185">
        <v>96.7</v>
      </c>
      <c r="AM67" s="185">
        <v>57.9</v>
      </c>
      <c r="AN67" s="185">
        <v>63.2</v>
      </c>
      <c r="AO67" s="185">
        <v>67.099999999999994</v>
      </c>
      <c r="AP67" s="185">
        <v>153.30000000000001</v>
      </c>
      <c r="AQ67" s="185">
        <v>96.7</v>
      </c>
      <c r="AR67" s="185">
        <v>138.4</v>
      </c>
      <c r="AS67" s="185">
        <v>123.6</v>
      </c>
      <c r="AT67" s="185">
        <v>135.69999999999999</v>
      </c>
      <c r="AU67" s="185">
        <v>100.3</v>
      </c>
      <c r="AV67" s="185">
        <v>266.7</v>
      </c>
      <c r="AW67" s="296">
        <v>204.3</v>
      </c>
      <c r="AX67" s="304"/>
    </row>
    <row r="68" spans="1:50" ht="14.25" customHeight="1" x14ac:dyDescent="0.15">
      <c r="A68" s="186" t="s">
        <v>346</v>
      </c>
      <c r="B68" s="295" t="s">
        <v>297</v>
      </c>
      <c r="C68" s="295" t="s">
        <v>297</v>
      </c>
      <c r="D68" s="295" t="s">
        <v>297</v>
      </c>
      <c r="E68" s="295" t="s">
        <v>297</v>
      </c>
      <c r="F68" s="295" t="s">
        <v>297</v>
      </c>
      <c r="G68" s="295" t="s">
        <v>297</v>
      </c>
      <c r="H68" s="295">
        <v>4.32</v>
      </c>
      <c r="I68" s="295">
        <v>2</v>
      </c>
      <c r="J68" s="295">
        <v>1.6</v>
      </c>
      <c r="K68" s="295">
        <v>1.1200000000000001</v>
      </c>
      <c r="L68" s="295">
        <v>2</v>
      </c>
      <c r="M68" s="295">
        <v>0.82437682264563106</v>
      </c>
      <c r="N68" s="295" t="s">
        <v>297</v>
      </c>
      <c r="O68" s="295" t="s">
        <v>297</v>
      </c>
      <c r="P68" s="295" t="s">
        <v>297</v>
      </c>
      <c r="Q68" s="295" t="s">
        <v>297</v>
      </c>
      <c r="R68" s="295" t="s">
        <v>297</v>
      </c>
      <c r="S68" s="295" t="s">
        <v>297</v>
      </c>
      <c r="T68" s="295" t="s">
        <v>297</v>
      </c>
      <c r="U68" s="295" t="s">
        <v>297</v>
      </c>
      <c r="V68" s="295" t="s">
        <v>297</v>
      </c>
      <c r="W68" s="295" t="s">
        <v>297</v>
      </c>
      <c r="X68" s="295" t="s">
        <v>297</v>
      </c>
      <c r="Y68" s="295" t="s">
        <v>297</v>
      </c>
      <c r="Z68" s="295">
        <v>0</v>
      </c>
      <c r="AA68" s="295">
        <v>0</v>
      </c>
      <c r="AB68" s="295">
        <v>3.4</v>
      </c>
      <c r="AC68" s="295">
        <v>2.1</v>
      </c>
      <c r="AD68" s="295">
        <v>0</v>
      </c>
      <c r="AE68" s="295">
        <v>1.1000000000000001</v>
      </c>
      <c r="AF68" s="183">
        <v>1.4</v>
      </c>
      <c r="AG68" s="183">
        <v>2.2000000000000002</v>
      </c>
      <c r="AH68" s="183">
        <v>2.42</v>
      </c>
      <c r="AI68" s="183">
        <v>1.73</v>
      </c>
      <c r="AJ68" s="183">
        <v>3.2</v>
      </c>
      <c r="AK68" s="183">
        <v>0.1995976363278083</v>
      </c>
      <c r="AL68" s="183">
        <v>0.71737622222973485</v>
      </c>
      <c r="AM68" s="183">
        <v>0.86459604026244763</v>
      </c>
      <c r="AN68" s="183">
        <v>0.90885833861111287</v>
      </c>
      <c r="AO68" s="183">
        <v>1.6250580775751332E-2</v>
      </c>
      <c r="AP68" s="183">
        <v>2.0593841928770771</v>
      </c>
      <c r="AQ68" s="183">
        <v>-2.7035218483341361</v>
      </c>
      <c r="AR68" s="183">
        <v>0.34089926197880371</v>
      </c>
      <c r="AS68" s="183">
        <v>0.13560875315511972</v>
      </c>
      <c r="AT68" s="183">
        <v>0.47954404307323351</v>
      </c>
      <c r="AU68" s="183">
        <v>51.653032282954698</v>
      </c>
      <c r="AV68" s="183">
        <v>75.167286230630992</v>
      </c>
      <c r="AW68" s="295">
        <v>59.750668435020295</v>
      </c>
      <c r="AX68" s="304"/>
    </row>
    <row r="69" spans="1:50" ht="14.25" customHeight="1" x14ac:dyDescent="0.15">
      <c r="A69" s="186" t="s">
        <v>347</v>
      </c>
      <c r="B69" s="296" t="s">
        <v>297</v>
      </c>
      <c r="C69" s="296" t="s">
        <v>297</v>
      </c>
      <c r="D69" s="296" t="s">
        <v>297</v>
      </c>
      <c r="E69" s="296" t="s">
        <v>297</v>
      </c>
      <c r="F69" s="296" t="s">
        <v>297</v>
      </c>
      <c r="G69" s="296" t="s">
        <v>297</v>
      </c>
      <c r="H69" s="296" t="s">
        <v>297</v>
      </c>
      <c r="I69" s="296" t="s">
        <v>297</v>
      </c>
      <c r="J69" s="296" t="s">
        <v>297</v>
      </c>
      <c r="K69" s="296" t="s">
        <v>297</v>
      </c>
      <c r="L69" s="296" t="s">
        <v>297</v>
      </c>
      <c r="M69" s="296" t="s">
        <v>297</v>
      </c>
      <c r="N69" s="296">
        <v>0</v>
      </c>
      <c r="O69" s="296">
        <v>0</v>
      </c>
      <c r="P69" s="296" t="s">
        <v>297</v>
      </c>
      <c r="Q69" s="296" t="s">
        <v>297</v>
      </c>
      <c r="R69" s="296" t="s">
        <v>297</v>
      </c>
      <c r="S69" s="296" t="s">
        <v>297</v>
      </c>
      <c r="T69" s="296" t="s">
        <v>297</v>
      </c>
      <c r="U69" s="296" t="s">
        <v>297</v>
      </c>
      <c r="V69" s="296" t="s">
        <v>297</v>
      </c>
      <c r="W69" s="296" t="s">
        <v>297</v>
      </c>
      <c r="X69" s="296" t="s">
        <v>297</v>
      </c>
      <c r="Y69" s="296" t="s">
        <v>297</v>
      </c>
      <c r="Z69" s="296" t="s">
        <v>297</v>
      </c>
      <c r="AA69" s="296" t="s">
        <v>297</v>
      </c>
      <c r="AB69" s="296" t="s">
        <v>297</v>
      </c>
      <c r="AC69" s="296" t="s">
        <v>297</v>
      </c>
      <c r="AD69" s="296" t="s">
        <v>297</v>
      </c>
      <c r="AE69" s="296" t="s">
        <v>297</v>
      </c>
      <c r="AF69" s="185" t="s">
        <v>297</v>
      </c>
      <c r="AG69" s="185" t="s">
        <v>297</v>
      </c>
      <c r="AH69" s="185" t="s">
        <v>297</v>
      </c>
      <c r="AI69" s="185" t="s">
        <v>297</v>
      </c>
      <c r="AJ69" s="185" t="s">
        <v>297</v>
      </c>
      <c r="AK69" s="185" t="s">
        <v>297</v>
      </c>
      <c r="AL69" s="185" t="s">
        <v>297</v>
      </c>
      <c r="AM69" s="185" t="s">
        <v>297</v>
      </c>
      <c r="AN69" s="185" t="s">
        <v>297</v>
      </c>
      <c r="AO69" s="185" t="s">
        <v>297</v>
      </c>
      <c r="AP69" s="185" t="s">
        <v>297</v>
      </c>
      <c r="AQ69" s="185" t="s">
        <v>297</v>
      </c>
      <c r="AR69" s="185" t="s">
        <v>297</v>
      </c>
      <c r="AS69" s="185" t="s">
        <v>297</v>
      </c>
      <c r="AT69" s="185" t="s">
        <v>297</v>
      </c>
      <c r="AU69" s="185" t="s">
        <v>297</v>
      </c>
      <c r="AV69" s="185" t="s">
        <v>297</v>
      </c>
      <c r="AW69" s="296" t="s">
        <v>297</v>
      </c>
      <c r="AX69" s="304"/>
    </row>
    <row r="70" spans="1:50" ht="14.25" customHeight="1" x14ac:dyDescent="0.15">
      <c r="A70" s="186" t="s">
        <v>348</v>
      </c>
      <c r="B70" s="295" t="s">
        <v>297</v>
      </c>
      <c r="C70" s="295" t="s">
        <v>297</v>
      </c>
      <c r="D70" s="295" t="s">
        <v>297</v>
      </c>
      <c r="E70" s="295" t="s">
        <v>297</v>
      </c>
      <c r="F70" s="295" t="s">
        <v>297</v>
      </c>
      <c r="G70" s="295" t="s">
        <v>297</v>
      </c>
      <c r="H70" s="295" t="s">
        <v>297</v>
      </c>
      <c r="I70" s="295" t="s">
        <v>297</v>
      </c>
      <c r="J70" s="295" t="s">
        <v>297</v>
      </c>
      <c r="K70" s="295" t="s">
        <v>297</v>
      </c>
      <c r="L70" s="295" t="s">
        <v>297</v>
      </c>
      <c r="M70" s="295" t="s">
        <v>297</v>
      </c>
      <c r="N70" s="295" t="s">
        <v>297</v>
      </c>
      <c r="O70" s="295" t="s">
        <v>297</v>
      </c>
      <c r="P70" s="295" t="s">
        <v>297</v>
      </c>
      <c r="Q70" s="295" t="s">
        <v>297</v>
      </c>
      <c r="R70" s="295" t="s">
        <v>297</v>
      </c>
      <c r="S70" s="295" t="s">
        <v>297</v>
      </c>
      <c r="T70" s="295" t="s">
        <v>297</v>
      </c>
      <c r="U70" s="295" t="s">
        <v>297</v>
      </c>
      <c r="V70" s="295" t="s">
        <v>297</v>
      </c>
      <c r="W70" s="295" t="s">
        <v>297</v>
      </c>
      <c r="X70" s="295" t="s">
        <v>297</v>
      </c>
      <c r="Y70" s="295" t="s">
        <v>297</v>
      </c>
      <c r="Z70" s="295" t="s">
        <v>297</v>
      </c>
      <c r="AA70" s="295">
        <v>0.10312499999999999</v>
      </c>
      <c r="AB70" s="295" t="s">
        <v>297</v>
      </c>
      <c r="AC70" s="295" t="s">
        <v>297</v>
      </c>
      <c r="AD70" s="295" t="s">
        <v>297</v>
      </c>
      <c r="AE70" s="295" t="s">
        <v>297</v>
      </c>
      <c r="AF70" s="183" t="s">
        <v>297</v>
      </c>
      <c r="AG70" s="183" t="s">
        <v>297</v>
      </c>
      <c r="AH70" s="183" t="s">
        <v>297</v>
      </c>
      <c r="AI70" s="183" t="s">
        <v>297</v>
      </c>
      <c r="AJ70" s="183" t="s">
        <v>297</v>
      </c>
      <c r="AK70" s="183" t="s">
        <v>297</v>
      </c>
      <c r="AL70" s="183" t="s">
        <v>297</v>
      </c>
      <c r="AM70" s="183" t="s">
        <v>297</v>
      </c>
      <c r="AN70" s="183" t="s">
        <v>297</v>
      </c>
      <c r="AO70" s="183" t="s">
        <v>297</v>
      </c>
      <c r="AP70" s="183" t="s">
        <v>297</v>
      </c>
      <c r="AQ70" s="183" t="s">
        <v>297</v>
      </c>
      <c r="AR70" s="183" t="s">
        <v>297</v>
      </c>
      <c r="AS70" s="183" t="s">
        <v>297</v>
      </c>
      <c r="AT70" s="183" t="s">
        <v>297</v>
      </c>
      <c r="AU70" s="183" t="s">
        <v>297</v>
      </c>
      <c r="AV70" s="183" t="s">
        <v>297</v>
      </c>
      <c r="AW70" s="295" t="s">
        <v>297</v>
      </c>
      <c r="AX70" s="304"/>
    </row>
    <row r="71" spans="1:50" ht="14.25" customHeight="1" x14ac:dyDescent="0.15">
      <c r="A71" s="186" t="s">
        <v>191</v>
      </c>
      <c r="B71" s="296" t="s">
        <v>297</v>
      </c>
      <c r="C71" s="296" t="s">
        <v>297</v>
      </c>
      <c r="D71" s="296" t="s">
        <v>297</v>
      </c>
      <c r="E71" s="296" t="s">
        <v>297</v>
      </c>
      <c r="F71" s="296" t="s">
        <v>297</v>
      </c>
      <c r="G71" s="296" t="s">
        <v>297</v>
      </c>
      <c r="H71" s="296" t="s">
        <v>297</v>
      </c>
      <c r="I71" s="296" t="s">
        <v>297</v>
      </c>
      <c r="J71" s="296" t="s">
        <v>297</v>
      </c>
      <c r="K71" s="296" t="s">
        <v>297</v>
      </c>
      <c r="L71" s="296" t="s">
        <v>297</v>
      </c>
      <c r="M71" s="296" t="s">
        <v>297</v>
      </c>
      <c r="N71" s="296" t="s">
        <v>297</v>
      </c>
      <c r="O71" s="296" t="s">
        <v>297</v>
      </c>
      <c r="P71" s="296" t="s">
        <v>297</v>
      </c>
      <c r="Q71" s="296" t="s">
        <v>297</v>
      </c>
      <c r="R71" s="296" t="s">
        <v>297</v>
      </c>
      <c r="S71" s="296">
        <v>0.16332605460928401</v>
      </c>
      <c r="T71" s="296">
        <v>0.28281695882592672</v>
      </c>
      <c r="U71" s="296">
        <v>7.5184201293168069E-3</v>
      </c>
      <c r="V71" s="296">
        <v>0.44021528851698016</v>
      </c>
      <c r="W71" s="296">
        <v>12.542668153668801</v>
      </c>
      <c r="X71" s="296">
        <v>7.5254979460073876</v>
      </c>
      <c r="Y71" s="296">
        <v>1.3669488096216409</v>
      </c>
      <c r="Z71" s="296">
        <v>9.8113257774669655</v>
      </c>
      <c r="AA71" s="296">
        <v>5.2312698270299718</v>
      </c>
      <c r="AB71" s="296">
        <v>19.968924286591612</v>
      </c>
      <c r="AC71" s="296">
        <v>45.326679451329795</v>
      </c>
      <c r="AD71" s="296">
        <v>84</v>
      </c>
      <c r="AE71" s="296">
        <v>138.78000368326232</v>
      </c>
      <c r="AF71" s="185">
        <v>295.14951917342262</v>
      </c>
      <c r="AG71" s="185">
        <v>428.01948446661976</v>
      </c>
      <c r="AH71" s="185">
        <v>742.10267512212317</v>
      </c>
      <c r="AI71" s="185">
        <v>711.76957720170378</v>
      </c>
      <c r="AJ71" s="185">
        <v>276.52475680612093</v>
      </c>
      <c r="AK71" s="185">
        <v>342.36974938051799</v>
      </c>
      <c r="AL71" s="185">
        <v>483.2177892293322</v>
      </c>
      <c r="AM71" s="185">
        <v>385.46083007797597</v>
      </c>
      <c r="AN71" s="185">
        <v>572.08357487239846</v>
      </c>
      <c r="AO71" s="185">
        <v>518.48871242148732</v>
      </c>
      <c r="AP71" s="185">
        <v>310.79818116462025</v>
      </c>
      <c r="AQ71" s="185">
        <v>440.24380098713044</v>
      </c>
      <c r="AR71" s="185">
        <v>430.15533839982885</v>
      </c>
      <c r="AS71" s="185">
        <v>622.86229929423075</v>
      </c>
      <c r="AT71" s="185">
        <v>620.90075954303938</v>
      </c>
      <c r="AU71" s="185">
        <v>527.95344011040936</v>
      </c>
      <c r="AV71" s="185">
        <v>942.82858474531054</v>
      </c>
      <c r="AW71" s="296">
        <v>644.93143766762921</v>
      </c>
      <c r="AX71" s="304"/>
    </row>
    <row r="72" spans="1:50" ht="14.25" customHeight="1" x14ac:dyDescent="0.15">
      <c r="A72" s="186" t="s">
        <v>349</v>
      </c>
      <c r="B72" s="295">
        <v>0</v>
      </c>
      <c r="C72" s="295">
        <v>0</v>
      </c>
      <c r="D72" s="295">
        <v>0</v>
      </c>
      <c r="E72" s="295">
        <v>0</v>
      </c>
      <c r="F72" s="295">
        <v>0</v>
      </c>
      <c r="G72" s="295">
        <v>2.6963392820458929</v>
      </c>
      <c r="H72" s="295">
        <v>17.662228712194089</v>
      </c>
      <c r="I72" s="295">
        <v>5.8941855561511574</v>
      </c>
      <c r="J72" s="295">
        <v>1.0771025942637786</v>
      </c>
      <c r="K72" s="295">
        <v>2.1012995863661752</v>
      </c>
      <c r="L72" s="295">
        <v>3.7690556057741045</v>
      </c>
      <c r="M72" s="295">
        <v>4.5513592449723133</v>
      </c>
      <c r="N72" s="295">
        <v>4.9115109444835623</v>
      </c>
      <c r="O72" s="295">
        <v>8.4012637084101698</v>
      </c>
      <c r="P72" s="295">
        <v>4.4610898595042654</v>
      </c>
      <c r="Q72" s="295">
        <v>8.6576043107654925</v>
      </c>
      <c r="R72" s="295">
        <v>13.037266664614505</v>
      </c>
      <c r="S72" s="295">
        <v>35.133065316120117</v>
      </c>
      <c r="T72" s="295">
        <v>23.260407245075172</v>
      </c>
      <c r="U72" s="295">
        <v>9.1776544148053176</v>
      </c>
      <c r="V72" s="295">
        <v>4.9100034876491723</v>
      </c>
      <c r="W72" s="295">
        <v>7.69674634862369</v>
      </c>
      <c r="X72" s="295">
        <v>1.4609496534440201</v>
      </c>
      <c r="Y72" s="295">
        <v>1.3117994266153399</v>
      </c>
      <c r="Z72" s="295">
        <v>1.7474470362405108</v>
      </c>
      <c r="AA72" s="295">
        <v>1.4364908642072567</v>
      </c>
      <c r="AB72" s="295">
        <v>1.1579498901221443</v>
      </c>
      <c r="AC72" s="295">
        <v>3.380880038858717</v>
      </c>
      <c r="AD72" s="295">
        <v>6.782247351448861</v>
      </c>
      <c r="AE72" s="295">
        <v>1.1974254192440275</v>
      </c>
      <c r="AF72" s="183">
        <v>1.5855448046531129</v>
      </c>
      <c r="AG72" s="183">
        <v>1.6638733209621275</v>
      </c>
      <c r="AH72" s="183">
        <v>6.0005407810667011</v>
      </c>
      <c r="AI72" s="183">
        <v>1.0879502511129309</v>
      </c>
      <c r="AJ72" s="183">
        <v>30.595564469235683</v>
      </c>
      <c r="AK72" s="183">
        <v>80.724229252425857</v>
      </c>
      <c r="AL72" s="183">
        <v>0.2</v>
      </c>
      <c r="AM72" s="183">
        <v>1.0149855649973374</v>
      </c>
      <c r="AN72" s="183">
        <v>0.9094814781816245</v>
      </c>
      <c r="AO72" s="183">
        <v>1.1815594386166641</v>
      </c>
      <c r="AP72" s="183">
        <v>10.974752402443016</v>
      </c>
      <c r="AQ72" s="183">
        <v>2.9246257862505414</v>
      </c>
      <c r="AR72" s="183">
        <v>10.239130587686798</v>
      </c>
      <c r="AS72" s="183">
        <v>4.1683882043002018</v>
      </c>
      <c r="AT72" s="183">
        <v>2.8491903550825337</v>
      </c>
      <c r="AU72" s="183">
        <v>2.714657348419685</v>
      </c>
      <c r="AV72" s="183">
        <v>5.7651621027594135</v>
      </c>
      <c r="AW72" s="295">
        <v>9.7407990953804635</v>
      </c>
      <c r="AX72" s="304"/>
    </row>
    <row r="73" spans="1:50" ht="14.25" customHeight="1" x14ac:dyDescent="0.15">
      <c r="A73" s="186" t="s">
        <v>350</v>
      </c>
      <c r="B73" s="296" t="s">
        <v>297</v>
      </c>
      <c r="C73" s="296" t="s">
        <v>297</v>
      </c>
      <c r="D73" s="296">
        <v>0</v>
      </c>
      <c r="E73" s="296">
        <v>0</v>
      </c>
      <c r="F73" s="296">
        <v>0</v>
      </c>
      <c r="G73" s="296">
        <v>0</v>
      </c>
      <c r="H73" s="296">
        <v>0</v>
      </c>
      <c r="I73" s="296">
        <v>0</v>
      </c>
      <c r="J73" s="296">
        <v>0</v>
      </c>
      <c r="K73" s="296">
        <v>0</v>
      </c>
      <c r="L73" s="296">
        <v>0</v>
      </c>
      <c r="M73" s="296">
        <v>0</v>
      </c>
      <c r="N73" s="296">
        <v>0</v>
      </c>
      <c r="O73" s="296">
        <v>0</v>
      </c>
      <c r="P73" s="296">
        <v>0</v>
      </c>
      <c r="Q73" s="296">
        <v>0</v>
      </c>
      <c r="R73" s="296">
        <v>0</v>
      </c>
      <c r="S73" s="296">
        <v>0</v>
      </c>
      <c r="T73" s="296">
        <v>0</v>
      </c>
      <c r="U73" s="296">
        <v>0</v>
      </c>
      <c r="V73" s="296" t="s">
        <v>297</v>
      </c>
      <c r="W73" s="296" t="s">
        <v>297</v>
      </c>
      <c r="X73" s="296" t="s">
        <v>297</v>
      </c>
      <c r="Y73" s="296" t="s">
        <v>297</v>
      </c>
      <c r="Z73" s="296">
        <v>1.0960802235734322</v>
      </c>
      <c r="AA73" s="296">
        <v>0</v>
      </c>
      <c r="AB73" s="296">
        <v>3.539763851439507E-2</v>
      </c>
      <c r="AC73" s="296">
        <v>5.4404945153259707E-2</v>
      </c>
      <c r="AD73" s="296">
        <v>0</v>
      </c>
      <c r="AE73" s="296">
        <v>0.6251770539282222</v>
      </c>
      <c r="AF73" s="185">
        <v>6.3381580160413023E-2</v>
      </c>
      <c r="AG73" s="185">
        <v>6.842285204075764E-2</v>
      </c>
      <c r="AH73" s="185">
        <v>0.35640328806607707</v>
      </c>
      <c r="AI73" s="185">
        <v>7.660270455855106E-2</v>
      </c>
      <c r="AJ73" s="185">
        <v>9.8217147253332165E-2</v>
      </c>
      <c r="AK73" s="185" t="s">
        <v>297</v>
      </c>
      <c r="AL73" s="185" t="s">
        <v>297</v>
      </c>
      <c r="AM73" s="185" t="s">
        <v>297</v>
      </c>
      <c r="AN73" s="185" t="s">
        <v>297</v>
      </c>
      <c r="AO73" s="185">
        <v>4.1478998689769876E-2</v>
      </c>
      <c r="AP73" s="185" t="s">
        <v>297</v>
      </c>
      <c r="AQ73" s="185">
        <v>9.9689821622032625E-3</v>
      </c>
      <c r="AR73" s="185">
        <v>0.43441827847318859</v>
      </c>
      <c r="AS73" s="185">
        <v>2.4302190822781156</v>
      </c>
      <c r="AT73" s="185">
        <v>7.8261680083104577E-4</v>
      </c>
      <c r="AU73" s="185" t="s">
        <v>297</v>
      </c>
      <c r="AV73" s="185" t="s">
        <v>297</v>
      </c>
      <c r="AW73" s="296">
        <v>-0.30698475159751537</v>
      </c>
      <c r="AX73" s="304"/>
    </row>
    <row r="74" spans="1:50" ht="14.25" customHeight="1" x14ac:dyDescent="0.15">
      <c r="A74" s="186" t="s">
        <v>351</v>
      </c>
      <c r="B74" s="295">
        <v>0</v>
      </c>
      <c r="C74" s="295">
        <v>0</v>
      </c>
      <c r="D74" s="295">
        <v>0</v>
      </c>
      <c r="E74" s="295">
        <v>0</v>
      </c>
      <c r="F74" s="295">
        <v>0</v>
      </c>
      <c r="G74" s="295">
        <v>0</v>
      </c>
      <c r="H74" s="295">
        <v>0</v>
      </c>
      <c r="I74" s="295">
        <v>0</v>
      </c>
      <c r="J74" s="295">
        <v>0</v>
      </c>
      <c r="K74" s="295">
        <v>0</v>
      </c>
      <c r="L74" s="295">
        <v>0</v>
      </c>
      <c r="M74" s="295">
        <v>0</v>
      </c>
      <c r="N74" s="295">
        <v>0</v>
      </c>
      <c r="O74" s="295">
        <v>0</v>
      </c>
      <c r="P74" s="295">
        <v>0</v>
      </c>
      <c r="Q74" s="295">
        <v>0</v>
      </c>
      <c r="R74" s="295">
        <v>0</v>
      </c>
      <c r="S74" s="295">
        <v>0</v>
      </c>
      <c r="T74" s="295">
        <v>0</v>
      </c>
      <c r="U74" s="295">
        <v>0</v>
      </c>
      <c r="V74" s="295">
        <v>0</v>
      </c>
      <c r="W74" s="295">
        <v>0</v>
      </c>
      <c r="X74" s="295">
        <v>0</v>
      </c>
      <c r="Y74" s="295">
        <v>0</v>
      </c>
      <c r="Z74" s="295">
        <v>39638.962131437722</v>
      </c>
      <c r="AA74" s="295">
        <v>52278.404685548441</v>
      </c>
      <c r="AB74" s="295">
        <v>42797.878824864187</v>
      </c>
      <c r="AC74" s="295">
        <v>57437.183523451597</v>
      </c>
      <c r="AD74" s="295">
        <v>79919.255605092767</v>
      </c>
      <c r="AE74" s="295">
        <v>134845.68447990331</v>
      </c>
      <c r="AF74" s="183">
        <v>183430.57134442311</v>
      </c>
      <c r="AG74" s="183">
        <v>234872.36418524798</v>
      </c>
      <c r="AH74" s="183">
        <v>293411.34024798428</v>
      </c>
      <c r="AI74" s="183">
        <v>197868.1</v>
      </c>
      <c r="AJ74" s="183">
        <v>245394.31497349543</v>
      </c>
      <c r="AK74" s="183">
        <v>342414.21780923399</v>
      </c>
      <c r="AL74" s="183">
        <v>398882.20872120274</v>
      </c>
      <c r="AM74" s="183">
        <v>357924.31061251013</v>
      </c>
      <c r="AN74" s="183">
        <v>391867.55666249851</v>
      </c>
      <c r="AO74" s="183">
        <v>431772.13830827858</v>
      </c>
      <c r="AP74" s="183">
        <v>356413.26689057349</v>
      </c>
      <c r="AQ74" s="183">
        <v>391069.04653963196</v>
      </c>
      <c r="AR74" s="183">
        <v>423816.56125470926</v>
      </c>
      <c r="AS74" s="183">
        <v>514395.56382739951</v>
      </c>
      <c r="AT74" s="183">
        <v>451016.55115648842</v>
      </c>
      <c r="AU74" s="183">
        <v>335709.10324200976</v>
      </c>
      <c r="AV74" s="183">
        <v>467342.92514494871</v>
      </c>
      <c r="AW74" s="295"/>
      <c r="AX74" s="304"/>
    </row>
    <row r="75" spans="1:50" ht="14.25" customHeight="1" x14ac:dyDescent="0.15">
      <c r="A75" s="186" t="s">
        <v>352</v>
      </c>
      <c r="B75" s="296" t="s">
        <v>297</v>
      </c>
      <c r="C75" s="296" t="s">
        <v>297</v>
      </c>
      <c r="D75" s="296" t="s">
        <v>297</v>
      </c>
      <c r="E75" s="296" t="s">
        <v>297</v>
      </c>
      <c r="F75" s="296" t="s">
        <v>297</v>
      </c>
      <c r="G75" s="296" t="s">
        <v>297</v>
      </c>
      <c r="H75" s="296" t="s">
        <v>297</v>
      </c>
      <c r="I75" s="296" t="s">
        <v>297</v>
      </c>
      <c r="J75" s="296" t="s">
        <v>297</v>
      </c>
      <c r="K75" s="296" t="s">
        <v>297</v>
      </c>
      <c r="L75" s="296" t="s">
        <v>297</v>
      </c>
      <c r="M75" s="296" t="s">
        <v>297</v>
      </c>
      <c r="N75" s="296" t="s">
        <v>297</v>
      </c>
      <c r="O75" s="296" t="s">
        <v>297</v>
      </c>
      <c r="P75" s="296" t="s">
        <v>297</v>
      </c>
      <c r="Q75" s="296" t="s">
        <v>297</v>
      </c>
      <c r="R75" s="296" t="s">
        <v>297</v>
      </c>
      <c r="S75" s="296" t="s">
        <v>297</v>
      </c>
      <c r="T75" s="296" t="s">
        <v>297</v>
      </c>
      <c r="U75" s="296" t="s">
        <v>297</v>
      </c>
      <c r="V75" s="296" t="s">
        <v>297</v>
      </c>
      <c r="W75" s="296" t="s">
        <v>297</v>
      </c>
      <c r="X75" s="296" t="s">
        <v>297</v>
      </c>
      <c r="Y75" s="296" t="s">
        <v>297</v>
      </c>
      <c r="Z75" s="296" t="s">
        <v>297</v>
      </c>
      <c r="AA75" s="296" t="s">
        <v>297</v>
      </c>
      <c r="AB75" s="296" t="s">
        <v>297</v>
      </c>
      <c r="AC75" s="296" t="s">
        <v>297</v>
      </c>
      <c r="AD75" s="296" t="s">
        <v>297</v>
      </c>
      <c r="AE75" s="296">
        <v>3.9706344611704498</v>
      </c>
      <c r="AF75" s="185">
        <v>4.7122703192144</v>
      </c>
      <c r="AG75" s="185">
        <v>19.585257675945801</v>
      </c>
      <c r="AH75" s="185">
        <v>7.2678474224304699</v>
      </c>
      <c r="AI75" s="185">
        <v>-53.495632459447798</v>
      </c>
      <c r="AJ75" s="185">
        <v>-38.988312619203903</v>
      </c>
      <c r="AK75" s="185">
        <v>-0.34731825233482805</v>
      </c>
      <c r="AL75" s="185">
        <v>-9.03858346324553</v>
      </c>
      <c r="AM75" s="185" t="s">
        <v>297</v>
      </c>
      <c r="AN75" s="185" t="s">
        <v>297</v>
      </c>
      <c r="AO75" s="185" t="s">
        <v>297</v>
      </c>
      <c r="AP75" s="185" t="s">
        <v>297</v>
      </c>
      <c r="AQ75" s="185" t="s">
        <v>297</v>
      </c>
      <c r="AR75" s="185" t="s">
        <v>297</v>
      </c>
      <c r="AS75" s="185" t="s">
        <v>297</v>
      </c>
      <c r="AT75" s="185" t="s">
        <v>297</v>
      </c>
      <c r="AU75" s="185" t="s">
        <v>297</v>
      </c>
      <c r="AV75" s="185" t="s">
        <v>297</v>
      </c>
      <c r="AW75" s="296" t="s">
        <v>297</v>
      </c>
      <c r="AX75" s="304"/>
    </row>
    <row r="76" spans="1:50" ht="14.25" customHeight="1" x14ac:dyDescent="0.15">
      <c r="A76" s="186" t="s">
        <v>353</v>
      </c>
      <c r="B76" s="295" t="s">
        <v>297</v>
      </c>
      <c r="C76" s="295" t="s">
        <v>297</v>
      </c>
      <c r="D76" s="295" t="s">
        <v>297</v>
      </c>
      <c r="E76" s="295" t="s">
        <v>297</v>
      </c>
      <c r="F76" s="295">
        <v>1.579432441218559</v>
      </c>
      <c r="G76" s="295">
        <v>3.1052686095307305</v>
      </c>
      <c r="H76" s="295">
        <v>1.205204730688175</v>
      </c>
      <c r="I76" s="295">
        <v>1.0509961953769709</v>
      </c>
      <c r="J76" s="295">
        <v>1.6813823142323814</v>
      </c>
      <c r="K76" s="295">
        <v>1.0714978498841157</v>
      </c>
      <c r="L76" s="295">
        <v>0.86688603730748304</v>
      </c>
      <c r="M76" s="295">
        <v>0.70617364962357088</v>
      </c>
      <c r="N76" s="295">
        <v>0.80395007470036328</v>
      </c>
      <c r="O76" s="295">
        <v>9.2990194079158393</v>
      </c>
      <c r="P76" s="295">
        <v>14.426966292134862</v>
      </c>
      <c r="Q76" s="295">
        <v>10.331496997901086</v>
      </c>
      <c r="R76" s="295">
        <v>8.0647484086523225</v>
      </c>
      <c r="S76" s="295">
        <v>6.7199345305388469</v>
      </c>
      <c r="T76" s="295">
        <v>0.45402214979487932</v>
      </c>
      <c r="U76" s="295">
        <v>1.0928028686075302</v>
      </c>
      <c r="V76" s="295">
        <v>4.8352690210950566</v>
      </c>
      <c r="W76" s="295">
        <v>5.558326801111666</v>
      </c>
      <c r="X76" s="295">
        <v>5.0565397336658187</v>
      </c>
      <c r="Y76" s="295">
        <v>5.385499416990319</v>
      </c>
      <c r="Z76" s="295">
        <v>6.6510122485244656</v>
      </c>
      <c r="AA76" s="295">
        <v>2.5455225376123987</v>
      </c>
      <c r="AB76" s="295">
        <v>2.7333743890479019</v>
      </c>
      <c r="AC76" s="295">
        <v>1.8147988203743799</v>
      </c>
      <c r="AD76" s="295">
        <v>3.9032239307274277</v>
      </c>
      <c r="AE76" s="295">
        <v>3.6375986128747568</v>
      </c>
      <c r="AF76" s="183">
        <v>5.8</v>
      </c>
      <c r="AG76" s="183">
        <v>1.0394396752932886</v>
      </c>
      <c r="AH76" s="183">
        <v>1.2291454716024994</v>
      </c>
      <c r="AI76" s="183">
        <v>1.2190654132215271</v>
      </c>
      <c r="AJ76" s="183">
        <v>2.9880441651761882</v>
      </c>
      <c r="AK76" s="183">
        <v>5.6168897107632159</v>
      </c>
      <c r="AL76" s="183">
        <v>1.5029693950530454</v>
      </c>
      <c r="AM76" s="183">
        <v>1.3984174046577327</v>
      </c>
      <c r="AN76" s="183">
        <v>3.8968458686138678</v>
      </c>
      <c r="AO76" s="183">
        <v>0</v>
      </c>
      <c r="AP76" s="183">
        <v>0</v>
      </c>
      <c r="AQ76" s="183">
        <v>0</v>
      </c>
      <c r="AR76" s="183">
        <v>0</v>
      </c>
      <c r="AS76" s="183">
        <v>0</v>
      </c>
      <c r="AT76" s="183">
        <v>0</v>
      </c>
      <c r="AU76" s="183">
        <v>0</v>
      </c>
      <c r="AV76" s="183">
        <v>0</v>
      </c>
      <c r="AW76" s="295">
        <v>0</v>
      </c>
      <c r="AX76" s="304"/>
    </row>
    <row r="77" spans="1:50" ht="14.25" customHeight="1" x14ac:dyDescent="0.15">
      <c r="A77" s="186" t="s">
        <v>192</v>
      </c>
      <c r="B77" s="296">
        <v>4.1904841524462961</v>
      </c>
      <c r="C77" s="296">
        <v>3.6330104567545729</v>
      </c>
      <c r="D77" s="296">
        <v>2.9674756958301902</v>
      </c>
      <c r="E77" s="296">
        <v>10.607292971092109</v>
      </c>
      <c r="F77" s="296">
        <v>6.3690995984716734</v>
      </c>
      <c r="G77" s="296">
        <v>4.0070519197596983</v>
      </c>
      <c r="H77" s="296">
        <v>-7.4652075378271059</v>
      </c>
      <c r="I77" s="296">
        <v>-142.57375186435152</v>
      </c>
      <c r="J77" s="296">
        <v>-118.73639616313541</v>
      </c>
      <c r="K77" s="296">
        <v>82.670621013308178</v>
      </c>
      <c r="L77" s="296">
        <v>23.516372235138931</v>
      </c>
      <c r="M77" s="296">
        <v>88.260267545135136</v>
      </c>
      <c r="N77" s="296">
        <v>283.89234718601989</v>
      </c>
      <c r="O77" s="296">
        <v>431.81768865673934</v>
      </c>
      <c r="P77" s="296">
        <v>53.451913411628411</v>
      </c>
      <c r="Q77" s="296">
        <v>-339.8352850756217</v>
      </c>
      <c r="R77" s="296">
        <v>-556.89724288865011</v>
      </c>
      <c r="S77" s="296">
        <v>-879.00236390676025</v>
      </c>
      <c r="T77" s="296">
        <v>-890.210511928953</v>
      </c>
      <c r="U77" s="296">
        <v>443.81003959151548</v>
      </c>
      <c r="V77" s="296">
        <v>737.22194605358868</v>
      </c>
      <c r="W77" s="296">
        <v>910.20692047189493</v>
      </c>
      <c r="X77" s="296">
        <v>1815.1141957518844</v>
      </c>
      <c r="Y77" s="296">
        <v>1739.4296635365765</v>
      </c>
      <c r="Z77" s="296">
        <v>2882.0783095238467</v>
      </c>
      <c r="AA77" s="296">
        <v>3244.39501295528</v>
      </c>
      <c r="AB77" s="296">
        <v>3996.5510253437023</v>
      </c>
      <c r="AC77" s="296">
        <v>3854.5410759273759</v>
      </c>
      <c r="AD77" s="296">
        <v>4163.8294968282944</v>
      </c>
      <c r="AE77" s="296">
        <v>5886.4690725671026</v>
      </c>
      <c r="AF77" s="185">
        <v>6454.4</v>
      </c>
      <c r="AG77" s="185">
        <v>8757.0293745280487</v>
      </c>
      <c r="AH77" s="185">
        <v>10821.102287862803</v>
      </c>
      <c r="AI77" s="185">
        <v>9754.5236254174652</v>
      </c>
      <c r="AJ77" s="185">
        <v>7977.0741325757535</v>
      </c>
      <c r="AK77" s="185">
        <v>10516.698633431421</v>
      </c>
      <c r="AL77" s="185">
        <v>10270.781035563787</v>
      </c>
      <c r="AM77" s="185" t="s">
        <v>297</v>
      </c>
      <c r="AN77" s="185">
        <v>7425.3629152967624</v>
      </c>
      <c r="AO77" s="185">
        <v>10348.188748957606</v>
      </c>
      <c r="AP77" s="185">
        <v>6940.1816009217155</v>
      </c>
      <c r="AQ77" s="185">
        <v>7454.7417404720836</v>
      </c>
      <c r="AR77" s="185">
        <v>8459.5320263665017</v>
      </c>
      <c r="AS77" s="185">
        <v>9804.5772933791231</v>
      </c>
      <c r="AT77" s="185">
        <v>13269.855064637288</v>
      </c>
      <c r="AU77" s="185">
        <v>12469.426222635302</v>
      </c>
      <c r="AV77" s="185">
        <v>16209.278408730141</v>
      </c>
      <c r="AW77" s="296">
        <v>13202.650689123415</v>
      </c>
      <c r="AX77" s="304"/>
    </row>
    <row r="78" spans="1:50" ht="14.25" customHeight="1" x14ac:dyDescent="0.15">
      <c r="A78" s="186" t="s">
        <v>71</v>
      </c>
      <c r="B78" s="295">
        <v>264.13675146590282</v>
      </c>
      <c r="C78" s="295">
        <v>249.71441537500888</v>
      </c>
      <c r="D78" s="295">
        <v>205.71101359375956</v>
      </c>
      <c r="E78" s="295">
        <v>210.58131904430581</v>
      </c>
      <c r="F78" s="295">
        <v>241.98273496414546</v>
      </c>
      <c r="G78" s="295">
        <v>591.496704631537</v>
      </c>
      <c r="H78" s="295">
        <v>458.93801875309777</v>
      </c>
      <c r="I78" s="295">
        <v>726.59671168789862</v>
      </c>
      <c r="J78" s="295">
        <v>531.19103528302844</v>
      </c>
      <c r="K78" s="295">
        <v>444.17910554399418</v>
      </c>
      <c r="L78" s="295">
        <v>573.82817194898394</v>
      </c>
      <c r="M78" s="295">
        <v>687.64643770118926</v>
      </c>
      <c r="N78" s="295">
        <v>701.52091505482247</v>
      </c>
      <c r="O78" s="295">
        <v>338.71738198012287</v>
      </c>
      <c r="P78" s="295">
        <v>882.58902095849169</v>
      </c>
      <c r="Q78" s="295">
        <v>2266.584893484126</v>
      </c>
      <c r="R78" s="295">
        <v>2553.6831018206085</v>
      </c>
      <c r="S78" s="295">
        <v>3842.3164244190516</v>
      </c>
      <c r="T78" s="295">
        <v>4334.9253290623883</v>
      </c>
      <c r="U78" s="295">
        <v>6298.9284532713564</v>
      </c>
      <c r="V78" s="295">
        <v>2227.9787796729993</v>
      </c>
      <c r="W78" s="295">
        <v>7677.2878215392147</v>
      </c>
      <c r="X78" s="295">
        <v>1872.6526780737368</v>
      </c>
      <c r="Y78" s="295">
        <v>2161.9987142048712</v>
      </c>
      <c r="Z78" s="295">
        <v>20936.2</v>
      </c>
      <c r="AA78" s="295">
        <v>15052.61450311531</v>
      </c>
      <c r="AB78" s="295">
        <v>14782.809307408659</v>
      </c>
      <c r="AC78" s="295">
        <v>5726.6391734539966</v>
      </c>
      <c r="AD78" s="295">
        <v>19125.579929857344</v>
      </c>
      <c r="AE78" s="295">
        <v>32822.189829447605</v>
      </c>
      <c r="AF78" s="183">
        <v>54169.501165254005</v>
      </c>
      <c r="AG78" s="183">
        <v>65006.927582073993</v>
      </c>
      <c r="AH78" s="183">
        <v>69439.335617964782</v>
      </c>
      <c r="AI78" s="183">
        <v>63754.217637620117</v>
      </c>
      <c r="AJ78" s="183">
        <v>57805.950974300758</v>
      </c>
      <c r="AK78" s="183">
        <v>77168.396638301856</v>
      </c>
      <c r="AL78" s="183">
        <v>76586.455230145584</v>
      </c>
      <c r="AM78" s="183">
        <v>77210.271805951357</v>
      </c>
      <c r="AN78" s="183">
        <v>76594.445264044683</v>
      </c>
      <c r="AO78" s="183">
        <v>75961.243334477826</v>
      </c>
      <c r="AP78" s="183">
        <v>67899.498360822574</v>
      </c>
      <c r="AQ78" s="183">
        <v>66582.800472880524</v>
      </c>
      <c r="AR78" s="183">
        <v>73884.281486517066</v>
      </c>
      <c r="AS78" s="183">
        <v>90397.386272508331</v>
      </c>
      <c r="AT78" s="183">
        <v>101771.57796553485</v>
      </c>
      <c r="AU78" s="183">
        <v>55381.497064885072</v>
      </c>
      <c r="AV78" s="183">
        <v>116361.89707857212</v>
      </c>
      <c r="AW78" s="295">
        <v>108256.65536735728</v>
      </c>
      <c r="AX78" s="304"/>
    </row>
    <row r="79" spans="1:50" ht="14.25" customHeight="1" x14ac:dyDescent="0.15">
      <c r="A79" s="186" t="s">
        <v>354</v>
      </c>
      <c r="B79" s="296" t="s">
        <v>297</v>
      </c>
      <c r="C79" s="296" t="s">
        <v>297</v>
      </c>
      <c r="D79" s="296" t="s">
        <v>297</v>
      </c>
      <c r="E79" s="296" t="s">
        <v>297</v>
      </c>
      <c r="F79" s="296" t="s">
        <v>297</v>
      </c>
      <c r="G79" s="296" t="s">
        <v>297</v>
      </c>
      <c r="H79" s="296" t="s">
        <v>297</v>
      </c>
      <c r="I79" s="296" t="s">
        <v>297</v>
      </c>
      <c r="J79" s="296" t="s">
        <v>297</v>
      </c>
      <c r="K79" s="296" t="s">
        <v>297</v>
      </c>
      <c r="L79" s="296" t="s">
        <v>297</v>
      </c>
      <c r="M79" s="296" t="s">
        <v>297</v>
      </c>
      <c r="N79" s="296" t="s">
        <v>297</v>
      </c>
      <c r="O79" s="296" t="s">
        <v>297</v>
      </c>
      <c r="P79" s="296" t="s">
        <v>297</v>
      </c>
      <c r="Q79" s="296" t="s">
        <v>297</v>
      </c>
      <c r="R79" s="296" t="s">
        <v>297</v>
      </c>
      <c r="S79" s="296" t="s">
        <v>297</v>
      </c>
      <c r="T79" s="296" t="s">
        <v>297</v>
      </c>
      <c r="U79" s="296" t="s">
        <v>297</v>
      </c>
      <c r="V79" s="296" t="s">
        <v>297</v>
      </c>
      <c r="W79" s="296" t="s">
        <v>297</v>
      </c>
      <c r="X79" s="296" t="s">
        <v>297</v>
      </c>
      <c r="Y79" s="296" t="s">
        <v>297</v>
      </c>
      <c r="Z79" s="296" t="s">
        <v>297</v>
      </c>
      <c r="AA79" s="296" t="s">
        <v>297</v>
      </c>
      <c r="AB79" s="296" t="s">
        <v>297</v>
      </c>
      <c r="AC79" s="296">
        <v>1.3880553467433279</v>
      </c>
      <c r="AD79" s="296">
        <v>0.31210997081022318</v>
      </c>
      <c r="AE79" s="296">
        <v>0.32256193398291777</v>
      </c>
      <c r="AF79" s="185">
        <v>0.50022402426629153</v>
      </c>
      <c r="AG79" s="185">
        <v>0</v>
      </c>
      <c r="AH79" s="185">
        <v>2.0424659810302543</v>
      </c>
      <c r="AI79" s="185" t="s">
        <v>297</v>
      </c>
      <c r="AJ79" s="185" t="s">
        <v>297</v>
      </c>
      <c r="AK79" s="185" t="s">
        <v>297</v>
      </c>
      <c r="AL79" s="185" t="s">
        <v>297</v>
      </c>
      <c r="AM79" s="185" t="s">
        <v>297</v>
      </c>
      <c r="AN79" s="185" t="s">
        <v>297</v>
      </c>
      <c r="AO79" s="185" t="s">
        <v>297</v>
      </c>
      <c r="AP79" s="185" t="s">
        <v>297</v>
      </c>
      <c r="AQ79" s="185" t="s">
        <v>297</v>
      </c>
      <c r="AR79" s="185" t="s">
        <v>297</v>
      </c>
      <c r="AS79" s="185" t="s">
        <v>297</v>
      </c>
      <c r="AT79" s="185" t="s">
        <v>297</v>
      </c>
      <c r="AU79" s="185" t="s">
        <v>297</v>
      </c>
      <c r="AV79" s="185" t="s">
        <v>297</v>
      </c>
      <c r="AW79" s="296" t="s">
        <v>297</v>
      </c>
      <c r="AX79" s="304"/>
    </row>
    <row r="80" spans="1:50" ht="14.25" customHeight="1" x14ac:dyDescent="0.15">
      <c r="A80" s="186" t="s">
        <v>355</v>
      </c>
      <c r="B80" s="295" t="s">
        <v>297</v>
      </c>
      <c r="C80" s="295" t="s">
        <v>297</v>
      </c>
      <c r="D80" s="295" t="s">
        <v>297</v>
      </c>
      <c r="E80" s="295">
        <v>0.48746795180038077</v>
      </c>
      <c r="F80" s="295">
        <v>0.42308811739435132</v>
      </c>
      <c r="G80" s="295">
        <v>11.170034863845348</v>
      </c>
      <c r="H80" s="295">
        <v>5.225747651486917</v>
      </c>
      <c r="I80" s="295">
        <v>5.629838095913037</v>
      </c>
      <c r="J80" s="295">
        <v>2.7554279330528932</v>
      </c>
      <c r="K80" s="295">
        <v>7.4606940578899588</v>
      </c>
      <c r="L80" s="295">
        <v>6.7888970450427948</v>
      </c>
      <c r="M80" s="295">
        <v>8.6051088630404529</v>
      </c>
      <c r="N80" s="295">
        <v>4.3921444680552728</v>
      </c>
      <c r="O80" s="295">
        <v>7.1177192477542279</v>
      </c>
      <c r="P80" s="295">
        <v>14.482381829615042</v>
      </c>
      <c r="Q80" s="295">
        <v>13.185693335420812</v>
      </c>
      <c r="R80" s="295">
        <v>3.8992309853193103</v>
      </c>
      <c r="S80" s="295">
        <v>12.089532017712115</v>
      </c>
      <c r="T80" s="295">
        <v>1.4126160338921991</v>
      </c>
      <c r="U80" s="295">
        <v>1.8011375044640059</v>
      </c>
      <c r="V80" s="295">
        <v>3.4418620010627405</v>
      </c>
      <c r="W80" s="295">
        <v>9.9852912384344421</v>
      </c>
      <c r="X80" s="295">
        <v>7.2832329420673139</v>
      </c>
      <c r="Y80" s="295">
        <v>47.458116420674571</v>
      </c>
      <c r="Z80" s="295">
        <v>61.177607769637866</v>
      </c>
      <c r="AA80" s="295">
        <v>12.303780778373419</v>
      </c>
      <c r="AB80" s="295">
        <v>11.442782226444491</v>
      </c>
      <c r="AC80" s="295">
        <v>11.694602516603567</v>
      </c>
      <c r="AD80" s="295">
        <v>41.257720321197489</v>
      </c>
      <c r="AE80" s="295">
        <v>1.9364554535380956</v>
      </c>
      <c r="AF80" s="183">
        <v>13.729739128902724</v>
      </c>
      <c r="AG80" s="183" t="s">
        <v>297</v>
      </c>
      <c r="AH80" s="183">
        <v>76.627467903630674</v>
      </c>
      <c r="AI80" s="183">
        <v>9.8123010961484294</v>
      </c>
      <c r="AJ80" s="183">
        <v>235.10847767841429</v>
      </c>
      <c r="AK80" s="183">
        <v>65.242275721601843</v>
      </c>
      <c r="AL80" s="183">
        <v>165.14006340547829</v>
      </c>
      <c r="AM80" s="183">
        <v>30.748610399064638</v>
      </c>
      <c r="AN80" s="183">
        <v>6.0804788525309066</v>
      </c>
      <c r="AO80" s="183">
        <v>0.36608925144997612</v>
      </c>
      <c r="AP80" s="183">
        <v>3.888751230374194E-2</v>
      </c>
      <c r="AQ80" s="183" t="s">
        <v>297</v>
      </c>
      <c r="AR80" s="183" t="s">
        <v>297</v>
      </c>
      <c r="AS80" s="183" t="s">
        <v>297</v>
      </c>
      <c r="AT80" s="183" t="s">
        <v>297</v>
      </c>
      <c r="AU80" s="183" t="s">
        <v>297</v>
      </c>
      <c r="AV80" s="183" t="s">
        <v>297</v>
      </c>
      <c r="AW80" s="295" t="s">
        <v>297</v>
      </c>
      <c r="AX80" s="304"/>
    </row>
    <row r="81" spans="1:50" ht="14.25" customHeight="1" x14ac:dyDescent="0.15">
      <c r="A81" s="186" t="s">
        <v>356</v>
      </c>
      <c r="B81" s="296" t="s">
        <v>297</v>
      </c>
      <c r="C81" s="296" t="s">
        <v>297</v>
      </c>
      <c r="D81" s="296" t="s">
        <v>297</v>
      </c>
      <c r="E81" s="296">
        <v>0</v>
      </c>
      <c r="F81" s="296">
        <v>0</v>
      </c>
      <c r="G81" s="296">
        <v>0</v>
      </c>
      <c r="H81" s="296">
        <v>0</v>
      </c>
      <c r="I81" s="296">
        <v>0</v>
      </c>
      <c r="J81" s="296">
        <v>0</v>
      </c>
      <c r="K81" s="296">
        <v>0</v>
      </c>
      <c r="L81" s="296">
        <v>0</v>
      </c>
      <c r="M81" s="296">
        <v>0</v>
      </c>
      <c r="N81" s="296">
        <v>0</v>
      </c>
      <c r="O81" s="296">
        <v>0</v>
      </c>
      <c r="P81" s="296">
        <v>0</v>
      </c>
      <c r="Q81" s="296">
        <v>0</v>
      </c>
      <c r="R81" s="296">
        <v>0</v>
      </c>
      <c r="S81" s="296">
        <v>0</v>
      </c>
      <c r="T81" s="296">
        <v>0</v>
      </c>
      <c r="U81" s="296">
        <v>0</v>
      </c>
      <c r="V81" s="296">
        <v>0</v>
      </c>
      <c r="W81" s="296" t="s">
        <v>297</v>
      </c>
      <c r="X81" s="296" t="s">
        <v>297</v>
      </c>
      <c r="Y81" s="296" t="s">
        <v>297</v>
      </c>
      <c r="Z81" s="296" t="s">
        <v>297</v>
      </c>
      <c r="AA81" s="296" t="s">
        <v>297</v>
      </c>
      <c r="AB81" s="296" t="s">
        <v>297</v>
      </c>
      <c r="AC81" s="296" t="s">
        <v>297</v>
      </c>
      <c r="AD81" s="296">
        <v>0</v>
      </c>
      <c r="AE81" s="296">
        <v>0</v>
      </c>
      <c r="AF81" s="185">
        <v>0</v>
      </c>
      <c r="AG81" s="185">
        <v>0</v>
      </c>
      <c r="AH81" s="185">
        <v>-17.672074385936767</v>
      </c>
      <c r="AI81" s="185">
        <v>-19.664485382340303</v>
      </c>
      <c r="AJ81" s="185">
        <v>-4.9082507113451577</v>
      </c>
      <c r="AK81" s="185">
        <v>-4.8176205864716586</v>
      </c>
      <c r="AL81" s="185">
        <v>-4.6708166466235301</v>
      </c>
      <c r="AM81" s="185">
        <v>-4.143407899804731</v>
      </c>
      <c r="AN81" s="185">
        <v>-3.6961824392586466</v>
      </c>
      <c r="AO81" s="185">
        <v>-2.7135397230035627</v>
      </c>
      <c r="AP81" s="185">
        <v>0</v>
      </c>
      <c r="AQ81" s="185">
        <v>0</v>
      </c>
      <c r="AR81" s="185">
        <v>0</v>
      </c>
      <c r="AS81" s="185">
        <v>0</v>
      </c>
      <c r="AT81" s="185">
        <v>0</v>
      </c>
      <c r="AU81" s="185">
        <v>0</v>
      </c>
      <c r="AV81" s="185">
        <v>0</v>
      </c>
      <c r="AW81" s="296" t="s">
        <v>297</v>
      </c>
      <c r="AX81" s="304"/>
    </row>
    <row r="82" spans="1:50" ht="14.25" customHeight="1" x14ac:dyDescent="0.15">
      <c r="A82" s="186" t="s">
        <v>357</v>
      </c>
      <c r="B82" s="295" t="s">
        <v>297</v>
      </c>
      <c r="C82" s="295" t="s">
        <v>297</v>
      </c>
      <c r="D82" s="295" t="s">
        <v>297</v>
      </c>
      <c r="E82" s="295" t="s">
        <v>297</v>
      </c>
      <c r="F82" s="295" t="s">
        <v>297</v>
      </c>
      <c r="G82" s="295" t="s">
        <v>297</v>
      </c>
      <c r="H82" s="295" t="s">
        <v>297</v>
      </c>
      <c r="I82" s="295" t="s">
        <v>297</v>
      </c>
      <c r="J82" s="295" t="s">
        <v>297</v>
      </c>
      <c r="K82" s="295" t="s">
        <v>297</v>
      </c>
      <c r="L82" s="295" t="s">
        <v>297</v>
      </c>
      <c r="M82" s="295" t="s">
        <v>297</v>
      </c>
      <c r="N82" s="295" t="s">
        <v>297</v>
      </c>
      <c r="O82" s="295" t="s">
        <v>297</v>
      </c>
      <c r="P82" s="295" t="s">
        <v>297</v>
      </c>
      <c r="Q82" s="295" t="s">
        <v>297</v>
      </c>
      <c r="R82" s="295" t="s">
        <v>297</v>
      </c>
      <c r="S82" s="295" t="s">
        <v>297</v>
      </c>
      <c r="T82" s="295" t="s">
        <v>297</v>
      </c>
      <c r="U82" s="295" t="s">
        <v>297</v>
      </c>
      <c r="V82" s="295" t="s">
        <v>297</v>
      </c>
      <c r="W82" s="295" t="s">
        <v>297</v>
      </c>
      <c r="X82" s="295" t="s">
        <v>297</v>
      </c>
      <c r="Y82" s="295" t="s">
        <v>297</v>
      </c>
      <c r="Z82" s="295" t="s">
        <v>297</v>
      </c>
      <c r="AA82" s="295">
        <v>3.6</v>
      </c>
      <c r="AB82" s="295">
        <v>4.0704000000000002</v>
      </c>
      <c r="AC82" s="295">
        <v>4.1924999999999999</v>
      </c>
      <c r="AD82" s="295">
        <v>3.7625000000000002</v>
      </c>
      <c r="AE82" s="295">
        <v>9.5704999999999991</v>
      </c>
      <c r="AF82" s="183">
        <v>3.52266667</v>
      </c>
      <c r="AG82" s="183">
        <v>0</v>
      </c>
      <c r="AH82" s="183">
        <v>0</v>
      </c>
      <c r="AI82" s="183">
        <v>96.672413300000002</v>
      </c>
      <c r="AJ82" s="183">
        <v>65.409244229999999</v>
      </c>
      <c r="AK82" s="183">
        <v>149.57624096999999</v>
      </c>
      <c r="AL82" s="183">
        <v>209.10154821999996</v>
      </c>
      <c r="AM82" s="183">
        <v>368.11828500000001</v>
      </c>
      <c r="AN82" s="183">
        <v>154.36534468000002</v>
      </c>
      <c r="AO82" s="183">
        <v>239.76489956</v>
      </c>
      <c r="AP82" s="183">
        <v>199.17576651000002</v>
      </c>
      <c r="AQ82" s="183">
        <v>189.77939205999999</v>
      </c>
      <c r="AR82" s="183">
        <v>306.86804397999998</v>
      </c>
      <c r="AS82" s="183">
        <v>316.51329901000003</v>
      </c>
      <c r="AT82" s="183">
        <v>250.15759296000004</v>
      </c>
      <c r="AU82" s="183">
        <v>271.15292481</v>
      </c>
      <c r="AV82" s="183">
        <v>382.56501721000006</v>
      </c>
      <c r="AW82" s="295">
        <v>388.01106427000002</v>
      </c>
      <c r="AX82" s="304"/>
    </row>
    <row r="83" spans="1:50" ht="14.25" customHeight="1" x14ac:dyDescent="0.15">
      <c r="A83" s="186" t="s">
        <v>75</v>
      </c>
      <c r="B83" s="296">
        <v>659.19674526914253</v>
      </c>
      <c r="C83" s="296">
        <v>736.72643922223369</v>
      </c>
      <c r="D83" s="296">
        <v>289.09337100146377</v>
      </c>
      <c r="E83" s="296">
        <v>1041.232163238763</v>
      </c>
      <c r="F83" s="296">
        <v>1097.654881385675</v>
      </c>
      <c r="G83" s="296">
        <v>872.96351253356954</v>
      </c>
      <c r="H83" s="296">
        <v>61.362788053401054</v>
      </c>
      <c r="I83" s="296">
        <v>-97.489780178447702</v>
      </c>
      <c r="J83" s="296">
        <v>641.72941109690203</v>
      </c>
      <c r="K83" s="296">
        <v>1773.888526703126</v>
      </c>
      <c r="L83" s="296">
        <v>2227.6003171453171</v>
      </c>
      <c r="M83" s="296">
        <v>2780.566800621355</v>
      </c>
      <c r="N83" s="296">
        <v>2481.9141477462863</v>
      </c>
      <c r="O83" s="296">
        <v>4983.9945769953329</v>
      </c>
      <c r="P83" s="296">
        <v>4222.4979719624534</v>
      </c>
      <c r="Q83" s="296">
        <v>5797.0157867992493</v>
      </c>
      <c r="R83" s="296">
        <v>5996.5</v>
      </c>
      <c r="S83" s="296">
        <v>5101.4294284141097</v>
      </c>
      <c r="T83" s="296">
        <v>6684.8131598133868</v>
      </c>
      <c r="U83" s="296">
        <v>7756.1400717342976</v>
      </c>
      <c r="V83" s="296">
        <v>10338.506411752121</v>
      </c>
      <c r="W83" s="296">
        <v>14399.996819617541</v>
      </c>
      <c r="X83" s="296">
        <v>14346.857682404725</v>
      </c>
      <c r="Y83" s="296">
        <v>14250.681801258992</v>
      </c>
      <c r="Z83" s="296">
        <v>13230.429177802323</v>
      </c>
      <c r="AA83" s="296">
        <v>12747.399122073912</v>
      </c>
      <c r="AB83" s="296">
        <v>1308.5869959160786</v>
      </c>
      <c r="AC83" s="296">
        <v>7476.4468668115169</v>
      </c>
      <c r="AD83" s="296">
        <v>17887.762247308598</v>
      </c>
      <c r="AE83" s="296">
        <v>50654.662738780673</v>
      </c>
      <c r="AF83" s="185">
        <v>61136.109346977006</v>
      </c>
      <c r="AG83" s="185">
        <v>76717.807394089905</v>
      </c>
      <c r="AH83" s="185">
        <v>88584.969942367345</v>
      </c>
      <c r="AI83" s="185">
        <v>29727.784266298797</v>
      </c>
      <c r="AJ83" s="185">
        <v>70197.915780414885</v>
      </c>
      <c r="AK83" s="185">
        <v>88986.501877344621</v>
      </c>
      <c r="AL83" s="185">
        <v>107681.66168944059</v>
      </c>
      <c r="AM83" s="185">
        <v>86457.589077881057</v>
      </c>
      <c r="AN83" s="185">
        <v>94374.829937038361</v>
      </c>
      <c r="AO83" s="185">
        <v>93480.751748645329</v>
      </c>
      <c r="AP83" s="185">
        <v>87286.692809834116</v>
      </c>
      <c r="AQ83" s="185">
        <v>99526.946005163743</v>
      </c>
      <c r="AR83" s="185">
        <v>95742.40974627751</v>
      </c>
      <c r="AS83" s="185">
        <v>137487.80765220695</v>
      </c>
      <c r="AT83" s="185">
        <v>143937.00280021469</v>
      </c>
      <c r="AU83" s="185">
        <v>101509.94695830134</v>
      </c>
      <c r="AV83" s="185">
        <v>157743.88326284286</v>
      </c>
      <c r="AW83" s="296">
        <v>157903.87708601239</v>
      </c>
      <c r="AX83" s="304"/>
    </row>
    <row r="84" spans="1:50" ht="14.25" customHeight="1" x14ac:dyDescent="0.15">
      <c r="A84" s="186" t="s">
        <v>358</v>
      </c>
      <c r="B84" s="295">
        <v>0</v>
      </c>
      <c r="C84" s="295">
        <v>0</v>
      </c>
      <c r="D84" s="295">
        <v>0</v>
      </c>
      <c r="E84" s="295">
        <v>0</v>
      </c>
      <c r="F84" s="295">
        <v>0</v>
      </c>
      <c r="G84" s="295">
        <v>0</v>
      </c>
      <c r="H84" s="295">
        <v>0</v>
      </c>
      <c r="I84" s="295">
        <v>0</v>
      </c>
      <c r="J84" s="295">
        <v>0</v>
      </c>
      <c r="K84" s="295">
        <v>0</v>
      </c>
      <c r="L84" s="295">
        <v>0</v>
      </c>
      <c r="M84" s="295">
        <v>0</v>
      </c>
      <c r="N84" s="295" t="s">
        <v>297</v>
      </c>
      <c r="O84" s="295" t="s">
        <v>297</v>
      </c>
      <c r="P84" s="295" t="s">
        <v>297</v>
      </c>
      <c r="Q84" s="295">
        <v>0</v>
      </c>
      <c r="R84" s="295">
        <v>0</v>
      </c>
      <c r="S84" s="295">
        <v>0</v>
      </c>
      <c r="T84" s="295">
        <v>0</v>
      </c>
      <c r="U84" s="295">
        <v>0</v>
      </c>
      <c r="V84" s="295">
        <v>0</v>
      </c>
      <c r="W84" s="295">
        <v>0</v>
      </c>
      <c r="X84" s="295">
        <v>0</v>
      </c>
      <c r="Y84" s="295">
        <v>0</v>
      </c>
      <c r="Z84" s="295">
        <v>0</v>
      </c>
      <c r="AA84" s="295">
        <v>0</v>
      </c>
      <c r="AB84" s="295">
        <v>0</v>
      </c>
      <c r="AC84" s="295">
        <v>0</v>
      </c>
      <c r="AD84" s="295">
        <v>0</v>
      </c>
      <c r="AE84" s="295">
        <v>0</v>
      </c>
      <c r="AF84" s="183">
        <v>0</v>
      </c>
      <c r="AG84" s="183">
        <v>0</v>
      </c>
      <c r="AH84" s="183">
        <v>0</v>
      </c>
      <c r="AI84" s="183">
        <v>0</v>
      </c>
      <c r="AJ84" s="183">
        <v>0</v>
      </c>
      <c r="AK84" s="183">
        <v>0</v>
      </c>
      <c r="AL84" s="183" t="s">
        <v>297</v>
      </c>
      <c r="AM84" s="183" t="s">
        <v>297</v>
      </c>
      <c r="AN84" s="183" t="s">
        <v>297</v>
      </c>
      <c r="AO84" s="183" t="s">
        <v>297</v>
      </c>
      <c r="AP84" s="183" t="s">
        <v>297</v>
      </c>
      <c r="AQ84" s="183" t="s">
        <v>297</v>
      </c>
      <c r="AR84" s="183" t="s">
        <v>297</v>
      </c>
      <c r="AS84" s="183" t="s">
        <v>297</v>
      </c>
      <c r="AT84" s="183" t="s">
        <v>297</v>
      </c>
      <c r="AU84" s="183" t="s">
        <v>297</v>
      </c>
      <c r="AV84" s="183" t="s">
        <v>297</v>
      </c>
      <c r="AW84" s="295" t="s">
        <v>297</v>
      </c>
      <c r="AX84" s="304"/>
    </row>
    <row r="85" spans="1:50" ht="14.25" customHeight="1" x14ac:dyDescent="0.15">
      <c r="A85" s="186" t="s">
        <v>193</v>
      </c>
      <c r="B85" s="296" t="s">
        <v>297</v>
      </c>
      <c r="C85" s="296" t="s">
        <v>297</v>
      </c>
      <c r="D85" s="296" t="s">
        <v>297</v>
      </c>
      <c r="E85" s="296" t="s">
        <v>297</v>
      </c>
      <c r="F85" s="296" t="s">
        <v>297</v>
      </c>
      <c r="G85" s="296">
        <v>0</v>
      </c>
      <c r="H85" s="296">
        <v>0</v>
      </c>
      <c r="I85" s="296">
        <v>0</v>
      </c>
      <c r="J85" s="296">
        <v>0</v>
      </c>
      <c r="K85" s="296">
        <v>5</v>
      </c>
      <c r="L85" s="296">
        <v>1</v>
      </c>
      <c r="M85" s="296">
        <v>4</v>
      </c>
      <c r="N85" s="296">
        <v>1</v>
      </c>
      <c r="O85" s="296">
        <v>4</v>
      </c>
      <c r="P85" s="296">
        <v>3</v>
      </c>
      <c r="Q85" s="296">
        <v>19</v>
      </c>
      <c r="R85" s="296">
        <v>16</v>
      </c>
      <c r="S85" s="296">
        <v>32</v>
      </c>
      <c r="T85" s="296">
        <v>65</v>
      </c>
      <c r="U85" s="296">
        <v>45</v>
      </c>
      <c r="V85" s="296">
        <v>22</v>
      </c>
      <c r="W85" s="296">
        <v>62</v>
      </c>
      <c r="X85" s="296">
        <v>33</v>
      </c>
      <c r="Y85" s="296" t="s">
        <v>297</v>
      </c>
      <c r="Z85" s="296">
        <v>97.695688141121536</v>
      </c>
      <c r="AA85" s="296">
        <v>41.896084731145415</v>
      </c>
      <c r="AB85" s="296">
        <v>42.012394166781299</v>
      </c>
      <c r="AC85" s="296">
        <v>65.505160177882203</v>
      </c>
      <c r="AD85" s="296">
        <v>479.17987563904273</v>
      </c>
      <c r="AE85" s="296">
        <v>578.1539671533543</v>
      </c>
      <c r="AF85" s="185">
        <v>648.83903100294742</v>
      </c>
      <c r="AG85" s="185">
        <v>678.06809293413596</v>
      </c>
      <c r="AH85" s="185">
        <v>837.07871294160736</v>
      </c>
      <c r="AI85" s="185">
        <v>1137.3625480826779</v>
      </c>
      <c r="AJ85" s="185">
        <v>751.3</v>
      </c>
      <c r="AK85" s="185">
        <v>1044.9260055079637</v>
      </c>
      <c r="AL85" s="185">
        <v>438.05052723763811</v>
      </c>
      <c r="AM85" s="185">
        <v>1165.9121842739319</v>
      </c>
      <c r="AN85" s="185">
        <v>791.50166495793133</v>
      </c>
      <c r="AO85" s="185">
        <v>3114.168342485114</v>
      </c>
      <c r="AP85" s="185">
        <v>1798.7102214980016</v>
      </c>
      <c r="AQ85" s="185">
        <v>615.0903434641499</v>
      </c>
      <c r="AR85" s="185">
        <v>1105.8004377916022</v>
      </c>
      <c r="AS85" s="185">
        <v>688.12856988792043</v>
      </c>
      <c r="AT85" s="185">
        <v>925.3797763140758</v>
      </c>
      <c r="AU85" s="185">
        <v>960.61327878896475</v>
      </c>
      <c r="AV85" s="185">
        <v>1441.5227782735694</v>
      </c>
      <c r="AW85" s="296">
        <v>1608.9262180643025</v>
      </c>
      <c r="AX85" s="304"/>
    </row>
    <row r="86" spans="1:50" ht="14.25" customHeight="1" x14ac:dyDescent="0.15">
      <c r="A86" s="186" t="s">
        <v>359</v>
      </c>
      <c r="B86" s="295" t="s">
        <v>297</v>
      </c>
      <c r="C86" s="295" t="s">
        <v>297</v>
      </c>
      <c r="D86" s="295">
        <v>0</v>
      </c>
      <c r="E86" s="295">
        <v>0</v>
      </c>
      <c r="F86" s="295">
        <v>0</v>
      </c>
      <c r="G86" s="295">
        <v>0</v>
      </c>
      <c r="H86" s="295">
        <v>0</v>
      </c>
      <c r="I86" s="295">
        <v>0</v>
      </c>
      <c r="J86" s="295">
        <v>0</v>
      </c>
      <c r="K86" s="295">
        <v>0</v>
      </c>
      <c r="L86" s="295">
        <v>0</v>
      </c>
      <c r="M86" s="295">
        <v>0</v>
      </c>
      <c r="N86" s="295">
        <v>0</v>
      </c>
      <c r="O86" s="295">
        <v>0</v>
      </c>
      <c r="P86" s="295">
        <v>0</v>
      </c>
      <c r="Q86" s="295">
        <v>0</v>
      </c>
      <c r="R86" s="295">
        <v>0</v>
      </c>
      <c r="S86" s="295">
        <v>0</v>
      </c>
      <c r="T86" s="295">
        <v>0</v>
      </c>
      <c r="U86" s="295">
        <v>0</v>
      </c>
      <c r="V86" s="295">
        <v>0</v>
      </c>
      <c r="W86" s="295">
        <v>0</v>
      </c>
      <c r="X86" s="295">
        <v>0</v>
      </c>
      <c r="Y86" s="295">
        <v>0</v>
      </c>
      <c r="Z86" s="295">
        <v>0</v>
      </c>
      <c r="AA86" s="295">
        <v>0</v>
      </c>
      <c r="AB86" s="295">
        <v>0</v>
      </c>
      <c r="AC86" s="295">
        <v>0</v>
      </c>
      <c r="AD86" s="295">
        <v>0</v>
      </c>
      <c r="AE86" s="295">
        <v>0</v>
      </c>
      <c r="AF86" s="183">
        <v>0</v>
      </c>
      <c r="AG86" s="183">
        <v>0</v>
      </c>
      <c r="AH86" s="183">
        <v>0</v>
      </c>
      <c r="AI86" s="183">
        <v>0</v>
      </c>
      <c r="AJ86" s="183">
        <v>0</v>
      </c>
      <c r="AK86" s="183">
        <v>0</v>
      </c>
      <c r="AL86" s="183">
        <v>0</v>
      </c>
      <c r="AM86" s="183">
        <v>0</v>
      </c>
      <c r="AN86" s="183">
        <v>0</v>
      </c>
      <c r="AO86" s="183">
        <v>0</v>
      </c>
      <c r="AP86" s="183">
        <v>2.6263366666666666E-2</v>
      </c>
      <c r="AQ86" s="183">
        <v>0</v>
      </c>
      <c r="AR86" s="183">
        <v>0</v>
      </c>
      <c r="AS86" s="183">
        <v>0</v>
      </c>
      <c r="AT86" s="183">
        <v>0</v>
      </c>
      <c r="AU86" s="183">
        <v>0</v>
      </c>
      <c r="AV86" s="183">
        <v>0</v>
      </c>
      <c r="AW86" s="295" t="s">
        <v>297</v>
      </c>
      <c r="AX86" s="304"/>
    </row>
    <row r="87" spans="1:50" ht="14.25" customHeight="1" x14ac:dyDescent="0.15">
      <c r="A87" s="186" t="s">
        <v>360</v>
      </c>
      <c r="B87" s="296" t="s">
        <v>297</v>
      </c>
      <c r="C87" s="296" t="s">
        <v>297</v>
      </c>
      <c r="D87" s="296">
        <v>1</v>
      </c>
      <c r="E87" s="296">
        <v>1.3</v>
      </c>
      <c r="F87" s="296">
        <v>0.4</v>
      </c>
      <c r="G87" s="296">
        <v>1.7</v>
      </c>
      <c r="H87" s="296">
        <v>0</v>
      </c>
      <c r="I87" s="296">
        <v>3.4</v>
      </c>
      <c r="J87" s="296">
        <v>2.1</v>
      </c>
      <c r="K87" s="296">
        <v>0.1</v>
      </c>
      <c r="L87" s="296">
        <v>0.5</v>
      </c>
      <c r="M87" s="296">
        <v>2.2000000000000002</v>
      </c>
      <c r="N87" s="296">
        <v>0</v>
      </c>
      <c r="O87" s="296">
        <v>1.5</v>
      </c>
      <c r="P87" s="296">
        <v>0.2</v>
      </c>
      <c r="Q87" s="296">
        <v>0.9</v>
      </c>
      <c r="R87" s="296">
        <v>0.6</v>
      </c>
      <c r="S87" s="296">
        <v>0</v>
      </c>
      <c r="T87" s="296">
        <v>0.1</v>
      </c>
      <c r="U87" s="296">
        <v>6.8</v>
      </c>
      <c r="V87" s="296">
        <v>7</v>
      </c>
      <c r="W87" s="296">
        <v>3.8</v>
      </c>
      <c r="X87" s="296">
        <v>11.3</v>
      </c>
      <c r="Y87" s="296">
        <v>2.2000000000000002</v>
      </c>
      <c r="Z87" s="296">
        <v>1.9</v>
      </c>
      <c r="AA87" s="296">
        <v>49.8</v>
      </c>
      <c r="AB87" s="296">
        <v>53.563468960000002</v>
      </c>
      <c r="AC87" s="296">
        <v>57.846344020000004</v>
      </c>
      <c r="AD87" s="296">
        <v>80.9208</v>
      </c>
      <c r="AE87" s="296">
        <v>41.2</v>
      </c>
      <c r="AF87" s="185">
        <v>38.4</v>
      </c>
      <c r="AG87" s="185">
        <v>43.1</v>
      </c>
      <c r="AH87" s="185">
        <v>67.3</v>
      </c>
      <c r="AI87" s="185">
        <v>52</v>
      </c>
      <c r="AJ87" s="185">
        <v>57.693989999999999</v>
      </c>
      <c r="AK87" s="185">
        <v>48.922440000000002</v>
      </c>
      <c r="AL87" s="185">
        <v>64.346100000000007</v>
      </c>
      <c r="AM87" s="185">
        <v>98.57647</v>
      </c>
      <c r="AN87" s="185">
        <v>50.344270000000002</v>
      </c>
      <c r="AO87" s="185">
        <v>52.845649999999999</v>
      </c>
      <c r="AP87" s="185">
        <v>120.79514</v>
      </c>
      <c r="AQ87" s="185">
        <v>207.22253000000001</v>
      </c>
      <c r="AR87" s="185">
        <v>204.03842</v>
      </c>
      <c r="AS87" s="185">
        <v>180.93960999999999</v>
      </c>
      <c r="AT87" s="185">
        <v>206.15397999999999</v>
      </c>
      <c r="AU87" s="185">
        <v>300.36423000000002</v>
      </c>
      <c r="AV87" s="185">
        <v>380.89663999999999</v>
      </c>
      <c r="AW87" s="296">
        <v>210.18538000000001</v>
      </c>
      <c r="AX87" s="304"/>
    </row>
    <row r="88" spans="1:50" ht="14.25" customHeight="1" x14ac:dyDescent="0.15">
      <c r="A88" s="186" t="s">
        <v>361</v>
      </c>
      <c r="B88" s="295" t="s">
        <v>297</v>
      </c>
      <c r="C88" s="295" t="s">
        <v>297</v>
      </c>
      <c r="D88" s="295" t="s">
        <v>297</v>
      </c>
      <c r="E88" s="295" t="s">
        <v>297</v>
      </c>
      <c r="F88" s="295" t="s">
        <v>297</v>
      </c>
      <c r="G88" s="295" t="s">
        <v>297</v>
      </c>
      <c r="H88" s="295" t="s">
        <v>297</v>
      </c>
      <c r="I88" s="295" t="s">
        <v>297</v>
      </c>
      <c r="J88" s="295" t="s">
        <v>297</v>
      </c>
      <c r="K88" s="295" t="s">
        <v>297</v>
      </c>
      <c r="L88" s="295" t="s">
        <v>297</v>
      </c>
      <c r="M88" s="295" t="s">
        <v>297</v>
      </c>
      <c r="N88" s="295" t="s">
        <v>297</v>
      </c>
      <c r="O88" s="295" t="s">
        <v>297</v>
      </c>
      <c r="P88" s="295" t="s">
        <v>297</v>
      </c>
      <c r="Q88" s="295" t="s">
        <v>297</v>
      </c>
      <c r="R88" s="295" t="s">
        <v>297</v>
      </c>
      <c r="S88" s="295" t="s">
        <v>297</v>
      </c>
      <c r="T88" s="295" t="s">
        <v>297</v>
      </c>
      <c r="U88" s="295" t="s">
        <v>297</v>
      </c>
      <c r="V88" s="295" t="s">
        <v>297</v>
      </c>
      <c r="W88" s="295">
        <v>3.5</v>
      </c>
      <c r="X88" s="295">
        <v>1.05</v>
      </c>
      <c r="Y88" s="295" t="s">
        <v>297</v>
      </c>
      <c r="Z88" s="295">
        <v>0</v>
      </c>
      <c r="AA88" s="295">
        <v>0</v>
      </c>
      <c r="AB88" s="295">
        <v>0</v>
      </c>
      <c r="AC88" s="295">
        <v>0</v>
      </c>
      <c r="AD88" s="295">
        <v>0</v>
      </c>
      <c r="AE88" s="295" t="s">
        <v>297</v>
      </c>
      <c r="AF88" s="183">
        <v>1.5</v>
      </c>
      <c r="AG88" s="183">
        <v>0</v>
      </c>
      <c r="AH88" s="183">
        <v>0</v>
      </c>
      <c r="AI88" s="183">
        <v>7.0000000000000007E-2</v>
      </c>
      <c r="AJ88" s="183" t="s">
        <v>297</v>
      </c>
      <c r="AK88" s="183" t="s">
        <v>297</v>
      </c>
      <c r="AL88" s="183" t="s">
        <v>297</v>
      </c>
      <c r="AM88" s="183" t="s">
        <v>297</v>
      </c>
      <c r="AN88" s="183">
        <v>4.2300000000000004</v>
      </c>
      <c r="AO88" s="183" t="s">
        <v>297</v>
      </c>
      <c r="AP88" s="183" t="s">
        <v>297</v>
      </c>
      <c r="AQ88" s="183" t="s">
        <v>297</v>
      </c>
      <c r="AR88" s="183" t="s">
        <v>297</v>
      </c>
      <c r="AS88" s="183" t="s">
        <v>297</v>
      </c>
      <c r="AT88" s="183" t="s">
        <v>297</v>
      </c>
      <c r="AU88" s="183">
        <v>0.13</v>
      </c>
      <c r="AV88" s="183">
        <v>0</v>
      </c>
      <c r="AW88" s="295">
        <v>0</v>
      </c>
      <c r="AX88" s="304"/>
    </row>
    <row r="89" spans="1:50" ht="14.25" customHeight="1" x14ac:dyDescent="0.15">
      <c r="A89" s="186" t="s">
        <v>362</v>
      </c>
      <c r="B89" s="296" t="s">
        <v>297</v>
      </c>
      <c r="C89" s="296" t="s">
        <v>297</v>
      </c>
      <c r="D89" s="296" t="s">
        <v>297</v>
      </c>
      <c r="E89" s="296" t="s">
        <v>297</v>
      </c>
      <c r="F89" s="296" t="s">
        <v>297</v>
      </c>
      <c r="G89" s="296" t="s">
        <v>297</v>
      </c>
      <c r="H89" s="296" t="s">
        <v>297</v>
      </c>
      <c r="I89" s="296">
        <v>0</v>
      </c>
      <c r="J89" s="296">
        <v>0</v>
      </c>
      <c r="K89" s="296">
        <v>0</v>
      </c>
      <c r="L89" s="296">
        <v>0</v>
      </c>
      <c r="M89" s="296">
        <v>0</v>
      </c>
      <c r="N89" s="296">
        <v>0</v>
      </c>
      <c r="O89" s="296">
        <v>0</v>
      </c>
      <c r="P89" s="296">
        <v>0</v>
      </c>
      <c r="Q89" s="296">
        <v>0</v>
      </c>
      <c r="R89" s="296">
        <v>0</v>
      </c>
      <c r="S89" s="296">
        <v>0</v>
      </c>
      <c r="T89" s="296">
        <v>0</v>
      </c>
      <c r="U89" s="296" t="s">
        <v>297</v>
      </c>
      <c r="V89" s="296" t="s">
        <v>297</v>
      </c>
      <c r="W89" s="296" t="s">
        <v>297</v>
      </c>
      <c r="X89" s="296" t="s">
        <v>297</v>
      </c>
      <c r="Y89" s="296" t="s">
        <v>297</v>
      </c>
      <c r="Z89" s="296" t="s">
        <v>297</v>
      </c>
      <c r="AA89" s="296" t="s">
        <v>297</v>
      </c>
      <c r="AB89" s="296">
        <v>0</v>
      </c>
      <c r="AC89" s="296">
        <v>1.5782189631044E-2</v>
      </c>
      <c r="AD89" s="296">
        <v>0</v>
      </c>
      <c r="AE89" s="296">
        <v>0</v>
      </c>
      <c r="AF89" s="185">
        <v>0</v>
      </c>
      <c r="AG89" s="185">
        <v>0.103272177093176</v>
      </c>
      <c r="AH89" s="185">
        <v>-0.1</v>
      </c>
      <c r="AI89" s="185" t="s">
        <v>297</v>
      </c>
      <c r="AJ89" s="185">
        <v>3.1000262608378901</v>
      </c>
      <c r="AK89" s="185" t="s">
        <v>297</v>
      </c>
      <c r="AL89" s="185">
        <v>1.5385720193057</v>
      </c>
      <c r="AM89" s="185" t="s">
        <v>297</v>
      </c>
      <c r="AN89" s="185">
        <v>1.84195597729798E-2</v>
      </c>
      <c r="AO89" s="185">
        <v>1.09205839522312</v>
      </c>
      <c r="AP89" s="185" t="s">
        <v>297</v>
      </c>
      <c r="AQ89" s="185">
        <v>4.8899999999999999E-2</v>
      </c>
      <c r="AR89" s="185">
        <v>2.4110629920236014E-2</v>
      </c>
      <c r="AS89" s="185">
        <v>0.55630924516303815</v>
      </c>
      <c r="AT89" s="185">
        <v>2.0480925823297122E-2</v>
      </c>
      <c r="AU89" s="185">
        <v>0.31428839232063038</v>
      </c>
      <c r="AV89" s="185">
        <v>0.94674654376632805</v>
      </c>
      <c r="AW89" s="296" t="s">
        <v>297</v>
      </c>
      <c r="AX89" s="304"/>
    </row>
    <row r="90" spans="1:50" ht="14.25" customHeight="1" x14ac:dyDescent="0.15">
      <c r="A90" s="186" t="s">
        <v>363</v>
      </c>
      <c r="B90" s="295" t="s">
        <v>297</v>
      </c>
      <c r="C90" s="295" t="s">
        <v>297</v>
      </c>
      <c r="D90" s="295">
        <v>0</v>
      </c>
      <c r="E90" s="295">
        <v>0</v>
      </c>
      <c r="F90" s="295">
        <v>0</v>
      </c>
      <c r="G90" s="295">
        <v>0</v>
      </c>
      <c r="H90" s="295">
        <v>0</v>
      </c>
      <c r="I90" s="295">
        <v>0</v>
      </c>
      <c r="J90" s="295">
        <v>0</v>
      </c>
      <c r="K90" s="295">
        <v>0</v>
      </c>
      <c r="L90" s="295">
        <v>0</v>
      </c>
      <c r="M90" s="295" t="s">
        <v>297</v>
      </c>
      <c r="N90" s="295" t="s">
        <v>297</v>
      </c>
      <c r="O90" s="295" t="s">
        <v>297</v>
      </c>
      <c r="P90" s="295" t="s">
        <v>297</v>
      </c>
      <c r="Q90" s="295" t="s">
        <v>297</v>
      </c>
      <c r="R90" s="295" t="s">
        <v>297</v>
      </c>
      <c r="S90" s="295" t="s">
        <v>297</v>
      </c>
      <c r="T90" s="295" t="s">
        <v>297</v>
      </c>
      <c r="U90" s="295" t="s">
        <v>297</v>
      </c>
      <c r="V90" s="295" t="s">
        <v>297</v>
      </c>
      <c r="W90" s="295" t="s">
        <v>297</v>
      </c>
      <c r="X90" s="295" t="s">
        <v>297</v>
      </c>
      <c r="Y90" s="295" t="s">
        <v>297</v>
      </c>
      <c r="Z90" s="295" t="s">
        <v>297</v>
      </c>
      <c r="AA90" s="295" t="s">
        <v>297</v>
      </c>
      <c r="AB90" s="295" t="s">
        <v>297</v>
      </c>
      <c r="AC90" s="295" t="s">
        <v>297</v>
      </c>
      <c r="AD90" s="295" t="s">
        <v>297</v>
      </c>
      <c r="AE90" s="295">
        <v>0</v>
      </c>
      <c r="AF90" s="183">
        <v>0</v>
      </c>
      <c r="AG90" s="183">
        <v>0</v>
      </c>
      <c r="AH90" s="183">
        <v>0</v>
      </c>
      <c r="AI90" s="183">
        <v>0</v>
      </c>
      <c r="AJ90" s="183">
        <v>0</v>
      </c>
      <c r="AK90" s="183">
        <v>0</v>
      </c>
      <c r="AL90" s="183">
        <v>0</v>
      </c>
      <c r="AM90" s="183">
        <v>0</v>
      </c>
      <c r="AN90" s="183">
        <v>0</v>
      </c>
      <c r="AO90" s="183">
        <v>0</v>
      </c>
      <c r="AP90" s="183" t="s">
        <v>297</v>
      </c>
      <c r="AQ90" s="183" t="s">
        <v>297</v>
      </c>
      <c r="AR90" s="183" t="s">
        <v>297</v>
      </c>
      <c r="AS90" s="183" t="s">
        <v>297</v>
      </c>
      <c r="AT90" s="183">
        <v>0</v>
      </c>
      <c r="AU90" s="183">
        <v>0</v>
      </c>
      <c r="AV90" s="183">
        <v>0</v>
      </c>
      <c r="AW90" s="295" t="s">
        <v>297</v>
      </c>
      <c r="AX90" s="304"/>
    </row>
    <row r="91" spans="1:50" ht="14.25" customHeight="1" x14ac:dyDescent="0.15">
      <c r="A91" s="186" t="s">
        <v>364</v>
      </c>
      <c r="B91" s="296">
        <v>0.30000000005999999</v>
      </c>
      <c r="C91" s="296">
        <v>1.0000000002</v>
      </c>
      <c r="D91" s="296">
        <v>1.3000000002599998</v>
      </c>
      <c r="E91" s="296">
        <v>1.70000000034</v>
      </c>
      <c r="F91" s="296">
        <v>2.2200000004440001</v>
      </c>
      <c r="G91" s="296">
        <v>2.6000000005199997</v>
      </c>
      <c r="H91" s="296">
        <v>3.4800000006960001</v>
      </c>
      <c r="I91" s="296">
        <v>3.0400000006079999</v>
      </c>
      <c r="J91" s="296">
        <v>3.9400000007879998</v>
      </c>
      <c r="K91" s="296">
        <v>4.5000000003749996</v>
      </c>
      <c r="L91" s="296">
        <v>5.0999999999999996</v>
      </c>
      <c r="M91" s="296">
        <v>4.5599999999999996</v>
      </c>
      <c r="N91" s="296">
        <v>5.2</v>
      </c>
      <c r="O91" s="296">
        <v>6.24</v>
      </c>
      <c r="P91" s="296">
        <v>4.6399999999999997</v>
      </c>
      <c r="Q91" s="296">
        <v>6.9</v>
      </c>
      <c r="R91" s="296">
        <v>2</v>
      </c>
      <c r="S91" s="296">
        <v>1</v>
      </c>
      <c r="T91" s="296">
        <v>2</v>
      </c>
      <c r="U91" s="296">
        <v>0</v>
      </c>
      <c r="V91" s="296" t="s">
        <v>297</v>
      </c>
      <c r="W91" s="296" t="s">
        <v>297</v>
      </c>
      <c r="X91" s="296" t="s">
        <v>297</v>
      </c>
      <c r="Y91" s="296">
        <v>0</v>
      </c>
      <c r="Z91" s="296">
        <v>0</v>
      </c>
      <c r="AA91" s="296">
        <v>0</v>
      </c>
      <c r="AB91" s="296">
        <v>0</v>
      </c>
      <c r="AC91" s="296">
        <v>0</v>
      </c>
      <c r="AD91" s="296">
        <v>0</v>
      </c>
      <c r="AE91" s="296">
        <v>0</v>
      </c>
      <c r="AF91" s="185">
        <v>0</v>
      </c>
      <c r="AG91" s="185">
        <v>0</v>
      </c>
      <c r="AH91" s="185">
        <v>0</v>
      </c>
      <c r="AI91" s="185">
        <v>0</v>
      </c>
      <c r="AJ91" s="185">
        <v>0</v>
      </c>
      <c r="AK91" s="185">
        <v>0</v>
      </c>
      <c r="AL91" s="185">
        <v>0</v>
      </c>
      <c r="AM91" s="185">
        <v>0</v>
      </c>
      <c r="AN91" s="185" t="s">
        <v>297</v>
      </c>
      <c r="AO91" s="185" t="s">
        <v>297</v>
      </c>
      <c r="AP91" s="185" t="s">
        <v>297</v>
      </c>
      <c r="AQ91" s="185" t="s">
        <v>297</v>
      </c>
      <c r="AR91" s="185" t="s">
        <v>297</v>
      </c>
      <c r="AS91" s="185" t="s">
        <v>297</v>
      </c>
      <c r="AT91" s="185" t="s">
        <v>297</v>
      </c>
      <c r="AU91" s="185" t="s">
        <v>297</v>
      </c>
      <c r="AV91" s="185" t="s">
        <v>297</v>
      </c>
      <c r="AW91" s="296" t="s">
        <v>297</v>
      </c>
      <c r="AX91" s="304"/>
    </row>
    <row r="92" spans="1:50" ht="14.25" customHeight="1" x14ac:dyDescent="0.15">
      <c r="A92" s="186" t="s">
        <v>365</v>
      </c>
      <c r="B92" s="295">
        <v>0</v>
      </c>
      <c r="C92" s="295">
        <v>0</v>
      </c>
      <c r="D92" s="295">
        <v>0</v>
      </c>
      <c r="E92" s="295">
        <v>0</v>
      </c>
      <c r="F92" s="295">
        <v>0</v>
      </c>
      <c r="G92" s="295">
        <v>0</v>
      </c>
      <c r="H92" s="295">
        <v>0</v>
      </c>
      <c r="I92" s="295">
        <v>0</v>
      </c>
      <c r="J92" s="295">
        <v>0</v>
      </c>
      <c r="K92" s="295">
        <v>0</v>
      </c>
      <c r="L92" s="295">
        <v>0</v>
      </c>
      <c r="M92" s="295">
        <v>0</v>
      </c>
      <c r="N92" s="295">
        <v>0</v>
      </c>
      <c r="O92" s="295">
        <v>0</v>
      </c>
      <c r="P92" s="295">
        <v>0</v>
      </c>
      <c r="Q92" s="295">
        <v>0</v>
      </c>
      <c r="R92" s="295">
        <v>0</v>
      </c>
      <c r="S92" s="295">
        <v>0</v>
      </c>
      <c r="T92" s="295">
        <v>0</v>
      </c>
      <c r="U92" s="295">
        <v>0</v>
      </c>
      <c r="V92" s="295">
        <v>0</v>
      </c>
      <c r="W92" s="295">
        <v>0</v>
      </c>
      <c r="X92" s="295">
        <v>0</v>
      </c>
      <c r="Y92" s="295">
        <v>0</v>
      </c>
      <c r="Z92" s="295">
        <v>0</v>
      </c>
      <c r="AA92" s="295">
        <v>0</v>
      </c>
      <c r="AB92" s="295">
        <v>0</v>
      </c>
      <c r="AC92" s="295">
        <v>0</v>
      </c>
      <c r="AD92" s="295">
        <v>0</v>
      </c>
      <c r="AE92" s="295">
        <v>0</v>
      </c>
      <c r="AF92" s="183">
        <v>0</v>
      </c>
      <c r="AG92" s="183">
        <v>0</v>
      </c>
      <c r="AH92" s="183">
        <v>0</v>
      </c>
      <c r="AI92" s="183">
        <v>0</v>
      </c>
      <c r="AJ92" s="183">
        <v>0</v>
      </c>
      <c r="AK92" s="183">
        <v>0</v>
      </c>
      <c r="AL92" s="183">
        <v>0</v>
      </c>
      <c r="AM92" s="183">
        <v>0</v>
      </c>
      <c r="AN92" s="183">
        <v>0</v>
      </c>
      <c r="AO92" s="183">
        <v>0</v>
      </c>
      <c r="AP92" s="183">
        <v>0</v>
      </c>
      <c r="AQ92" s="183">
        <v>11.48</v>
      </c>
      <c r="AR92" s="183">
        <v>12.673387183448561</v>
      </c>
      <c r="AS92" s="183">
        <v>0.24</v>
      </c>
      <c r="AT92" s="183">
        <v>2.3314988829798398</v>
      </c>
      <c r="AU92" s="183">
        <v>3.2157845937817737</v>
      </c>
      <c r="AV92" s="183">
        <v>15.599116803415971</v>
      </c>
      <c r="AW92" s="295">
        <v>78.957913921904918</v>
      </c>
      <c r="AX92" s="304"/>
    </row>
    <row r="93" spans="1:50" ht="14.25" customHeight="1" x14ac:dyDescent="0.15">
      <c r="A93" s="186" t="s">
        <v>194</v>
      </c>
      <c r="B93" s="296" t="s">
        <v>297</v>
      </c>
      <c r="C93" s="296" t="s">
        <v>297</v>
      </c>
      <c r="D93" s="296" t="s">
        <v>297</v>
      </c>
      <c r="E93" s="296" t="s">
        <v>297</v>
      </c>
      <c r="F93" s="296" t="s">
        <v>297</v>
      </c>
      <c r="G93" s="296" t="s">
        <v>297</v>
      </c>
      <c r="H93" s="296" t="s">
        <v>297</v>
      </c>
      <c r="I93" s="296">
        <v>0</v>
      </c>
      <c r="J93" s="296">
        <v>0</v>
      </c>
      <c r="K93" s="296">
        <v>0</v>
      </c>
      <c r="L93" s="296">
        <v>0</v>
      </c>
      <c r="M93" s="296">
        <v>0</v>
      </c>
      <c r="N93" s="296">
        <v>0</v>
      </c>
      <c r="O93" s="296">
        <v>0</v>
      </c>
      <c r="P93" s="296">
        <v>0</v>
      </c>
      <c r="Q93" s="296">
        <v>26.63381180291422</v>
      </c>
      <c r="R93" s="296">
        <v>11.421204980166189</v>
      </c>
      <c r="S93" s="296">
        <v>6.3847230942626725</v>
      </c>
      <c r="T93" s="296">
        <v>9.9400419291965818</v>
      </c>
      <c r="U93" s="296">
        <v>15.168414933583097</v>
      </c>
      <c r="V93" s="296">
        <v>25.4</v>
      </c>
      <c r="W93" s="296">
        <v>18.833455395464714</v>
      </c>
      <c r="X93" s="296">
        <v>22.609172300555471</v>
      </c>
      <c r="Y93" s="296">
        <v>13.241943438246064</v>
      </c>
      <c r="Z93" s="296">
        <v>7.7354795450319909</v>
      </c>
      <c r="AA93" s="296">
        <v>92.037893180783172</v>
      </c>
      <c r="AB93" s="296">
        <v>33.411849437289654</v>
      </c>
      <c r="AC93" s="296">
        <v>89.152363158165485</v>
      </c>
      <c r="AD93" s="296">
        <v>180.97231374472526</v>
      </c>
      <c r="AE93" s="296">
        <v>731.1511566437963</v>
      </c>
      <c r="AF93" s="185">
        <v>2337.7503052094262</v>
      </c>
      <c r="AG93" s="185">
        <v>4112.6133767325946</v>
      </c>
      <c r="AH93" s="185">
        <v>7504.6284892770473</v>
      </c>
      <c r="AI93" s="185">
        <v>8890.7207433821768</v>
      </c>
      <c r="AJ93" s="185">
        <v>11598.431188841525</v>
      </c>
      <c r="AK93" s="185">
        <v>12385.927620399792</v>
      </c>
      <c r="AL93" s="185">
        <v>8020.4038717286076</v>
      </c>
      <c r="AM93" s="185">
        <v>7922.5452246410341</v>
      </c>
      <c r="AN93" s="185">
        <v>7478.3937208003445</v>
      </c>
      <c r="AO93" s="185">
        <v>5579.7288178408426</v>
      </c>
      <c r="AP93" s="185">
        <v>3425.1881929616211</v>
      </c>
      <c r="AQ93" s="185">
        <v>6540.2038559468783</v>
      </c>
      <c r="AR93" s="185">
        <v>7469.8774874915925</v>
      </c>
      <c r="AS93" s="185">
        <v>5973.0703524088067</v>
      </c>
      <c r="AT93" s="185">
        <v>8478.4640253202997</v>
      </c>
      <c r="AU93" s="185">
        <v>3202.571052927889</v>
      </c>
      <c r="AV93" s="185">
        <v>9677.6904085543028</v>
      </c>
      <c r="AW93" s="296">
        <v>7657.4709638675349</v>
      </c>
      <c r="AX93" s="304"/>
    </row>
    <row r="94" spans="1:50" ht="14.25" customHeight="1" x14ac:dyDescent="0.15">
      <c r="A94" s="186" t="s">
        <v>195</v>
      </c>
      <c r="B94" s="295" t="s">
        <v>297</v>
      </c>
      <c r="C94" s="295">
        <v>0</v>
      </c>
      <c r="D94" s="295">
        <v>0</v>
      </c>
      <c r="E94" s="295">
        <v>0</v>
      </c>
      <c r="F94" s="295">
        <v>0</v>
      </c>
      <c r="G94" s="295">
        <v>0</v>
      </c>
      <c r="H94" s="295">
        <v>0</v>
      </c>
      <c r="I94" s="295">
        <v>0</v>
      </c>
      <c r="J94" s="295">
        <v>0</v>
      </c>
      <c r="K94" s="295">
        <v>0</v>
      </c>
      <c r="L94" s="295">
        <v>0</v>
      </c>
      <c r="M94" s="295">
        <v>0</v>
      </c>
      <c r="N94" s="295">
        <v>0</v>
      </c>
      <c r="O94" s="295">
        <v>0</v>
      </c>
      <c r="P94" s="295">
        <v>0</v>
      </c>
      <c r="Q94" s="295">
        <v>6.4893355860922801</v>
      </c>
      <c r="R94" s="295">
        <v>2.6329394404533168</v>
      </c>
      <c r="S94" s="295">
        <v>3.3044597169966261</v>
      </c>
      <c r="T94" s="295">
        <v>3.97697311969495</v>
      </c>
      <c r="U94" s="295">
        <v>-1.8269883403360043</v>
      </c>
      <c r="V94" s="295">
        <v>-1.9</v>
      </c>
      <c r="W94" s="295">
        <v>6.1605644208087433</v>
      </c>
      <c r="X94" s="295">
        <v>1.7760081926353393</v>
      </c>
      <c r="Y94" s="295">
        <v>3.9874876566504427</v>
      </c>
      <c r="Z94" s="295">
        <v>17.758278790548299</v>
      </c>
      <c r="AA94" s="295">
        <v>7.2647347371737494</v>
      </c>
      <c r="AB94" s="295">
        <v>44.558159590650874</v>
      </c>
      <c r="AC94" s="295">
        <v>155.40960434448201</v>
      </c>
      <c r="AD94" s="295">
        <v>199.32394229619186</v>
      </c>
      <c r="AE94" s="295">
        <v>186.20815214121384</v>
      </c>
      <c r="AF94" s="183">
        <v>933.2354302746038</v>
      </c>
      <c r="AG94" s="183">
        <v>1181.5727734712079</v>
      </c>
      <c r="AH94" s="183">
        <v>1751.0915280715988</v>
      </c>
      <c r="AI94" s="183">
        <v>-997.55615418011951</v>
      </c>
      <c r="AJ94" s="183">
        <v>6.8788571759856643</v>
      </c>
      <c r="AK94" s="183">
        <v>-43.796030639908999</v>
      </c>
      <c r="AL94" s="183">
        <v>570.67131410070817</v>
      </c>
      <c r="AM94" s="183">
        <v>247.77677384461686</v>
      </c>
      <c r="AN94" s="183">
        <v>225.57095724477526</v>
      </c>
      <c r="AO94" s="183">
        <v>85.740084721165928</v>
      </c>
      <c r="AP94" s="183">
        <v>163.57076372303004</v>
      </c>
      <c r="AQ94" s="183">
        <v>273.32265639215194</v>
      </c>
      <c r="AR94" s="183">
        <v>243.49835287040895</v>
      </c>
      <c r="AS94" s="183">
        <v>302.10976902264537</v>
      </c>
      <c r="AT94" s="183">
        <v>267.25248525576166</v>
      </c>
      <c r="AU94" s="183">
        <v>212.04934045820974</v>
      </c>
      <c r="AV94" s="183">
        <v>251.28417500521417</v>
      </c>
      <c r="AW94" s="295">
        <v>188.77411288704198</v>
      </c>
      <c r="AX94" s="304"/>
    </row>
    <row r="95" spans="1:50" ht="14.25" customHeight="1" x14ac:dyDescent="0.15">
      <c r="A95" s="186" t="s">
        <v>84</v>
      </c>
      <c r="B95" s="296">
        <v>0</v>
      </c>
      <c r="C95" s="296">
        <v>0</v>
      </c>
      <c r="D95" s="296">
        <v>0</v>
      </c>
      <c r="E95" s="296">
        <v>0</v>
      </c>
      <c r="F95" s="296">
        <v>0</v>
      </c>
      <c r="G95" s="296">
        <v>0</v>
      </c>
      <c r="H95" s="296">
        <v>0</v>
      </c>
      <c r="I95" s="296">
        <v>0</v>
      </c>
      <c r="J95" s="296">
        <v>0</v>
      </c>
      <c r="K95" s="296">
        <v>0</v>
      </c>
      <c r="L95" s="296">
        <v>0</v>
      </c>
      <c r="M95" s="296">
        <v>0</v>
      </c>
      <c r="N95" s="296">
        <v>0</v>
      </c>
      <c r="O95" s="296">
        <v>0</v>
      </c>
      <c r="P95" s="296">
        <v>0</v>
      </c>
      <c r="Q95" s="296">
        <v>0</v>
      </c>
      <c r="R95" s="296" t="s">
        <v>297</v>
      </c>
      <c r="S95" s="296" t="s">
        <v>297</v>
      </c>
      <c r="T95" s="296" t="s">
        <v>297</v>
      </c>
      <c r="U95" s="296" t="s">
        <v>297</v>
      </c>
      <c r="V95" s="296" t="s">
        <v>297</v>
      </c>
      <c r="W95" s="296" t="s">
        <v>297</v>
      </c>
      <c r="X95" s="296">
        <v>0</v>
      </c>
      <c r="Y95" s="296">
        <v>0</v>
      </c>
      <c r="Z95" s="296" t="s">
        <v>297</v>
      </c>
      <c r="AA95" s="296" t="s">
        <v>297</v>
      </c>
      <c r="AB95" s="296">
        <v>670.15519635483156</v>
      </c>
      <c r="AC95" s="296">
        <v>1014.956234602262</v>
      </c>
      <c r="AD95" s="296">
        <v>703.66926126179146</v>
      </c>
      <c r="AE95" s="296">
        <v>378.06579496761537</v>
      </c>
      <c r="AF95" s="185">
        <v>1057.3228769253014</v>
      </c>
      <c r="AG95" s="185">
        <v>1490.3466648834192</v>
      </c>
      <c r="AH95" s="185">
        <v>1593.6832634941838</v>
      </c>
      <c r="AI95" s="185">
        <v>1476.3953213714319</v>
      </c>
      <c r="AJ95" s="185">
        <v>1432.5</v>
      </c>
      <c r="AK95" s="185">
        <v>2206.0831669801428</v>
      </c>
      <c r="AL95" s="185">
        <v>2134.6432031065665</v>
      </c>
      <c r="AM95" s="185">
        <v>1940.559036354065</v>
      </c>
      <c r="AN95" s="185">
        <v>2471.5846012047182</v>
      </c>
      <c r="AO95" s="185">
        <v>3926.8035265087588</v>
      </c>
      <c r="AP95" s="185">
        <v>4995.2914649200548</v>
      </c>
      <c r="AQ95" s="185">
        <v>5181.8179409047689</v>
      </c>
      <c r="AR95" s="185">
        <v>5552.8062092460277</v>
      </c>
      <c r="AS95" s="185">
        <v>6539.5222352443216</v>
      </c>
      <c r="AT95" s="185">
        <v>6100.3589015690513</v>
      </c>
      <c r="AU95" s="185">
        <v>6337.8320840552597</v>
      </c>
      <c r="AV95" s="185">
        <v>6614.8277093325005</v>
      </c>
      <c r="AW95" s="296">
        <v>9395.0098052128888</v>
      </c>
      <c r="AX95" s="304"/>
    </row>
    <row r="96" spans="1:50" ht="14.25" customHeight="1" x14ac:dyDescent="0.15">
      <c r="A96" s="186" t="s">
        <v>366</v>
      </c>
      <c r="B96" s="295" t="s">
        <v>297</v>
      </c>
      <c r="C96" s="295" t="s">
        <v>297</v>
      </c>
      <c r="D96" s="295" t="s">
        <v>297</v>
      </c>
      <c r="E96" s="295" t="s">
        <v>297</v>
      </c>
      <c r="F96" s="295" t="s">
        <v>297</v>
      </c>
      <c r="G96" s="295" t="s">
        <v>297</v>
      </c>
      <c r="H96" s="295">
        <v>723</v>
      </c>
      <c r="I96" s="295">
        <v>521</v>
      </c>
      <c r="J96" s="295">
        <v>205</v>
      </c>
      <c r="K96" s="295">
        <v>0</v>
      </c>
      <c r="L96" s="295">
        <v>0</v>
      </c>
      <c r="M96" s="295">
        <v>0</v>
      </c>
      <c r="N96" s="295">
        <v>0</v>
      </c>
      <c r="O96" s="295">
        <v>0</v>
      </c>
      <c r="P96" s="295">
        <v>0</v>
      </c>
      <c r="Q96" s="295">
        <v>0</v>
      </c>
      <c r="R96" s="295">
        <v>0</v>
      </c>
      <c r="S96" s="295">
        <v>0</v>
      </c>
      <c r="T96" s="295">
        <v>0</v>
      </c>
      <c r="U96" s="295">
        <v>0</v>
      </c>
      <c r="V96" s="295">
        <v>0</v>
      </c>
      <c r="W96" s="295">
        <v>0</v>
      </c>
      <c r="X96" s="295">
        <v>0</v>
      </c>
      <c r="Y96" s="295">
        <v>0</v>
      </c>
      <c r="Z96" s="295">
        <v>0</v>
      </c>
      <c r="AA96" s="295">
        <v>0</v>
      </c>
      <c r="AB96" s="295">
        <v>0</v>
      </c>
      <c r="AC96" s="295">
        <v>0</v>
      </c>
      <c r="AD96" s="295">
        <v>0</v>
      </c>
      <c r="AE96" s="295">
        <v>100</v>
      </c>
      <c r="AF96" s="183">
        <v>202.7</v>
      </c>
      <c r="AG96" s="183">
        <v>106.1420099877563</v>
      </c>
      <c r="AH96" s="183">
        <v>238.84</v>
      </c>
      <c r="AI96" s="183">
        <v>342.97886019007643</v>
      </c>
      <c r="AJ96" s="183">
        <v>197.62395093882319</v>
      </c>
      <c r="AK96" s="183">
        <v>120.3</v>
      </c>
      <c r="AL96" s="183">
        <v>185.78506332591849</v>
      </c>
      <c r="AM96" s="183">
        <v>242.77429399685519</v>
      </c>
      <c r="AN96" s="183">
        <v>202.83001043751901</v>
      </c>
      <c r="AO96" s="183">
        <v>139.63647843927859</v>
      </c>
      <c r="AP96" s="183">
        <v>71.837340984036899</v>
      </c>
      <c r="AQ96" s="183">
        <v>1100.52715313101</v>
      </c>
      <c r="AR96" s="183">
        <v>1998.9196819123349</v>
      </c>
      <c r="AS96" s="183">
        <v>4908.6438509547697</v>
      </c>
      <c r="AT96" s="183">
        <v>3350.6974872529804</v>
      </c>
      <c r="AU96" s="183">
        <v>2114.1400889870965</v>
      </c>
      <c r="AV96" s="183">
        <v>3008.9065923550875</v>
      </c>
      <c r="AW96" s="295">
        <v>2976.76334090204</v>
      </c>
      <c r="AX96" s="304"/>
    </row>
    <row r="97" spans="1:50" ht="14.25" customHeight="1" x14ac:dyDescent="0.15">
      <c r="A97" s="186" t="s">
        <v>367</v>
      </c>
      <c r="B97" s="296" t="s">
        <v>297</v>
      </c>
      <c r="C97" s="296">
        <v>0</v>
      </c>
      <c r="D97" s="296">
        <v>0</v>
      </c>
      <c r="E97" s="296">
        <v>0</v>
      </c>
      <c r="F97" s="296">
        <v>0</v>
      </c>
      <c r="G97" s="296">
        <v>0</v>
      </c>
      <c r="H97" s="296">
        <v>0</v>
      </c>
      <c r="I97" s="296">
        <v>0</v>
      </c>
      <c r="J97" s="296">
        <v>0</v>
      </c>
      <c r="K97" s="296">
        <v>0</v>
      </c>
      <c r="L97" s="296">
        <v>0</v>
      </c>
      <c r="M97" s="296">
        <v>0</v>
      </c>
      <c r="N97" s="296">
        <v>0</v>
      </c>
      <c r="O97" s="296">
        <v>0</v>
      </c>
      <c r="P97" s="296">
        <v>0</v>
      </c>
      <c r="Q97" s="296">
        <v>0</v>
      </c>
      <c r="R97" s="296">
        <v>0</v>
      </c>
      <c r="S97" s="296">
        <v>0</v>
      </c>
      <c r="T97" s="296">
        <v>0</v>
      </c>
      <c r="U97" s="296">
        <v>0</v>
      </c>
      <c r="V97" s="296">
        <v>0</v>
      </c>
      <c r="W97" s="296">
        <v>0</v>
      </c>
      <c r="X97" s="296">
        <v>0</v>
      </c>
      <c r="Y97" s="296">
        <v>0</v>
      </c>
      <c r="Z97" s="296">
        <v>0</v>
      </c>
      <c r="AA97" s="296">
        <v>0</v>
      </c>
      <c r="AB97" s="296" t="s">
        <v>297</v>
      </c>
      <c r="AC97" s="296" t="s">
        <v>297</v>
      </c>
      <c r="AD97" s="296" t="s">
        <v>297</v>
      </c>
      <c r="AE97" s="296" t="s">
        <v>297</v>
      </c>
      <c r="AF97" s="185" t="s">
        <v>297</v>
      </c>
      <c r="AG97" s="185" t="s">
        <v>297</v>
      </c>
      <c r="AH97" s="185" t="s">
        <v>297</v>
      </c>
      <c r="AI97" s="185" t="s">
        <v>297</v>
      </c>
      <c r="AJ97" s="185" t="s">
        <v>297</v>
      </c>
      <c r="AK97" s="185" t="s">
        <v>297</v>
      </c>
      <c r="AL97" s="185" t="s">
        <v>297</v>
      </c>
      <c r="AM97" s="185" t="s">
        <v>297</v>
      </c>
      <c r="AN97" s="185" t="s">
        <v>297</v>
      </c>
      <c r="AO97" s="185" t="s">
        <v>297</v>
      </c>
      <c r="AP97" s="185" t="s">
        <v>297</v>
      </c>
      <c r="AQ97" s="185" t="s">
        <v>297</v>
      </c>
      <c r="AR97" s="185" t="s">
        <v>297</v>
      </c>
      <c r="AS97" s="185" t="s">
        <v>297</v>
      </c>
      <c r="AT97" s="185" t="s">
        <v>297</v>
      </c>
      <c r="AU97" s="185" t="s">
        <v>297</v>
      </c>
      <c r="AV97" s="185" t="s">
        <v>297</v>
      </c>
      <c r="AW97" s="296" t="s">
        <v>297</v>
      </c>
      <c r="AX97" s="304"/>
    </row>
    <row r="98" spans="1:50" ht="14.25" customHeight="1" x14ac:dyDescent="0.15">
      <c r="A98" s="186" t="s">
        <v>368</v>
      </c>
      <c r="B98" s="295" t="s">
        <v>297</v>
      </c>
      <c r="C98" s="295" t="s">
        <v>297</v>
      </c>
      <c r="D98" s="295" t="s">
        <v>297</v>
      </c>
      <c r="E98" s="295" t="s">
        <v>297</v>
      </c>
      <c r="F98" s="295" t="s">
        <v>297</v>
      </c>
      <c r="G98" s="295" t="s">
        <v>297</v>
      </c>
      <c r="H98" s="295" t="s">
        <v>297</v>
      </c>
      <c r="I98" s="295" t="s">
        <v>297</v>
      </c>
      <c r="J98" s="295" t="s">
        <v>297</v>
      </c>
      <c r="K98" s="295" t="s">
        <v>297</v>
      </c>
      <c r="L98" s="295" t="s">
        <v>297</v>
      </c>
      <c r="M98" s="295" t="s">
        <v>297</v>
      </c>
      <c r="N98" s="295" t="s">
        <v>297</v>
      </c>
      <c r="O98" s="295" t="s">
        <v>297</v>
      </c>
      <c r="P98" s="295" t="s">
        <v>297</v>
      </c>
      <c r="Q98" s="295" t="s">
        <v>297</v>
      </c>
      <c r="R98" s="295" t="s">
        <v>297</v>
      </c>
      <c r="S98" s="295" t="s">
        <v>297</v>
      </c>
      <c r="T98" s="295" t="s">
        <v>297</v>
      </c>
      <c r="U98" s="295" t="s">
        <v>297</v>
      </c>
      <c r="V98" s="295" t="s">
        <v>297</v>
      </c>
      <c r="W98" s="295" t="s">
        <v>297</v>
      </c>
      <c r="X98" s="295" t="s">
        <v>297</v>
      </c>
      <c r="Y98" s="295" t="s">
        <v>297</v>
      </c>
      <c r="Z98" s="295" t="s">
        <v>297</v>
      </c>
      <c r="AA98" s="295" t="s">
        <v>297</v>
      </c>
      <c r="AB98" s="295" t="s">
        <v>297</v>
      </c>
      <c r="AC98" s="295" t="s">
        <v>297</v>
      </c>
      <c r="AD98" s="295" t="s">
        <v>297</v>
      </c>
      <c r="AE98" s="295" t="s">
        <v>297</v>
      </c>
      <c r="AF98" s="183">
        <v>5.5</v>
      </c>
      <c r="AG98" s="183">
        <v>26.8</v>
      </c>
      <c r="AH98" s="183">
        <v>1.1000000000000001</v>
      </c>
      <c r="AI98" s="183">
        <v>5</v>
      </c>
      <c r="AJ98" s="183">
        <v>6.1</v>
      </c>
      <c r="AK98" s="183">
        <v>34.200000000000003</v>
      </c>
      <c r="AL98" s="183">
        <v>15</v>
      </c>
      <c r="AM98" s="183">
        <v>12</v>
      </c>
      <c r="AN98" s="183">
        <v>31.6</v>
      </c>
      <c r="AO98" s="183">
        <v>6.5</v>
      </c>
      <c r="AP98" s="183">
        <v>23.6</v>
      </c>
      <c r="AQ98" s="183">
        <v>23.5</v>
      </c>
      <c r="AR98" s="183">
        <v>20.100000000000001</v>
      </c>
      <c r="AS98" s="183">
        <v>22.1</v>
      </c>
      <c r="AT98" s="183">
        <v>22.3</v>
      </c>
      <c r="AU98" s="183">
        <v>28.9</v>
      </c>
      <c r="AV98" s="183">
        <v>30.6</v>
      </c>
      <c r="AW98" s="295" t="s">
        <v>297</v>
      </c>
      <c r="AX98" s="304"/>
    </row>
    <row r="99" spans="1:50" ht="14.25" customHeight="1" x14ac:dyDescent="0.15">
      <c r="A99" s="186" t="s">
        <v>59</v>
      </c>
      <c r="B99" s="296" t="s">
        <v>297</v>
      </c>
      <c r="C99" s="296" t="s">
        <v>297</v>
      </c>
      <c r="D99" s="296" t="s">
        <v>297</v>
      </c>
      <c r="E99" s="296" t="s">
        <v>297</v>
      </c>
      <c r="F99" s="296" t="s">
        <v>297</v>
      </c>
      <c r="G99" s="296" t="s">
        <v>297</v>
      </c>
      <c r="H99" s="296" t="s">
        <v>297</v>
      </c>
      <c r="I99" s="296" t="s">
        <v>297</v>
      </c>
      <c r="J99" s="296" t="s">
        <v>297</v>
      </c>
      <c r="K99" s="296" t="s">
        <v>297</v>
      </c>
      <c r="L99" s="296" t="s">
        <v>297</v>
      </c>
      <c r="M99" s="296" t="s">
        <v>297</v>
      </c>
      <c r="N99" s="296" t="s">
        <v>297</v>
      </c>
      <c r="O99" s="296" t="s">
        <v>297</v>
      </c>
      <c r="P99" s="296" t="s">
        <v>297</v>
      </c>
      <c r="Q99" s="296" t="s">
        <v>297</v>
      </c>
      <c r="R99" s="296" t="s">
        <v>297</v>
      </c>
      <c r="S99" s="296" t="s">
        <v>297</v>
      </c>
      <c r="T99" s="296" t="s">
        <v>297</v>
      </c>
      <c r="U99" s="296" t="s">
        <v>297</v>
      </c>
      <c r="V99" s="296" t="s">
        <v>297</v>
      </c>
      <c r="W99" s="296" t="s">
        <v>297</v>
      </c>
      <c r="X99" s="296" t="s">
        <v>297</v>
      </c>
      <c r="Y99" s="296" t="s">
        <v>297</v>
      </c>
      <c r="Z99" s="296" t="s">
        <v>297</v>
      </c>
      <c r="AA99" s="296" t="s">
        <v>297</v>
      </c>
      <c r="AB99" s="296" t="s">
        <v>297</v>
      </c>
      <c r="AC99" s="296" t="s">
        <v>297</v>
      </c>
      <c r="AD99" s="296" t="s">
        <v>297</v>
      </c>
      <c r="AE99" s="296" t="s">
        <v>297</v>
      </c>
      <c r="AF99" s="185">
        <v>4744.6009226229435</v>
      </c>
      <c r="AG99" s="185">
        <v>5463.3157524624867</v>
      </c>
      <c r="AH99" s="185">
        <v>7577.0724857815667</v>
      </c>
      <c r="AI99" s="185">
        <v>6934.5672064791324</v>
      </c>
      <c r="AJ99" s="185">
        <v>8557.0116605982603</v>
      </c>
      <c r="AK99" s="185">
        <v>15281.709058152932</v>
      </c>
      <c r="AL99" s="185">
        <v>16088.925151048332</v>
      </c>
      <c r="AM99" s="185">
        <v>18107.268899686616</v>
      </c>
      <c r="AN99" s="185">
        <v>20616.895670336507</v>
      </c>
      <c r="AO99" s="185">
        <v>22027.7</v>
      </c>
      <c r="AP99" s="185">
        <v>13315.55768878778</v>
      </c>
      <c r="AQ99" s="185">
        <v>16745.628083921863</v>
      </c>
      <c r="AR99" s="185">
        <v>20736.721424041032</v>
      </c>
      <c r="AS99" s="185">
        <v>20172.885658269206</v>
      </c>
      <c r="AT99" s="185">
        <v>19060.620332223782</v>
      </c>
      <c r="AU99" s="185">
        <v>22533.98115325849</v>
      </c>
      <c r="AV99" s="185">
        <v>38957.049882828316</v>
      </c>
      <c r="AW99" s="296">
        <v>36404.114909469834</v>
      </c>
      <c r="AX99" s="304"/>
    </row>
    <row r="100" spans="1:50" ht="14.25" customHeight="1" x14ac:dyDescent="0.15">
      <c r="A100" s="186" t="s">
        <v>196</v>
      </c>
      <c r="B100" s="295">
        <v>11</v>
      </c>
      <c r="C100" s="295">
        <v>26</v>
      </c>
      <c r="D100" s="295">
        <v>23</v>
      </c>
      <c r="E100" s="295">
        <v>13</v>
      </c>
      <c r="F100" s="295">
        <v>14</v>
      </c>
      <c r="G100" s="295">
        <v>11</v>
      </c>
      <c r="H100" s="295">
        <v>123.3</v>
      </c>
      <c r="I100" s="295">
        <v>0</v>
      </c>
      <c r="J100" s="295">
        <v>0</v>
      </c>
      <c r="K100" s="295">
        <v>0</v>
      </c>
      <c r="L100" s="295">
        <v>20.5</v>
      </c>
      <c r="M100" s="295">
        <v>34.799999999999997</v>
      </c>
      <c r="N100" s="295">
        <v>43.6</v>
      </c>
      <c r="O100" s="295">
        <v>42.7</v>
      </c>
      <c r="P100" s="295">
        <v>35.700000000000003</v>
      </c>
      <c r="Q100" s="295">
        <v>17.100000000000001</v>
      </c>
      <c r="R100" s="295">
        <v>-46.3</v>
      </c>
      <c r="S100" s="295">
        <v>-35.6</v>
      </c>
      <c r="T100" s="295">
        <v>-73.8</v>
      </c>
      <c r="U100" s="295">
        <v>28.4</v>
      </c>
      <c r="V100" s="295">
        <v>87.5</v>
      </c>
      <c r="W100" s="295">
        <v>115.5</v>
      </c>
      <c r="X100" s="295">
        <v>95.6</v>
      </c>
      <c r="Y100" s="295">
        <v>239.4</v>
      </c>
      <c r="Z100" s="295">
        <v>220.2</v>
      </c>
      <c r="AA100" s="295">
        <v>363.5</v>
      </c>
      <c r="AB100" s="295">
        <v>-285.10000000000002</v>
      </c>
      <c r="AC100" s="295">
        <v>184.3</v>
      </c>
      <c r="AD100" s="295">
        <v>1046.0999999999999</v>
      </c>
      <c r="AE100" s="295">
        <v>970.9</v>
      </c>
      <c r="AF100" s="183">
        <v>2070.8000000000002</v>
      </c>
      <c r="AG100" s="183">
        <v>2892</v>
      </c>
      <c r="AH100" s="183">
        <v>3767.4</v>
      </c>
      <c r="AI100" s="183">
        <v>1367.5</v>
      </c>
      <c r="AJ100" s="183">
        <v>2325.6</v>
      </c>
      <c r="AK100" s="183">
        <v>3453.1</v>
      </c>
      <c r="AL100" s="183">
        <v>4220.7</v>
      </c>
      <c r="AM100" s="183">
        <v>3916.6</v>
      </c>
      <c r="AN100" s="183">
        <v>4022.7</v>
      </c>
      <c r="AO100" s="183">
        <v>4994.3</v>
      </c>
      <c r="AP100" s="183">
        <v>6387.4</v>
      </c>
      <c r="AQ100" s="183">
        <v>6137.8</v>
      </c>
      <c r="AR100" s="183">
        <v>6789.6</v>
      </c>
      <c r="AS100" s="183">
        <v>7195.1</v>
      </c>
      <c r="AT100" s="183">
        <v>6329.5</v>
      </c>
      <c r="AU100" s="183">
        <v>4496.6000000000004</v>
      </c>
      <c r="AV100" s="183">
        <v>9178.7000000000007</v>
      </c>
      <c r="AW100" s="295">
        <v>8811.5</v>
      </c>
      <c r="AX100" s="304"/>
    </row>
    <row r="101" spans="1:50" ht="14.25" customHeight="1" x14ac:dyDescent="0.15">
      <c r="A101" s="186" t="s">
        <v>74</v>
      </c>
      <c r="B101" s="296">
        <v>0</v>
      </c>
      <c r="C101" s="296">
        <v>0</v>
      </c>
      <c r="D101" s="296">
        <v>0</v>
      </c>
      <c r="E101" s="296">
        <v>0</v>
      </c>
      <c r="F101" s="296">
        <v>0</v>
      </c>
      <c r="G101" s="296">
        <v>43.492654569281179</v>
      </c>
      <c r="H101" s="296">
        <v>25.853355922765815</v>
      </c>
      <c r="I101" s="296">
        <v>60.477435909892016</v>
      </c>
      <c r="J101" s="296">
        <v>65.224808464852302</v>
      </c>
      <c r="K101" s="296">
        <v>36.834286048485609</v>
      </c>
      <c r="L101" s="296">
        <v>75.382555730927464</v>
      </c>
      <c r="M101" s="296">
        <v>59.198516356880951</v>
      </c>
      <c r="N101" s="296">
        <v>135.49311973563971</v>
      </c>
      <c r="O101" s="296">
        <v>174.46548158732696</v>
      </c>
      <c r="P101" s="296">
        <v>188.32287294677431</v>
      </c>
      <c r="Q101" s="296">
        <v>264.57334325169205</v>
      </c>
      <c r="R101" s="296">
        <v>546.55475248264429</v>
      </c>
      <c r="S101" s="296">
        <v>462.81851662843491</v>
      </c>
      <c r="T101" s="296">
        <v>327.29614511882284</v>
      </c>
      <c r="U101" s="296">
        <v>1123.8670527055106</v>
      </c>
      <c r="V101" s="296">
        <v>1481.8573529682362</v>
      </c>
      <c r="W101" s="296">
        <v>1022.7020944711836</v>
      </c>
      <c r="X101" s="296">
        <v>1328.6097253559399</v>
      </c>
      <c r="Y101" s="296">
        <v>1717.7827980759407</v>
      </c>
      <c r="Z101" s="296">
        <v>6721.3</v>
      </c>
      <c r="AA101" s="296">
        <v>4761.2148900863494</v>
      </c>
      <c r="AB101" s="296">
        <v>5531.6525266063918</v>
      </c>
      <c r="AC101" s="296">
        <v>7962.5959423473969</v>
      </c>
      <c r="AD101" s="296">
        <v>9746.2682283828053</v>
      </c>
      <c r="AE101" s="296">
        <v>12439.833255194797</v>
      </c>
      <c r="AF101" s="185">
        <v>15803.850465258338</v>
      </c>
      <c r="AG101" s="185">
        <v>24868.950357544574</v>
      </c>
      <c r="AH101" s="185">
        <v>33745.360508537218</v>
      </c>
      <c r="AI101" s="185">
        <v>30964.280531479126</v>
      </c>
      <c r="AJ101" s="185">
        <v>24949.690910145295</v>
      </c>
      <c r="AK101" s="185">
        <v>24441.290721789232</v>
      </c>
      <c r="AL101" s="185">
        <v>28092.580987547179</v>
      </c>
      <c r="AM101" s="185">
        <v>21613.480381755457</v>
      </c>
      <c r="AN101" s="185">
        <v>23815.238392480544</v>
      </c>
      <c r="AO101" s="185">
        <v>27247.176398978212</v>
      </c>
      <c r="AP101" s="185">
        <v>12476.289546894852</v>
      </c>
      <c r="AQ101" s="185">
        <v>18009.694980723085</v>
      </c>
      <c r="AR101" s="185">
        <v>24670.418364434488</v>
      </c>
      <c r="AS101" s="185">
        <v>29749.770386282074</v>
      </c>
      <c r="AT101" s="185">
        <v>28320.342803489923</v>
      </c>
      <c r="AU101" s="185">
        <v>16480.571074630578</v>
      </c>
      <c r="AV101" s="185">
        <v>36338.901451370817</v>
      </c>
      <c r="AW101" s="296">
        <v>19866.008340381555</v>
      </c>
      <c r="AX101" s="304"/>
    </row>
    <row r="102" spans="1:50" ht="14.25" customHeight="1" x14ac:dyDescent="0.15">
      <c r="A102" s="186" t="s">
        <v>369</v>
      </c>
      <c r="B102" s="295" t="s">
        <v>297</v>
      </c>
      <c r="C102" s="295">
        <v>1.2</v>
      </c>
      <c r="D102" s="295">
        <v>1.6</v>
      </c>
      <c r="E102" s="295">
        <v>1.8</v>
      </c>
      <c r="F102" s="295">
        <v>1.8</v>
      </c>
      <c r="G102" s="295">
        <v>1.8</v>
      </c>
      <c r="H102" s="295">
        <v>35.9</v>
      </c>
      <c r="I102" s="295">
        <v>60.9</v>
      </c>
      <c r="J102" s="295">
        <v>41</v>
      </c>
      <c r="K102" s="295">
        <v>12.5</v>
      </c>
      <c r="L102" s="295">
        <v>26.8</v>
      </c>
      <c r="M102" s="295">
        <v>1.3</v>
      </c>
      <c r="N102" s="295">
        <v>0.8</v>
      </c>
      <c r="O102" s="295">
        <v>1</v>
      </c>
      <c r="P102" s="295">
        <v>1.2</v>
      </c>
      <c r="Q102" s="295">
        <v>1</v>
      </c>
      <c r="R102" s="295">
        <v>1</v>
      </c>
      <c r="S102" s="295">
        <v>1</v>
      </c>
      <c r="T102" s="295">
        <v>42.7</v>
      </c>
      <c r="U102" s="295">
        <v>8.6</v>
      </c>
      <c r="V102" s="295">
        <v>14.9</v>
      </c>
      <c r="W102" s="295">
        <v>7.9</v>
      </c>
      <c r="X102" s="295">
        <v>5.4</v>
      </c>
      <c r="Y102" s="295">
        <v>7</v>
      </c>
      <c r="Z102" s="295">
        <v>8.1</v>
      </c>
      <c r="AA102" s="295">
        <v>6.3</v>
      </c>
      <c r="AB102" s="295">
        <v>5.7</v>
      </c>
      <c r="AC102" s="295">
        <v>17.2</v>
      </c>
      <c r="AD102" s="295">
        <v>8.4</v>
      </c>
      <c r="AE102" s="295">
        <v>24.915095000000001</v>
      </c>
      <c r="AF102" s="183">
        <v>24.362787999999998</v>
      </c>
      <c r="AG102" s="183">
        <v>-0.33174363000000001</v>
      </c>
      <c r="AH102" s="183">
        <v>9.5633839999999992</v>
      </c>
      <c r="AI102" s="183">
        <v>13.867312650000001</v>
      </c>
      <c r="AJ102" s="183">
        <v>10.90762765</v>
      </c>
      <c r="AK102" s="183">
        <v>5.2156974299999996</v>
      </c>
      <c r="AL102" s="183">
        <v>9.4</v>
      </c>
      <c r="AM102" s="183" t="s">
        <v>297</v>
      </c>
      <c r="AN102" s="183" t="s">
        <v>297</v>
      </c>
      <c r="AO102" s="183" t="s">
        <v>297</v>
      </c>
      <c r="AP102" s="183" t="s">
        <v>297</v>
      </c>
      <c r="AQ102" s="183" t="s">
        <v>297</v>
      </c>
      <c r="AR102" s="183" t="s">
        <v>297</v>
      </c>
      <c r="AS102" s="183" t="s">
        <v>297</v>
      </c>
      <c r="AT102" s="183" t="s">
        <v>297</v>
      </c>
      <c r="AU102" s="183" t="s">
        <v>297</v>
      </c>
      <c r="AV102" s="183" t="s">
        <v>297</v>
      </c>
      <c r="AW102" s="295" t="s">
        <v>297</v>
      </c>
      <c r="AX102" s="304"/>
    </row>
    <row r="103" spans="1:50" ht="14.25" customHeight="1" x14ac:dyDescent="0.15">
      <c r="A103" s="186" t="s">
        <v>73</v>
      </c>
      <c r="B103" s="296" t="s">
        <v>297</v>
      </c>
      <c r="C103" s="296" t="s">
        <v>297</v>
      </c>
      <c r="D103" s="296" t="s">
        <v>297</v>
      </c>
      <c r="E103" s="296" t="s">
        <v>297</v>
      </c>
      <c r="F103" s="296" t="s">
        <v>297</v>
      </c>
      <c r="G103" s="296" t="s">
        <v>297</v>
      </c>
      <c r="H103" s="296" t="s">
        <v>297</v>
      </c>
      <c r="I103" s="296" t="s">
        <v>297</v>
      </c>
      <c r="J103" s="296" t="s">
        <v>297</v>
      </c>
      <c r="K103" s="296" t="s">
        <v>297</v>
      </c>
      <c r="L103" s="296" t="s">
        <v>297</v>
      </c>
      <c r="M103" s="296" t="s">
        <v>297</v>
      </c>
      <c r="N103" s="296" t="s">
        <v>297</v>
      </c>
      <c r="O103" s="296" t="s">
        <v>297</v>
      </c>
      <c r="P103" s="296" t="s">
        <v>297</v>
      </c>
      <c r="Q103" s="296" t="s">
        <v>297</v>
      </c>
      <c r="R103" s="296" t="s">
        <v>297</v>
      </c>
      <c r="S103" s="296" t="s">
        <v>297</v>
      </c>
      <c r="T103" s="296" t="s">
        <v>297</v>
      </c>
      <c r="U103" s="296" t="s">
        <v>297</v>
      </c>
      <c r="V103" s="296" t="s">
        <v>297</v>
      </c>
      <c r="W103" s="296">
        <v>15131</v>
      </c>
      <c r="X103" s="296">
        <v>11937.615798619125</v>
      </c>
      <c r="Y103" s="296">
        <v>5774.6070882173544</v>
      </c>
      <c r="Z103" s="296">
        <v>6756.7749086119238</v>
      </c>
      <c r="AA103" s="296">
        <v>20089.696438975694</v>
      </c>
      <c r="AB103" s="296">
        <v>13839.899231624311</v>
      </c>
      <c r="AC103" s="296">
        <v>12288.876018736983</v>
      </c>
      <c r="AD103" s="296">
        <v>16078.362922907176</v>
      </c>
      <c r="AE103" s="296">
        <v>27896.447039061459</v>
      </c>
      <c r="AF103" s="185">
        <v>34691.484539829537</v>
      </c>
      <c r="AG103" s="185">
        <v>40044.489242180098</v>
      </c>
      <c r="AH103" s="185">
        <v>42772.102751948049</v>
      </c>
      <c r="AI103" s="185">
        <v>25337.695473423482</v>
      </c>
      <c r="AJ103" s="185">
        <v>39703.963654017585</v>
      </c>
      <c r="AK103" s="185">
        <v>57460.703382721105</v>
      </c>
      <c r="AL103" s="185">
        <v>64600.389614553147</v>
      </c>
      <c r="AM103" s="185">
        <v>61996.071556925308</v>
      </c>
      <c r="AN103" s="185">
        <v>86672.962093953145</v>
      </c>
      <c r="AO103" s="185">
        <v>98852.946242858161</v>
      </c>
      <c r="AP103" s="185">
        <v>94863.978925594696</v>
      </c>
      <c r="AQ103" s="185">
        <v>109322.94035121183</v>
      </c>
      <c r="AR103" s="185">
        <v>118792.84078043126</v>
      </c>
      <c r="AS103" s="185">
        <v>128486.35791769832</v>
      </c>
      <c r="AT103" s="185">
        <v>134359.88476814658</v>
      </c>
      <c r="AU103" s="185">
        <v>118024.44699711534</v>
      </c>
      <c r="AV103" s="185">
        <v>187714.21901674932</v>
      </c>
      <c r="AW103" s="296">
        <v>208047.78052640075</v>
      </c>
      <c r="AX103" s="304"/>
    </row>
    <row r="104" spans="1:50" ht="14.25" customHeight="1" x14ac:dyDescent="0.15">
      <c r="A104" s="186" t="s">
        <v>370</v>
      </c>
      <c r="B104" s="295">
        <v>0</v>
      </c>
      <c r="C104" s="295">
        <v>0</v>
      </c>
      <c r="D104" s="295">
        <v>0</v>
      </c>
      <c r="E104" s="295">
        <v>0</v>
      </c>
      <c r="F104" s="295">
        <v>0</v>
      </c>
      <c r="G104" s="295">
        <v>0</v>
      </c>
      <c r="H104" s="295">
        <v>0</v>
      </c>
      <c r="I104" s="295">
        <v>0</v>
      </c>
      <c r="J104" s="295">
        <v>0</v>
      </c>
      <c r="K104" s="295">
        <v>0</v>
      </c>
      <c r="L104" s="295">
        <v>0</v>
      </c>
      <c r="M104" s="295">
        <v>0</v>
      </c>
      <c r="N104" s="295">
        <v>0</v>
      </c>
      <c r="O104" s="295">
        <v>0</v>
      </c>
      <c r="P104" s="295">
        <v>0</v>
      </c>
      <c r="Q104" s="295">
        <v>0</v>
      </c>
      <c r="R104" s="295">
        <v>0</v>
      </c>
      <c r="S104" s="295">
        <v>0</v>
      </c>
      <c r="T104" s="295">
        <v>0</v>
      </c>
      <c r="U104" s="295">
        <v>0</v>
      </c>
      <c r="V104" s="295">
        <v>0</v>
      </c>
      <c r="W104" s="295" t="s">
        <v>297</v>
      </c>
      <c r="X104" s="295" t="s">
        <v>297</v>
      </c>
      <c r="Y104" s="295" t="s">
        <v>297</v>
      </c>
      <c r="Z104" s="295" t="s">
        <v>297</v>
      </c>
      <c r="AA104" s="295">
        <v>0</v>
      </c>
      <c r="AB104" s="295">
        <v>0</v>
      </c>
      <c r="AC104" s="295">
        <v>0</v>
      </c>
      <c r="AD104" s="295">
        <v>0</v>
      </c>
      <c r="AE104" s="295">
        <v>0</v>
      </c>
      <c r="AF104" s="183">
        <v>0</v>
      </c>
      <c r="AG104" s="183">
        <v>0</v>
      </c>
      <c r="AH104" s="183">
        <v>0</v>
      </c>
      <c r="AI104" s="183">
        <v>0</v>
      </c>
      <c r="AJ104" s="183">
        <v>0</v>
      </c>
      <c r="AK104" s="183">
        <v>0</v>
      </c>
      <c r="AL104" s="183">
        <v>0</v>
      </c>
      <c r="AM104" s="183" t="s">
        <v>297</v>
      </c>
      <c r="AN104" s="183" t="s">
        <v>297</v>
      </c>
      <c r="AO104" s="183" t="s">
        <v>297</v>
      </c>
      <c r="AP104" s="183" t="s">
        <v>297</v>
      </c>
      <c r="AQ104" s="183" t="s">
        <v>297</v>
      </c>
      <c r="AR104" s="183" t="s">
        <v>297</v>
      </c>
      <c r="AS104" s="183" t="s">
        <v>297</v>
      </c>
      <c r="AT104" s="183" t="s">
        <v>297</v>
      </c>
      <c r="AU104" s="183" t="s">
        <v>297</v>
      </c>
      <c r="AV104" s="183" t="s">
        <v>297</v>
      </c>
      <c r="AW104" s="295" t="s">
        <v>297</v>
      </c>
      <c r="AX104" s="304"/>
    </row>
    <row r="105" spans="1:50" ht="14.25" customHeight="1" x14ac:dyDescent="0.15">
      <c r="A105" s="186" t="s">
        <v>371</v>
      </c>
      <c r="B105" s="296" t="s">
        <v>297</v>
      </c>
      <c r="C105" s="296" t="s">
        <v>297</v>
      </c>
      <c r="D105" s="296" t="s">
        <v>297</v>
      </c>
      <c r="E105" s="296" t="s">
        <v>297</v>
      </c>
      <c r="F105" s="296" t="s">
        <v>297</v>
      </c>
      <c r="G105" s="296" t="s">
        <v>297</v>
      </c>
      <c r="H105" s="296" t="s">
        <v>297</v>
      </c>
      <c r="I105" s="296" t="s">
        <v>297</v>
      </c>
      <c r="J105" s="296" t="s">
        <v>297</v>
      </c>
      <c r="K105" s="296" t="s">
        <v>297</v>
      </c>
      <c r="L105" s="296" t="s">
        <v>297</v>
      </c>
      <c r="M105" s="296" t="s">
        <v>297</v>
      </c>
      <c r="N105" s="296" t="s">
        <v>297</v>
      </c>
      <c r="O105" s="296" t="s">
        <v>297</v>
      </c>
      <c r="P105" s="296" t="s">
        <v>297</v>
      </c>
      <c r="Q105" s="296" t="s">
        <v>297</v>
      </c>
      <c r="R105" s="296" t="s">
        <v>297</v>
      </c>
      <c r="S105" s="296" t="s">
        <v>297</v>
      </c>
      <c r="T105" s="296" t="s">
        <v>297</v>
      </c>
      <c r="U105" s="296" t="s">
        <v>297</v>
      </c>
      <c r="V105" s="296">
        <v>0</v>
      </c>
      <c r="W105" s="296" t="s">
        <v>297</v>
      </c>
      <c r="X105" s="296" t="s">
        <v>297</v>
      </c>
      <c r="Y105" s="296" t="s">
        <v>297</v>
      </c>
      <c r="Z105" s="296" t="s">
        <v>297</v>
      </c>
      <c r="AA105" s="296">
        <v>0</v>
      </c>
      <c r="AB105" s="296">
        <v>0.42464000000000002</v>
      </c>
      <c r="AC105" s="296">
        <v>0.01</v>
      </c>
      <c r="AD105" s="296">
        <v>0.01</v>
      </c>
      <c r="AE105" s="296">
        <v>7.8792</v>
      </c>
      <c r="AF105" s="185">
        <v>-0.15634999999999999</v>
      </c>
      <c r="AG105" s="185">
        <v>1.8657999999999999</v>
      </c>
      <c r="AH105" s="185">
        <v>257.16766000000001</v>
      </c>
      <c r="AI105" s="185">
        <v>120.86011999999999</v>
      </c>
      <c r="AJ105" s="185">
        <v>40.608939999999997</v>
      </c>
      <c r="AK105" s="185">
        <v>291.45897000000002</v>
      </c>
      <c r="AL105" s="185">
        <v>116.63749</v>
      </c>
      <c r="AM105" s="185">
        <v>141.66809366561802</v>
      </c>
      <c r="AN105" s="185">
        <v>307.62531999999999</v>
      </c>
      <c r="AO105" s="185">
        <v>237.70771999999999</v>
      </c>
      <c r="AP105" s="185">
        <v>321.41475000000003</v>
      </c>
      <c r="AQ105" s="185">
        <v>113.22278</v>
      </c>
      <c r="AR105" s="185">
        <v>266.02461993103452</v>
      </c>
      <c r="AS105" s="185">
        <v>361.26193000000001</v>
      </c>
      <c r="AT105" s="185">
        <v>478.72084999999998</v>
      </c>
      <c r="AU105" s="185">
        <v>181.55033</v>
      </c>
      <c r="AV105" s="185">
        <v>398.62054000000001</v>
      </c>
      <c r="AW105" s="296">
        <v>1143.4917499999999</v>
      </c>
      <c r="AX105" s="304"/>
    </row>
    <row r="106" spans="1:50" ht="14.25" customHeight="1" x14ac:dyDescent="0.15">
      <c r="A106" s="186" t="s">
        <v>372</v>
      </c>
      <c r="B106" s="295">
        <v>5.1748603475656205</v>
      </c>
      <c r="C106" s="295">
        <v>5.4976936583005775</v>
      </c>
      <c r="D106" s="295">
        <v>10.874081858674737</v>
      </c>
      <c r="E106" s="295">
        <v>6.4688213600225346</v>
      </c>
      <c r="F106" s="295">
        <v>12.307183283140526</v>
      </c>
      <c r="G106" s="295">
        <v>4.5820944557778489</v>
      </c>
      <c r="H106" s="295">
        <v>5.8579728950186958</v>
      </c>
      <c r="I106" s="295">
        <v>9.6133378200710435</v>
      </c>
      <c r="J106" s="295">
        <v>14.423600617321384</v>
      </c>
      <c r="K106" s="295">
        <v>6.8683820280116432</v>
      </c>
      <c r="L106" s="295">
        <v>5.416222499286623</v>
      </c>
      <c r="M106" s="295">
        <v>9.5527220379710727</v>
      </c>
      <c r="N106" s="295">
        <v>17.016630210899827</v>
      </c>
      <c r="O106" s="295">
        <v>0</v>
      </c>
      <c r="P106" s="295">
        <v>0</v>
      </c>
      <c r="Q106" s="295">
        <v>0</v>
      </c>
      <c r="R106" s="295">
        <v>0</v>
      </c>
      <c r="S106" s="295">
        <v>0</v>
      </c>
      <c r="T106" s="295">
        <v>0</v>
      </c>
      <c r="U106" s="295">
        <v>0</v>
      </c>
      <c r="V106" s="295">
        <v>0</v>
      </c>
      <c r="W106" s="295">
        <v>0</v>
      </c>
      <c r="X106" s="295">
        <v>0</v>
      </c>
      <c r="Y106" s="295">
        <v>0</v>
      </c>
      <c r="Z106" s="295">
        <v>0</v>
      </c>
      <c r="AA106" s="295">
        <v>0</v>
      </c>
      <c r="AB106" s="295">
        <v>0</v>
      </c>
      <c r="AC106" s="295">
        <v>0</v>
      </c>
      <c r="AD106" s="295">
        <v>0</v>
      </c>
      <c r="AE106" s="295">
        <v>0</v>
      </c>
      <c r="AF106" s="183">
        <v>0</v>
      </c>
      <c r="AG106" s="183">
        <v>0</v>
      </c>
      <c r="AH106" s="183">
        <v>0</v>
      </c>
      <c r="AI106" s="183">
        <v>0</v>
      </c>
      <c r="AJ106" s="183">
        <v>0</v>
      </c>
      <c r="AK106" s="183">
        <v>0</v>
      </c>
      <c r="AL106" s="183">
        <v>225.7</v>
      </c>
      <c r="AM106" s="183">
        <v>314.66243123151014</v>
      </c>
      <c r="AN106" s="183">
        <v>292.9740659251022</v>
      </c>
      <c r="AO106" s="183">
        <v>455.31090530229454</v>
      </c>
      <c r="AP106" s="183">
        <v>26.967742208102436</v>
      </c>
      <c r="AQ106" s="183">
        <v>21.92041589924678</v>
      </c>
      <c r="AR106" s="183">
        <v>38.72964138845574</v>
      </c>
      <c r="AS106" s="183">
        <v>43.884668088759028</v>
      </c>
      <c r="AT106" s="183">
        <v>28.768010369333421</v>
      </c>
      <c r="AU106" s="183">
        <v>-64.871000429214732</v>
      </c>
      <c r="AV106" s="183">
        <v>-59.836054451911352</v>
      </c>
      <c r="AW106" s="295">
        <v>-55.93718485389013</v>
      </c>
      <c r="AX106" s="304"/>
    </row>
    <row r="107" spans="1:50" ht="14.25" customHeight="1" x14ac:dyDescent="0.15">
      <c r="A107" s="186" t="s">
        <v>373</v>
      </c>
      <c r="B107" s="296" t="s">
        <v>297</v>
      </c>
      <c r="C107" s="296" t="s">
        <v>297</v>
      </c>
      <c r="D107" s="296" t="s">
        <v>297</v>
      </c>
      <c r="E107" s="296" t="s">
        <v>297</v>
      </c>
      <c r="F107" s="296">
        <v>0</v>
      </c>
      <c r="G107" s="296">
        <v>0</v>
      </c>
      <c r="H107" s="296">
        <v>0</v>
      </c>
      <c r="I107" s="296">
        <v>0</v>
      </c>
      <c r="J107" s="296">
        <v>0</v>
      </c>
      <c r="K107" s="296">
        <v>0</v>
      </c>
      <c r="L107" s="296">
        <v>0</v>
      </c>
      <c r="M107" s="296">
        <v>0</v>
      </c>
      <c r="N107" s="296">
        <v>0</v>
      </c>
      <c r="O107" s="296">
        <v>0</v>
      </c>
      <c r="P107" s="296">
        <v>0</v>
      </c>
      <c r="Q107" s="296">
        <v>0</v>
      </c>
      <c r="R107" s="296">
        <v>0</v>
      </c>
      <c r="S107" s="296">
        <v>0</v>
      </c>
      <c r="T107" s="296">
        <v>0</v>
      </c>
      <c r="U107" s="296">
        <v>2.7782838126583796E-2</v>
      </c>
      <c r="V107" s="296" t="s">
        <v>297</v>
      </c>
      <c r="W107" s="296" t="s">
        <v>297</v>
      </c>
      <c r="X107" s="296" t="s">
        <v>297</v>
      </c>
      <c r="Y107" s="296" t="s">
        <v>297</v>
      </c>
      <c r="Z107" s="296" t="s">
        <v>297</v>
      </c>
      <c r="AA107" s="296" t="s">
        <v>297</v>
      </c>
      <c r="AB107" s="296" t="s">
        <v>297</v>
      </c>
      <c r="AC107" s="296" t="s">
        <v>297</v>
      </c>
      <c r="AD107" s="296" t="s">
        <v>297</v>
      </c>
      <c r="AE107" s="296" t="s">
        <v>297</v>
      </c>
      <c r="AF107" s="185" t="s">
        <v>297</v>
      </c>
      <c r="AG107" s="185">
        <v>0</v>
      </c>
      <c r="AH107" s="185">
        <v>8.3676931734267164E-3</v>
      </c>
      <c r="AI107" s="185">
        <v>8.3880068278375814E-3</v>
      </c>
      <c r="AJ107" s="185">
        <v>6.0606908583828153E-2</v>
      </c>
      <c r="AK107" s="185">
        <v>7.1282689340768507E-2</v>
      </c>
      <c r="AL107" s="185">
        <v>8.015724565927386E-2</v>
      </c>
      <c r="AM107" s="185">
        <v>8.0461189761828547E-2</v>
      </c>
      <c r="AN107" s="185">
        <v>6.0170403545900773E-2</v>
      </c>
      <c r="AO107" s="185">
        <v>5.610398111040641E-2</v>
      </c>
      <c r="AP107" s="185">
        <v>4.6777463453050422E-2</v>
      </c>
      <c r="AQ107" s="185">
        <v>4.623031786663602E-2</v>
      </c>
      <c r="AR107" s="185">
        <v>4.7663750229053385E-2</v>
      </c>
      <c r="AS107" s="185">
        <v>4.6505173396979925E-2</v>
      </c>
      <c r="AT107" s="185">
        <v>4.3229059599116181E-2</v>
      </c>
      <c r="AU107" s="185">
        <v>4.2883081066547209E-2</v>
      </c>
      <c r="AV107" s="185">
        <v>1.8693142093485871E-2</v>
      </c>
      <c r="AW107" s="296" t="s">
        <v>297</v>
      </c>
      <c r="AX107" s="304"/>
    </row>
    <row r="108" spans="1:50" ht="14.25" customHeight="1" x14ac:dyDescent="0.15">
      <c r="A108" s="186" t="s">
        <v>197</v>
      </c>
      <c r="B108" s="295" t="s">
        <v>297</v>
      </c>
      <c r="C108" s="295">
        <v>0</v>
      </c>
      <c r="D108" s="295">
        <v>6</v>
      </c>
      <c r="E108" s="295">
        <v>6</v>
      </c>
      <c r="F108" s="295">
        <v>17</v>
      </c>
      <c r="G108" s="295">
        <v>49.2</v>
      </c>
      <c r="H108" s="295">
        <v>38.200000000000003</v>
      </c>
      <c r="I108" s="295">
        <v>84.5</v>
      </c>
      <c r="J108" s="295">
        <v>77.400000000000006</v>
      </c>
      <c r="K108" s="295">
        <v>73.5</v>
      </c>
      <c r="L108" s="295">
        <v>35.5</v>
      </c>
      <c r="M108" s="295">
        <v>78.7</v>
      </c>
      <c r="N108" s="295">
        <v>49.7</v>
      </c>
      <c r="O108" s="295">
        <v>144.19999999999999</v>
      </c>
      <c r="P108" s="295">
        <v>248.3</v>
      </c>
      <c r="Q108" s="295">
        <v>176</v>
      </c>
      <c r="R108" s="295">
        <v>226.6</v>
      </c>
      <c r="S108" s="295">
        <v>426.9</v>
      </c>
      <c r="T108" s="295">
        <v>203.7</v>
      </c>
      <c r="U108" s="295">
        <v>252.6</v>
      </c>
      <c r="V108" s="295">
        <v>506.1</v>
      </c>
      <c r="W108" s="295">
        <v>556.9</v>
      </c>
      <c r="X108" s="295">
        <v>233.9</v>
      </c>
      <c r="Y108" s="295">
        <v>137.1</v>
      </c>
      <c r="Z108" s="295">
        <v>328.6</v>
      </c>
      <c r="AA108" s="295">
        <v>1044.4000000000001</v>
      </c>
      <c r="AB108" s="295">
        <v>1145.3</v>
      </c>
      <c r="AC108" s="295">
        <v>934.6</v>
      </c>
      <c r="AD108" s="295">
        <v>1448.7</v>
      </c>
      <c r="AE108" s="295">
        <v>3175.1</v>
      </c>
      <c r="AF108" s="183">
        <v>3300.6</v>
      </c>
      <c r="AG108" s="183">
        <v>2897.7</v>
      </c>
      <c r="AH108" s="183">
        <v>3991.6</v>
      </c>
      <c r="AI108" s="183">
        <v>2702.7</v>
      </c>
      <c r="AJ108" s="183">
        <v>2488.6999999999998</v>
      </c>
      <c r="AK108" s="183">
        <v>8870</v>
      </c>
      <c r="AL108" s="183">
        <v>12933</v>
      </c>
      <c r="AM108" s="183">
        <v>15529.4</v>
      </c>
      <c r="AN108" s="183">
        <v>15252.7</v>
      </c>
      <c r="AO108" s="183">
        <v>13498.6</v>
      </c>
      <c r="AP108" s="183">
        <v>10003.4</v>
      </c>
      <c r="AQ108" s="183">
        <v>10410.799999999999</v>
      </c>
      <c r="AR108" s="183">
        <v>11472.3</v>
      </c>
      <c r="AS108" s="183">
        <v>11830.6</v>
      </c>
      <c r="AT108" s="183">
        <v>15600.1</v>
      </c>
      <c r="AU108" s="183">
        <v>13096.6</v>
      </c>
      <c r="AV108" s="183">
        <v>29893</v>
      </c>
      <c r="AW108" s="295">
        <v>28197.7</v>
      </c>
      <c r="AX108" s="304"/>
    </row>
    <row r="109" spans="1:50" ht="14.25" customHeight="1" x14ac:dyDescent="0.15">
      <c r="A109" s="186" t="s">
        <v>374</v>
      </c>
      <c r="B109" s="296" t="s">
        <v>297</v>
      </c>
      <c r="C109" s="296" t="s">
        <v>297</v>
      </c>
      <c r="D109" s="296" t="s">
        <v>297</v>
      </c>
      <c r="E109" s="296" t="s">
        <v>297</v>
      </c>
      <c r="F109" s="296" t="s">
        <v>297</v>
      </c>
      <c r="G109" s="296" t="s">
        <v>297</v>
      </c>
      <c r="H109" s="296" t="s">
        <v>297</v>
      </c>
      <c r="I109" s="296" t="s">
        <v>297</v>
      </c>
      <c r="J109" s="296" t="s">
        <v>297</v>
      </c>
      <c r="K109" s="296" t="s">
        <v>297</v>
      </c>
      <c r="L109" s="296" t="s">
        <v>297</v>
      </c>
      <c r="M109" s="296" t="s">
        <v>297</v>
      </c>
      <c r="N109" s="296" t="s">
        <v>297</v>
      </c>
      <c r="O109" s="296" t="s">
        <v>297</v>
      </c>
      <c r="P109" s="296" t="s">
        <v>297</v>
      </c>
      <c r="Q109" s="296" t="s">
        <v>297</v>
      </c>
      <c r="R109" s="296" t="s">
        <v>297</v>
      </c>
      <c r="S109" s="296" t="s">
        <v>297</v>
      </c>
      <c r="T109" s="296" t="s">
        <v>297</v>
      </c>
      <c r="U109" s="296" t="s">
        <v>297</v>
      </c>
      <c r="V109" s="296" t="s">
        <v>297</v>
      </c>
      <c r="W109" s="296" t="s">
        <v>297</v>
      </c>
      <c r="X109" s="296" t="s">
        <v>297</v>
      </c>
      <c r="Y109" s="296" t="s">
        <v>297</v>
      </c>
      <c r="Z109" s="296" t="s">
        <v>297</v>
      </c>
      <c r="AA109" s="296" t="s">
        <v>297</v>
      </c>
      <c r="AB109" s="296" t="s">
        <v>297</v>
      </c>
      <c r="AC109" s="296" t="s">
        <v>297</v>
      </c>
      <c r="AD109" s="296" t="s">
        <v>297</v>
      </c>
      <c r="AE109" s="296">
        <v>0</v>
      </c>
      <c r="AF109" s="185">
        <v>0</v>
      </c>
      <c r="AG109" s="185">
        <v>0</v>
      </c>
      <c r="AH109" s="185">
        <v>0</v>
      </c>
      <c r="AI109" s="185">
        <v>0</v>
      </c>
      <c r="AJ109" s="185">
        <v>0</v>
      </c>
      <c r="AK109" s="185">
        <v>0</v>
      </c>
      <c r="AL109" s="185">
        <v>0</v>
      </c>
      <c r="AM109" s="185">
        <v>0</v>
      </c>
      <c r="AN109" s="185">
        <v>0</v>
      </c>
      <c r="AO109" s="185">
        <v>0.82367036241394798</v>
      </c>
      <c r="AP109" s="185">
        <v>3.4984236574959171</v>
      </c>
      <c r="AQ109" s="185">
        <v>2.4889510665276098</v>
      </c>
      <c r="AR109" s="185">
        <v>0.41058984905057128</v>
      </c>
      <c r="AS109" s="185">
        <v>2.0015214026003658</v>
      </c>
      <c r="AT109" s="185">
        <v>2.3685360775955733</v>
      </c>
      <c r="AU109" s="185">
        <v>2.5669446853898528</v>
      </c>
      <c r="AV109" s="185">
        <v>3.2587575687998807</v>
      </c>
      <c r="AW109" s="296">
        <v>3.0874460089520102</v>
      </c>
      <c r="AX109" s="304"/>
    </row>
    <row r="110" spans="1:50" ht="14.25" customHeight="1" x14ac:dyDescent="0.15">
      <c r="A110" s="186" t="s">
        <v>375</v>
      </c>
      <c r="B110" s="295">
        <v>0</v>
      </c>
      <c r="C110" s="295">
        <v>0</v>
      </c>
      <c r="D110" s="295">
        <v>0</v>
      </c>
      <c r="E110" s="295">
        <v>0</v>
      </c>
      <c r="F110" s="295">
        <v>0</v>
      </c>
      <c r="G110" s="295">
        <v>0</v>
      </c>
      <c r="H110" s="295">
        <v>0</v>
      </c>
      <c r="I110" s="295">
        <v>0</v>
      </c>
      <c r="J110" s="295">
        <v>0</v>
      </c>
      <c r="K110" s="295">
        <v>0</v>
      </c>
      <c r="L110" s="295">
        <v>0</v>
      </c>
      <c r="M110" s="295">
        <v>0</v>
      </c>
      <c r="N110" s="295" t="s">
        <v>297</v>
      </c>
      <c r="O110" s="295" t="s">
        <v>297</v>
      </c>
      <c r="P110" s="295" t="s">
        <v>297</v>
      </c>
      <c r="Q110" s="295" t="s">
        <v>297</v>
      </c>
      <c r="R110" s="295" t="s">
        <v>297</v>
      </c>
      <c r="S110" s="295" t="s">
        <v>297</v>
      </c>
      <c r="T110" s="295" t="s">
        <v>297</v>
      </c>
      <c r="U110" s="295" t="s">
        <v>297</v>
      </c>
      <c r="V110" s="295">
        <v>0</v>
      </c>
      <c r="W110" s="295">
        <v>0</v>
      </c>
      <c r="X110" s="295">
        <v>0</v>
      </c>
      <c r="Y110" s="295">
        <v>0</v>
      </c>
      <c r="Z110" s="295">
        <v>0</v>
      </c>
      <c r="AA110" s="295">
        <v>0</v>
      </c>
      <c r="AB110" s="295">
        <v>0</v>
      </c>
      <c r="AC110" s="295">
        <v>0</v>
      </c>
      <c r="AD110" s="295">
        <v>0</v>
      </c>
      <c r="AE110" s="295">
        <v>0</v>
      </c>
      <c r="AF110" s="183" t="s">
        <v>297</v>
      </c>
      <c r="AG110" s="183" t="s">
        <v>297</v>
      </c>
      <c r="AH110" s="183" t="s">
        <v>297</v>
      </c>
      <c r="AI110" s="183" t="s">
        <v>297</v>
      </c>
      <c r="AJ110" s="183">
        <v>1215</v>
      </c>
      <c r="AK110" s="183">
        <v>1569.1950083376464</v>
      </c>
      <c r="AL110" s="183">
        <v>2380.8268791037035</v>
      </c>
      <c r="AM110" s="183">
        <v>4833.343516827852</v>
      </c>
      <c r="AN110" s="183">
        <v>4176.9721610874449</v>
      </c>
      <c r="AO110" s="183">
        <v>4557.5748393649401</v>
      </c>
      <c r="AP110" s="183">
        <v>3939.7061443529828</v>
      </c>
      <c r="AQ110" s="183">
        <v>3482.8531511431643</v>
      </c>
      <c r="AR110" s="183">
        <v>4732.0930195352857</v>
      </c>
      <c r="AS110" s="183">
        <v>4209.2801169016202</v>
      </c>
      <c r="AT110" s="183">
        <v>13092.273054270254</v>
      </c>
      <c r="AU110" s="183">
        <v>14441.966815750657</v>
      </c>
      <c r="AV110" s="183">
        <v>7906.6959236055663</v>
      </c>
      <c r="AW110" s="295">
        <v>10035.104573834866</v>
      </c>
      <c r="AX110" s="304"/>
    </row>
    <row r="111" spans="1:50" ht="14.25" customHeight="1" x14ac:dyDescent="0.15">
      <c r="A111" s="186" t="s">
        <v>376</v>
      </c>
      <c r="B111" s="296" t="s">
        <v>297</v>
      </c>
      <c r="C111" s="296" t="s">
        <v>297</v>
      </c>
      <c r="D111" s="296" t="s">
        <v>297</v>
      </c>
      <c r="E111" s="296" t="s">
        <v>297</v>
      </c>
      <c r="F111" s="296" t="s">
        <v>297</v>
      </c>
      <c r="G111" s="296" t="s">
        <v>297</v>
      </c>
      <c r="H111" s="296" t="s">
        <v>297</v>
      </c>
      <c r="I111" s="296" t="s">
        <v>297</v>
      </c>
      <c r="J111" s="296" t="s">
        <v>297</v>
      </c>
      <c r="K111" s="296" t="s">
        <v>297</v>
      </c>
      <c r="L111" s="296" t="s">
        <v>297</v>
      </c>
      <c r="M111" s="296" t="s">
        <v>297</v>
      </c>
      <c r="N111" s="296" t="s">
        <v>297</v>
      </c>
      <c r="O111" s="296" t="s">
        <v>297</v>
      </c>
      <c r="P111" s="296" t="s">
        <v>297</v>
      </c>
      <c r="Q111" s="296" t="s">
        <v>297</v>
      </c>
      <c r="R111" s="296" t="s">
        <v>297</v>
      </c>
      <c r="S111" s="296" t="s">
        <v>297</v>
      </c>
      <c r="T111" s="296" t="s">
        <v>297</v>
      </c>
      <c r="U111" s="296" t="s">
        <v>297</v>
      </c>
      <c r="V111" s="296" t="s">
        <v>297</v>
      </c>
      <c r="W111" s="296" t="s">
        <v>297</v>
      </c>
      <c r="X111" s="296" t="s">
        <v>297</v>
      </c>
      <c r="Y111" s="296">
        <v>0</v>
      </c>
      <c r="Z111" s="296">
        <v>0</v>
      </c>
      <c r="AA111" s="296">
        <v>0</v>
      </c>
      <c r="AB111" s="296">
        <v>0</v>
      </c>
      <c r="AC111" s="296">
        <v>0</v>
      </c>
      <c r="AD111" s="296">
        <v>0</v>
      </c>
      <c r="AE111" s="296">
        <v>0</v>
      </c>
      <c r="AF111" s="185">
        <v>0</v>
      </c>
      <c r="AG111" s="185">
        <v>0</v>
      </c>
      <c r="AH111" s="185">
        <v>0</v>
      </c>
      <c r="AI111" s="185">
        <v>0</v>
      </c>
      <c r="AJ111" s="185">
        <v>0</v>
      </c>
      <c r="AK111" s="185">
        <v>41.1</v>
      </c>
      <c r="AL111" s="185">
        <v>0</v>
      </c>
      <c r="AM111" s="185">
        <v>0.74209999999999898</v>
      </c>
      <c r="AN111" s="185">
        <v>0</v>
      </c>
      <c r="AO111" s="185">
        <v>3.9964</v>
      </c>
      <c r="AP111" s="185">
        <v>0</v>
      </c>
      <c r="AQ111" s="185">
        <v>0</v>
      </c>
      <c r="AR111" s="185">
        <v>0</v>
      </c>
      <c r="AS111" s="185">
        <v>0</v>
      </c>
      <c r="AT111" s="185">
        <v>0</v>
      </c>
      <c r="AU111" s="185">
        <v>0</v>
      </c>
      <c r="AV111" s="185">
        <v>0</v>
      </c>
      <c r="AW111" s="296">
        <v>0</v>
      </c>
      <c r="AX111" s="304"/>
    </row>
    <row r="112" spans="1:50" ht="14.25" customHeight="1" x14ac:dyDescent="0.15">
      <c r="A112" s="186" t="s">
        <v>377</v>
      </c>
      <c r="B112" s="295" t="s">
        <v>297</v>
      </c>
      <c r="C112" s="295" t="s">
        <v>297</v>
      </c>
      <c r="D112" s="295" t="s">
        <v>297</v>
      </c>
      <c r="E112" s="295" t="s">
        <v>297</v>
      </c>
      <c r="F112" s="295" t="s">
        <v>297</v>
      </c>
      <c r="G112" s="295" t="s">
        <v>297</v>
      </c>
      <c r="H112" s="295" t="s">
        <v>297</v>
      </c>
      <c r="I112" s="295" t="s">
        <v>297</v>
      </c>
      <c r="J112" s="295" t="s">
        <v>297</v>
      </c>
      <c r="K112" s="295">
        <v>0</v>
      </c>
      <c r="L112" s="295">
        <v>0</v>
      </c>
      <c r="M112" s="295">
        <v>0</v>
      </c>
      <c r="N112" s="295">
        <v>0</v>
      </c>
      <c r="O112" s="295">
        <v>0</v>
      </c>
      <c r="P112" s="295">
        <v>0</v>
      </c>
      <c r="Q112" s="295">
        <v>0</v>
      </c>
      <c r="R112" s="295">
        <v>0</v>
      </c>
      <c r="S112" s="295">
        <v>0</v>
      </c>
      <c r="T112" s="295" t="s">
        <v>297</v>
      </c>
      <c r="U112" s="295">
        <v>0</v>
      </c>
      <c r="V112" s="295">
        <v>0</v>
      </c>
      <c r="W112" s="295">
        <v>0</v>
      </c>
      <c r="X112" s="295">
        <v>0</v>
      </c>
      <c r="Y112" s="295">
        <v>0</v>
      </c>
      <c r="Z112" s="295">
        <v>0</v>
      </c>
      <c r="AA112" s="295" t="s">
        <v>297</v>
      </c>
      <c r="AB112" s="295">
        <v>0</v>
      </c>
      <c r="AC112" s="295">
        <v>0</v>
      </c>
      <c r="AD112" s="295">
        <v>0</v>
      </c>
      <c r="AE112" s="295">
        <v>0</v>
      </c>
      <c r="AF112" s="183">
        <v>0</v>
      </c>
      <c r="AG112" s="183">
        <v>0</v>
      </c>
      <c r="AH112" s="183">
        <v>0</v>
      </c>
      <c r="AI112" s="183">
        <v>0</v>
      </c>
      <c r="AJ112" s="183">
        <v>0</v>
      </c>
      <c r="AK112" s="183">
        <v>2</v>
      </c>
      <c r="AL112" s="183">
        <v>1.31255217</v>
      </c>
      <c r="AM112" s="183">
        <v>1.3</v>
      </c>
      <c r="AN112" s="183">
        <v>11.008175570000001</v>
      </c>
      <c r="AO112" s="183">
        <v>0.18372239000000001</v>
      </c>
      <c r="AP112" s="183">
        <v>0</v>
      </c>
      <c r="AQ112" s="183">
        <v>0</v>
      </c>
      <c r="AR112" s="183">
        <v>0</v>
      </c>
      <c r="AS112" s="183">
        <v>0</v>
      </c>
      <c r="AT112" s="183">
        <v>0</v>
      </c>
      <c r="AU112" s="183">
        <v>0</v>
      </c>
      <c r="AV112" s="183">
        <v>0</v>
      </c>
      <c r="AW112" s="295" t="s">
        <v>297</v>
      </c>
      <c r="AX112" s="304"/>
    </row>
    <row r="113" spans="1:50" ht="14.25" customHeight="1" x14ac:dyDescent="0.15">
      <c r="A113" s="186" t="s">
        <v>198</v>
      </c>
      <c r="B113" s="296" t="s">
        <v>297</v>
      </c>
      <c r="C113" s="296" t="s">
        <v>297</v>
      </c>
      <c r="D113" s="296" t="s">
        <v>297</v>
      </c>
      <c r="E113" s="296" t="s">
        <v>297</v>
      </c>
      <c r="F113" s="296" t="s">
        <v>297</v>
      </c>
      <c r="G113" s="296" t="s">
        <v>297</v>
      </c>
      <c r="H113" s="296" t="s">
        <v>297</v>
      </c>
      <c r="I113" s="296" t="s">
        <v>297</v>
      </c>
      <c r="J113" s="296" t="s">
        <v>297</v>
      </c>
      <c r="K113" s="296" t="s">
        <v>297</v>
      </c>
      <c r="L113" s="296" t="s">
        <v>297</v>
      </c>
      <c r="M113" s="296" t="s">
        <v>297</v>
      </c>
      <c r="N113" s="296" t="s">
        <v>297</v>
      </c>
      <c r="O113" s="296" t="s">
        <v>297</v>
      </c>
      <c r="P113" s="296" t="s">
        <v>297</v>
      </c>
      <c r="Q113" s="296" t="s">
        <v>297</v>
      </c>
      <c r="R113" s="296" t="s">
        <v>297</v>
      </c>
      <c r="S113" s="296">
        <v>0.196877</v>
      </c>
      <c r="T113" s="296">
        <v>4.952</v>
      </c>
      <c r="U113" s="296">
        <v>0.23599999999999999</v>
      </c>
      <c r="V113" s="296">
        <v>1.7000000000000001E-2</v>
      </c>
      <c r="W113" s="296">
        <v>1.1180000000000001</v>
      </c>
      <c r="X113" s="296">
        <v>1.5580000000000001</v>
      </c>
      <c r="Y113" s="296">
        <v>8.1</v>
      </c>
      <c r="Z113" s="296">
        <v>0</v>
      </c>
      <c r="AA113" s="296">
        <v>-0.4</v>
      </c>
      <c r="AB113" s="296">
        <v>0.89985400185610043</v>
      </c>
      <c r="AC113" s="296">
        <v>0.87659677419350235</v>
      </c>
      <c r="AD113" s="296">
        <v>4.4598996299399003</v>
      </c>
      <c r="AE113" s="296">
        <v>6.3473693001443019</v>
      </c>
      <c r="AF113" s="185">
        <v>35.043475433867094</v>
      </c>
      <c r="AG113" s="185">
        <v>33.960803185631313</v>
      </c>
      <c r="AH113" s="185">
        <v>67.268129445563986</v>
      </c>
      <c r="AI113" s="185">
        <v>54.776072905975184</v>
      </c>
      <c r="AJ113" s="185">
        <v>-75.964069911485709</v>
      </c>
      <c r="AK113" s="185">
        <v>-33.889512121212192</v>
      </c>
      <c r="AL113" s="185">
        <v>53.991053760822503</v>
      </c>
      <c r="AM113" s="185">
        <v>74.093235344292395</v>
      </c>
      <c r="AN113" s="185">
        <v>87.708507518735701</v>
      </c>
      <c r="AO113" s="185">
        <v>44.5266734708838</v>
      </c>
      <c r="AP113" s="185">
        <v>146.40053956398546</v>
      </c>
      <c r="AQ113" s="185">
        <v>102.00716908371896</v>
      </c>
      <c r="AR113" s="185">
        <v>202.4400886565042</v>
      </c>
      <c r="AS113" s="185">
        <v>148.29936608058674</v>
      </c>
      <c r="AT113" s="185">
        <v>108.04687429653617</v>
      </c>
      <c r="AU113" s="185">
        <v>115.99355872847731</v>
      </c>
      <c r="AV113" s="185">
        <v>350.49509401154995</v>
      </c>
      <c r="AW113" s="296">
        <v>603.24599431818388</v>
      </c>
      <c r="AX113" s="304"/>
    </row>
    <row r="114" spans="1:50" ht="14.25" customHeight="1" x14ac:dyDescent="0.15">
      <c r="A114" s="186" t="s">
        <v>378</v>
      </c>
      <c r="B114" s="295" t="s">
        <v>297</v>
      </c>
      <c r="C114" s="295" t="s">
        <v>297</v>
      </c>
      <c r="D114" s="295" t="s">
        <v>297</v>
      </c>
      <c r="E114" s="295" t="s">
        <v>297</v>
      </c>
      <c r="F114" s="295" t="s">
        <v>297</v>
      </c>
      <c r="G114" s="295" t="s">
        <v>297</v>
      </c>
      <c r="H114" s="295" t="s">
        <v>297</v>
      </c>
      <c r="I114" s="295" t="s">
        <v>297</v>
      </c>
      <c r="J114" s="295" t="s">
        <v>297</v>
      </c>
      <c r="K114" s="295" t="s">
        <v>297</v>
      </c>
      <c r="L114" s="295" t="s">
        <v>297</v>
      </c>
      <c r="M114" s="295" t="s">
        <v>297</v>
      </c>
      <c r="N114" s="295" t="s">
        <v>297</v>
      </c>
      <c r="O114" s="295" t="s">
        <v>297</v>
      </c>
      <c r="P114" s="295" t="s">
        <v>297</v>
      </c>
      <c r="Q114" s="295" t="s">
        <v>297</v>
      </c>
      <c r="R114" s="295" t="s">
        <v>297</v>
      </c>
      <c r="S114" s="295" t="s">
        <v>297</v>
      </c>
      <c r="T114" s="295" t="s">
        <v>297</v>
      </c>
      <c r="U114" s="295" t="s">
        <v>297</v>
      </c>
      <c r="V114" s="295" t="s">
        <v>297</v>
      </c>
      <c r="W114" s="295" t="s">
        <v>297</v>
      </c>
      <c r="X114" s="295" t="s">
        <v>297</v>
      </c>
      <c r="Y114" s="295" t="s">
        <v>297</v>
      </c>
      <c r="Z114" s="295" t="s">
        <v>297</v>
      </c>
      <c r="AA114" s="295" t="s">
        <v>297</v>
      </c>
      <c r="AB114" s="295" t="s">
        <v>297</v>
      </c>
      <c r="AC114" s="295">
        <v>0</v>
      </c>
      <c r="AD114" s="295">
        <v>87.17</v>
      </c>
      <c r="AE114" s="295">
        <v>63.226999999999997</v>
      </c>
      <c r="AF114" s="183">
        <v>121.538</v>
      </c>
      <c r="AG114" s="183">
        <v>78.599000000000004</v>
      </c>
      <c r="AH114" s="183">
        <v>68.400000000000006</v>
      </c>
      <c r="AI114" s="183">
        <v>121.32</v>
      </c>
      <c r="AJ114" s="183">
        <v>136.53700000000001</v>
      </c>
      <c r="AK114" s="183">
        <v>195.98013689208588</v>
      </c>
      <c r="AL114" s="183">
        <v>434.59557151999996</v>
      </c>
      <c r="AM114" s="183">
        <v>368.31058020000006</v>
      </c>
      <c r="AN114" s="183">
        <v>493.74891180999998</v>
      </c>
      <c r="AO114" s="183">
        <v>251.92951244</v>
      </c>
      <c r="AP114" s="183">
        <v>513.59029943999997</v>
      </c>
      <c r="AQ114" s="183">
        <v>692.69866609999985</v>
      </c>
      <c r="AR114" s="183">
        <v>1008.1604674000001</v>
      </c>
      <c r="AS114" s="183">
        <v>330.53676313145007</v>
      </c>
      <c r="AT114" s="183">
        <v>463.61938668789253</v>
      </c>
      <c r="AU114" s="183">
        <v>491.93476044308312</v>
      </c>
      <c r="AV114" s="183">
        <v>110.40364769339701</v>
      </c>
      <c r="AW114" s="295" t="s">
        <v>297</v>
      </c>
      <c r="AX114" s="304"/>
    </row>
    <row r="115" spans="1:50" ht="14.25" customHeight="1" x14ac:dyDescent="0.15">
      <c r="A115" s="186" t="s">
        <v>379</v>
      </c>
      <c r="B115" s="296">
        <v>0</v>
      </c>
      <c r="C115" s="296">
        <v>0</v>
      </c>
      <c r="D115" s="296">
        <v>0</v>
      </c>
      <c r="E115" s="296">
        <v>0</v>
      </c>
      <c r="F115" s="296">
        <v>0</v>
      </c>
      <c r="G115" s="296">
        <v>0</v>
      </c>
      <c r="H115" s="296">
        <v>0</v>
      </c>
      <c r="I115" s="296">
        <v>0</v>
      </c>
      <c r="J115" s="296">
        <v>0</v>
      </c>
      <c r="K115" s="296">
        <v>0</v>
      </c>
      <c r="L115" s="296">
        <v>0</v>
      </c>
      <c r="M115" s="296">
        <v>0</v>
      </c>
      <c r="N115" s="296">
        <v>0</v>
      </c>
      <c r="O115" s="296">
        <v>0</v>
      </c>
      <c r="P115" s="296">
        <v>0</v>
      </c>
      <c r="Q115" s="296">
        <v>0</v>
      </c>
      <c r="R115" s="296">
        <v>0</v>
      </c>
      <c r="S115" s="296">
        <v>0</v>
      </c>
      <c r="T115" s="296">
        <v>0</v>
      </c>
      <c r="U115" s="296">
        <v>0</v>
      </c>
      <c r="V115" s="296">
        <v>0</v>
      </c>
      <c r="W115" s="296">
        <v>0</v>
      </c>
      <c r="X115" s="296">
        <v>0</v>
      </c>
      <c r="Y115" s="296">
        <v>0</v>
      </c>
      <c r="Z115" s="296">
        <v>0</v>
      </c>
      <c r="AA115" s="296">
        <v>0</v>
      </c>
      <c r="AB115" s="296">
        <v>0</v>
      </c>
      <c r="AC115" s="296">
        <v>0</v>
      </c>
      <c r="AD115" s="296">
        <v>0</v>
      </c>
      <c r="AE115" s="296">
        <v>0</v>
      </c>
      <c r="AF115" s="185">
        <v>0</v>
      </c>
      <c r="AG115" s="185">
        <v>0</v>
      </c>
      <c r="AH115" s="185">
        <v>0</v>
      </c>
      <c r="AI115" s="185">
        <v>0</v>
      </c>
      <c r="AJ115" s="185">
        <v>0</v>
      </c>
      <c r="AK115" s="185">
        <v>0</v>
      </c>
      <c r="AL115" s="185">
        <v>0</v>
      </c>
      <c r="AM115" s="185">
        <v>0</v>
      </c>
      <c r="AN115" s="185">
        <v>0</v>
      </c>
      <c r="AO115" s="185">
        <v>0</v>
      </c>
      <c r="AP115" s="185">
        <v>0</v>
      </c>
      <c r="AQ115" s="185" t="s">
        <v>297</v>
      </c>
      <c r="AR115" s="185" t="s">
        <v>297</v>
      </c>
      <c r="AS115" s="185" t="s">
        <v>297</v>
      </c>
      <c r="AT115" s="185" t="s">
        <v>297</v>
      </c>
      <c r="AU115" s="185" t="s">
        <v>297</v>
      </c>
      <c r="AV115" s="185" t="s">
        <v>297</v>
      </c>
      <c r="AW115" s="296">
        <v>0</v>
      </c>
      <c r="AX115" s="304"/>
    </row>
    <row r="116" spans="1:50" ht="14.25" customHeight="1" x14ac:dyDescent="0.15">
      <c r="A116" s="186" t="s">
        <v>380</v>
      </c>
      <c r="B116" s="295" t="s">
        <v>297</v>
      </c>
      <c r="C116" s="295" t="s">
        <v>297</v>
      </c>
      <c r="D116" s="295" t="s">
        <v>297</v>
      </c>
      <c r="E116" s="295" t="s">
        <v>297</v>
      </c>
      <c r="F116" s="295">
        <v>0</v>
      </c>
      <c r="G116" s="295">
        <v>0</v>
      </c>
      <c r="H116" s="295">
        <v>0</v>
      </c>
      <c r="I116" s="295">
        <v>0</v>
      </c>
      <c r="J116" s="295">
        <v>0</v>
      </c>
      <c r="K116" s="295">
        <v>0</v>
      </c>
      <c r="L116" s="295">
        <v>0</v>
      </c>
      <c r="M116" s="295">
        <v>0</v>
      </c>
      <c r="N116" s="295">
        <v>0</v>
      </c>
      <c r="O116" s="295" t="s">
        <v>297</v>
      </c>
      <c r="P116" s="295" t="s">
        <v>297</v>
      </c>
      <c r="Q116" s="295" t="s">
        <v>297</v>
      </c>
      <c r="R116" s="295" t="s">
        <v>297</v>
      </c>
      <c r="S116" s="295" t="s">
        <v>297</v>
      </c>
      <c r="T116" s="295" t="s">
        <v>297</v>
      </c>
      <c r="U116" s="295" t="s">
        <v>297</v>
      </c>
      <c r="V116" s="295" t="s">
        <v>297</v>
      </c>
      <c r="W116" s="295" t="s">
        <v>297</v>
      </c>
      <c r="X116" s="295" t="s">
        <v>297</v>
      </c>
      <c r="Y116" s="295" t="s">
        <v>297</v>
      </c>
      <c r="Z116" s="295" t="s">
        <v>297</v>
      </c>
      <c r="AA116" s="295" t="s">
        <v>297</v>
      </c>
      <c r="AB116" s="295" t="s">
        <v>297</v>
      </c>
      <c r="AC116" s="295" t="s">
        <v>297</v>
      </c>
      <c r="AD116" s="295" t="s">
        <v>297</v>
      </c>
      <c r="AE116" s="295" t="s">
        <v>297</v>
      </c>
      <c r="AF116" s="183" t="s">
        <v>297</v>
      </c>
      <c r="AG116" s="183" t="s">
        <v>297</v>
      </c>
      <c r="AH116" s="183" t="s">
        <v>297</v>
      </c>
      <c r="AI116" s="183" t="s">
        <v>297</v>
      </c>
      <c r="AJ116" s="183" t="s">
        <v>297</v>
      </c>
      <c r="AK116" s="183" t="s">
        <v>297</v>
      </c>
      <c r="AL116" s="183" t="s">
        <v>297</v>
      </c>
      <c r="AM116" s="183" t="s">
        <v>297</v>
      </c>
      <c r="AN116" s="183" t="s">
        <v>297</v>
      </c>
      <c r="AO116" s="183" t="s">
        <v>297</v>
      </c>
      <c r="AP116" s="183" t="s">
        <v>297</v>
      </c>
      <c r="AQ116" s="183" t="s">
        <v>297</v>
      </c>
      <c r="AR116" s="183" t="s">
        <v>297</v>
      </c>
      <c r="AS116" s="183">
        <v>8.29622222849199</v>
      </c>
      <c r="AT116" s="183">
        <v>8.2475140002756095</v>
      </c>
      <c r="AU116" s="183" t="s">
        <v>297</v>
      </c>
      <c r="AV116" s="183" t="s">
        <v>297</v>
      </c>
      <c r="AW116" s="295" t="s">
        <v>297</v>
      </c>
      <c r="AX116" s="304"/>
    </row>
    <row r="117" spans="1:50" ht="14.25" customHeight="1" x14ac:dyDescent="0.15">
      <c r="A117" s="186" t="s">
        <v>381</v>
      </c>
      <c r="B117" s="296" t="s">
        <v>297</v>
      </c>
      <c r="C117" s="296" t="s">
        <v>297</v>
      </c>
      <c r="D117" s="296">
        <v>0</v>
      </c>
      <c r="E117" s="296">
        <v>0</v>
      </c>
      <c r="F117" s="296">
        <v>0</v>
      </c>
      <c r="G117" s="296">
        <v>0</v>
      </c>
      <c r="H117" s="296">
        <v>0</v>
      </c>
      <c r="I117" s="296">
        <v>0</v>
      </c>
      <c r="J117" s="296">
        <v>0</v>
      </c>
      <c r="K117" s="296">
        <v>0</v>
      </c>
      <c r="L117" s="296">
        <v>0</v>
      </c>
      <c r="M117" s="296">
        <v>0</v>
      </c>
      <c r="N117" s="296">
        <v>9.7633681285453804</v>
      </c>
      <c r="O117" s="296">
        <v>18.196693737174101</v>
      </c>
      <c r="P117" s="296">
        <v>18.0239324117675</v>
      </c>
      <c r="Q117" s="296">
        <v>17.656789394996999</v>
      </c>
      <c r="R117" s="296">
        <v>18.8794634291779</v>
      </c>
      <c r="S117" s="296">
        <v>16.337933585284901</v>
      </c>
      <c r="T117" s="296">
        <v>16.098815512629901</v>
      </c>
      <c r="U117" s="296">
        <v>14.6396825316984</v>
      </c>
      <c r="V117" s="296">
        <v>13.1533340448267</v>
      </c>
      <c r="W117" s="296">
        <v>12.3626438949135</v>
      </c>
      <c r="X117" s="296">
        <v>11.500086085847199</v>
      </c>
      <c r="Y117" s="296">
        <v>20.1037508599901</v>
      </c>
      <c r="Z117" s="296">
        <v>21.991727425364498</v>
      </c>
      <c r="AA117" s="296">
        <v>0</v>
      </c>
      <c r="AB117" s="296">
        <v>0</v>
      </c>
      <c r="AC117" s="296">
        <v>873</v>
      </c>
      <c r="AD117" s="296">
        <v>232</v>
      </c>
      <c r="AE117" s="296">
        <v>156</v>
      </c>
      <c r="AF117" s="185">
        <v>224</v>
      </c>
      <c r="AG117" s="185">
        <v>320</v>
      </c>
      <c r="AH117" s="185">
        <v>174.5</v>
      </c>
      <c r="AI117" s="185">
        <v>236</v>
      </c>
      <c r="AJ117" s="185">
        <v>394.9</v>
      </c>
      <c r="AK117" s="185">
        <v>572.6</v>
      </c>
      <c r="AL117" s="185">
        <v>246.8</v>
      </c>
      <c r="AM117" s="185">
        <v>364.1</v>
      </c>
      <c r="AN117" s="185">
        <v>202.1</v>
      </c>
      <c r="AO117" s="185">
        <v>314.2</v>
      </c>
      <c r="AP117" s="185">
        <v>356.8</v>
      </c>
      <c r="AQ117" s="185">
        <v>220.8</v>
      </c>
      <c r="AR117" s="185">
        <v>795.8</v>
      </c>
      <c r="AS117" s="185">
        <v>254.2</v>
      </c>
      <c r="AT117" s="185">
        <v>435.3</v>
      </c>
      <c r="AU117" s="185">
        <v>52.5</v>
      </c>
      <c r="AV117" s="185" t="s">
        <v>297</v>
      </c>
      <c r="AW117" s="296" t="s">
        <v>297</v>
      </c>
      <c r="AX117" s="304"/>
    </row>
    <row r="118" spans="1:50" ht="14.25" customHeight="1" x14ac:dyDescent="0.15">
      <c r="A118" s="186" t="s">
        <v>382</v>
      </c>
      <c r="B118" s="295" t="s">
        <v>297</v>
      </c>
      <c r="C118" s="295" t="s">
        <v>297</v>
      </c>
      <c r="D118" s="295" t="s">
        <v>297</v>
      </c>
      <c r="E118" s="295" t="s">
        <v>297</v>
      </c>
      <c r="F118" s="295" t="s">
        <v>297</v>
      </c>
      <c r="G118" s="295" t="s">
        <v>297</v>
      </c>
      <c r="H118" s="295" t="s">
        <v>297</v>
      </c>
      <c r="I118" s="295" t="s">
        <v>297</v>
      </c>
      <c r="J118" s="295" t="s">
        <v>297</v>
      </c>
      <c r="K118" s="295" t="s">
        <v>297</v>
      </c>
      <c r="L118" s="295" t="s">
        <v>297</v>
      </c>
      <c r="M118" s="295" t="s">
        <v>297</v>
      </c>
      <c r="N118" s="295" t="s">
        <v>297</v>
      </c>
      <c r="O118" s="295" t="s">
        <v>297</v>
      </c>
      <c r="P118" s="295" t="s">
        <v>297</v>
      </c>
      <c r="Q118" s="295" t="s">
        <v>297</v>
      </c>
      <c r="R118" s="295" t="s">
        <v>297</v>
      </c>
      <c r="S118" s="295" t="s">
        <v>297</v>
      </c>
      <c r="T118" s="295">
        <v>8.3928416620590862E-3</v>
      </c>
      <c r="U118" s="295">
        <v>2.5568908207619534E-2</v>
      </c>
      <c r="V118" s="295">
        <v>0.01</v>
      </c>
      <c r="W118" s="295">
        <v>7.4999999999999997E-2</v>
      </c>
      <c r="X118" s="295">
        <v>0.1225</v>
      </c>
      <c r="Y118" s="295">
        <v>-0.5</v>
      </c>
      <c r="Z118" s="295">
        <v>-0.51249999999999996</v>
      </c>
      <c r="AA118" s="295">
        <v>0.23</v>
      </c>
      <c r="AB118" s="295">
        <v>-0.45</v>
      </c>
      <c r="AC118" s="295">
        <v>-0.42984975540144543</v>
      </c>
      <c r="AD118" s="295">
        <v>-1.063419587247266</v>
      </c>
      <c r="AE118" s="295">
        <v>5.2</v>
      </c>
      <c r="AF118" s="183">
        <v>4.5086928106883279</v>
      </c>
      <c r="AG118" s="183">
        <v>4.3449801558549446</v>
      </c>
      <c r="AH118" s="183">
        <v>-20.177184754706932</v>
      </c>
      <c r="AI118" s="183">
        <v>22.025713030791053</v>
      </c>
      <c r="AJ118" s="183">
        <v>-51.195785380066724</v>
      </c>
      <c r="AK118" s="183">
        <v>56.667531975468144</v>
      </c>
      <c r="AL118" s="183">
        <v>48.12889618614691</v>
      </c>
      <c r="AM118" s="183">
        <v>90.356713015476998</v>
      </c>
      <c r="AN118" s="183">
        <v>148.56510655204954</v>
      </c>
      <c r="AO118" s="183">
        <v>103.16050892533919</v>
      </c>
      <c r="AP118" s="183">
        <v>123.13446807841268</v>
      </c>
      <c r="AQ118" s="183">
        <v>132.42596944340505</v>
      </c>
      <c r="AR118" s="183" t="s">
        <v>297</v>
      </c>
      <c r="AS118" s="183">
        <v>289.28638013241681</v>
      </c>
      <c r="AT118" s="183">
        <v>212.20304701569032</v>
      </c>
      <c r="AU118" s="183">
        <v>300.92626827029068</v>
      </c>
      <c r="AV118" s="183">
        <v>380.65649482972395</v>
      </c>
      <c r="AW118" s="295">
        <v>161.29934581790999</v>
      </c>
      <c r="AX118" s="304"/>
    </row>
    <row r="119" spans="1:50" ht="14.25" customHeight="1" x14ac:dyDescent="0.15">
      <c r="A119" s="186" t="s">
        <v>60</v>
      </c>
      <c r="B119" s="296"/>
      <c r="C119" s="296"/>
      <c r="D119" s="296"/>
      <c r="E119" s="296"/>
      <c r="F119" s="296"/>
      <c r="G119" s="296"/>
      <c r="H119" s="296"/>
      <c r="I119" s="296"/>
      <c r="J119" s="296"/>
      <c r="K119" s="296"/>
      <c r="L119" s="296"/>
      <c r="M119" s="296"/>
      <c r="N119" s="296"/>
      <c r="O119" s="296"/>
      <c r="P119" s="296"/>
      <c r="Q119" s="296"/>
      <c r="R119" s="296"/>
      <c r="S119" s="296"/>
      <c r="T119" s="296"/>
      <c r="U119" s="296"/>
      <c r="V119" s="296"/>
      <c r="W119" s="296"/>
      <c r="X119" s="296"/>
      <c r="Y119" s="296"/>
      <c r="Z119" s="296"/>
      <c r="AA119" s="296"/>
      <c r="AB119" s="296"/>
      <c r="AC119" s="296">
        <v>16255.9</v>
      </c>
      <c r="AD119" s="296">
        <v>17220.803586372465</v>
      </c>
      <c r="AE119" s="296">
        <v>22977.427649925747</v>
      </c>
      <c r="AF119" s="185">
        <v>29551.411236086959</v>
      </c>
      <c r="AG119" s="185">
        <v>34713.477486412186</v>
      </c>
      <c r="AH119" s="185">
        <v>40421.178978482552</v>
      </c>
      <c r="AI119" s="185">
        <v>56274.666029796441</v>
      </c>
      <c r="AJ119" s="185">
        <v>39767.687042367252</v>
      </c>
      <c r="AK119" s="185">
        <v>49974.792351647731</v>
      </c>
      <c r="AL119" s="185">
        <v>66958.683278394994</v>
      </c>
      <c r="AM119" s="185">
        <v>78268.551706138911</v>
      </c>
      <c r="AN119" s="185">
        <v>101610.92743470955</v>
      </c>
      <c r="AO119" s="185">
        <v>100344.41441318992</v>
      </c>
      <c r="AP119" s="185">
        <v>110835.91484045428</v>
      </c>
      <c r="AQ119" s="185">
        <v>143503.78990761752</v>
      </c>
      <c r="AR119" s="185">
        <v>138528.26010858861</v>
      </c>
      <c r="AS119" s="185">
        <v>165377.4577487944</v>
      </c>
      <c r="AT119" s="185">
        <v>139032.2609343004</v>
      </c>
      <c r="AU119" s="185">
        <v>132108.54978054625</v>
      </c>
      <c r="AV119" s="185">
        <v>125292.11452915626</v>
      </c>
      <c r="AW119" s="296">
        <v>110510.74573147985</v>
      </c>
      <c r="AX119" s="304"/>
    </row>
    <row r="120" spans="1:50" ht="14.25" customHeight="1" x14ac:dyDescent="0.15">
      <c r="A120" s="186" t="s">
        <v>383</v>
      </c>
      <c r="B120" s="295">
        <v>0</v>
      </c>
      <c r="C120" s="295">
        <v>0</v>
      </c>
      <c r="D120" s="295">
        <v>0</v>
      </c>
      <c r="E120" s="295">
        <v>0</v>
      </c>
      <c r="F120" s="295">
        <v>0</v>
      </c>
      <c r="G120" s="295">
        <v>0</v>
      </c>
      <c r="H120" s="295">
        <v>0</v>
      </c>
      <c r="I120" s="295">
        <v>0</v>
      </c>
      <c r="J120" s="295">
        <v>0</v>
      </c>
      <c r="K120" s="295">
        <v>0</v>
      </c>
      <c r="L120" s="295">
        <v>0</v>
      </c>
      <c r="M120" s="295">
        <v>0</v>
      </c>
      <c r="N120" s="295">
        <v>0</v>
      </c>
      <c r="O120" s="295">
        <v>0</v>
      </c>
      <c r="P120" s="295">
        <v>0</v>
      </c>
      <c r="Q120" s="295">
        <v>0</v>
      </c>
      <c r="R120" s="295" t="s">
        <v>297</v>
      </c>
      <c r="S120" s="295" t="s">
        <v>297</v>
      </c>
      <c r="T120" s="295" t="s">
        <v>297</v>
      </c>
      <c r="U120" s="295" t="s">
        <v>297</v>
      </c>
      <c r="V120" s="295" t="s">
        <v>297</v>
      </c>
      <c r="W120" s="295" t="s">
        <v>297</v>
      </c>
      <c r="X120" s="295" t="s">
        <v>297</v>
      </c>
      <c r="Y120" s="295" t="s">
        <v>297</v>
      </c>
      <c r="Z120" s="295" t="s">
        <v>297</v>
      </c>
      <c r="AA120" s="295" t="s">
        <v>297</v>
      </c>
      <c r="AB120" s="295">
        <v>0</v>
      </c>
      <c r="AC120" s="295">
        <v>0</v>
      </c>
      <c r="AD120" s="295" t="s">
        <v>297</v>
      </c>
      <c r="AE120" s="295" t="s">
        <v>297</v>
      </c>
      <c r="AF120" s="183">
        <v>0</v>
      </c>
      <c r="AG120" s="183">
        <v>0</v>
      </c>
      <c r="AH120" s="183">
        <v>0</v>
      </c>
      <c r="AI120" s="183">
        <v>0</v>
      </c>
      <c r="AJ120" s="183">
        <v>0</v>
      </c>
      <c r="AK120" s="183">
        <v>0</v>
      </c>
      <c r="AL120" s="183">
        <v>0</v>
      </c>
      <c r="AM120" s="183">
        <v>0</v>
      </c>
      <c r="AN120" s="183">
        <v>0</v>
      </c>
      <c r="AO120" s="183">
        <v>0</v>
      </c>
      <c r="AP120" s="183">
        <v>0</v>
      </c>
      <c r="AQ120" s="183">
        <v>0</v>
      </c>
      <c r="AR120" s="183">
        <v>0</v>
      </c>
      <c r="AS120" s="183">
        <v>0</v>
      </c>
      <c r="AT120" s="183">
        <v>0</v>
      </c>
      <c r="AU120" s="183">
        <v>0</v>
      </c>
      <c r="AV120" s="183">
        <v>0</v>
      </c>
      <c r="AW120" s="295" t="s">
        <v>297</v>
      </c>
      <c r="AX120" s="304"/>
    </row>
    <row r="121" spans="1:50" ht="14.25" customHeight="1" x14ac:dyDescent="0.15">
      <c r="A121" s="186" t="s">
        <v>384</v>
      </c>
      <c r="B121" s="296" t="s">
        <v>297</v>
      </c>
      <c r="C121" s="296" t="s">
        <v>297</v>
      </c>
      <c r="D121" s="296">
        <v>0</v>
      </c>
      <c r="E121" s="296">
        <v>0</v>
      </c>
      <c r="F121" s="296">
        <v>0</v>
      </c>
      <c r="G121" s="296">
        <v>0</v>
      </c>
      <c r="H121" s="296">
        <v>0</v>
      </c>
      <c r="I121" s="296">
        <v>0</v>
      </c>
      <c r="J121" s="296">
        <v>0</v>
      </c>
      <c r="K121" s="296">
        <v>0</v>
      </c>
      <c r="L121" s="296">
        <v>0</v>
      </c>
      <c r="M121" s="296">
        <v>0</v>
      </c>
      <c r="N121" s="296">
        <v>0</v>
      </c>
      <c r="O121" s="296">
        <v>0</v>
      </c>
      <c r="P121" s="296">
        <v>0</v>
      </c>
      <c r="Q121" s="296">
        <v>0</v>
      </c>
      <c r="R121" s="296">
        <v>0</v>
      </c>
      <c r="S121" s="296">
        <v>0</v>
      </c>
      <c r="T121" s="296">
        <v>0</v>
      </c>
      <c r="U121" s="296">
        <v>0</v>
      </c>
      <c r="V121" s="296">
        <v>0</v>
      </c>
      <c r="W121" s="296">
        <v>0</v>
      </c>
      <c r="X121" s="296">
        <v>0</v>
      </c>
      <c r="Y121" s="296">
        <v>0</v>
      </c>
      <c r="Z121" s="296">
        <v>0</v>
      </c>
      <c r="AA121" s="296">
        <v>0</v>
      </c>
      <c r="AB121" s="296">
        <v>0</v>
      </c>
      <c r="AC121" s="296">
        <v>0</v>
      </c>
      <c r="AD121" s="296">
        <v>1</v>
      </c>
      <c r="AE121" s="296">
        <v>0.19017882334467309</v>
      </c>
      <c r="AF121" s="185" t="s">
        <v>297</v>
      </c>
      <c r="AG121" s="185" t="s">
        <v>297</v>
      </c>
      <c r="AH121" s="185" t="s">
        <v>297</v>
      </c>
      <c r="AI121" s="185">
        <v>0</v>
      </c>
      <c r="AJ121" s="185">
        <v>-0.39000294683651993</v>
      </c>
      <c r="AK121" s="185">
        <v>0.31000178532863071</v>
      </c>
      <c r="AL121" s="185">
        <v>-0.28220787034325662</v>
      </c>
      <c r="AM121" s="185">
        <v>-7.9885457367660326E-2</v>
      </c>
      <c r="AN121" s="185">
        <v>-7.3867582526631767E-2</v>
      </c>
      <c r="AO121" s="185">
        <v>-8.3292139477302171E-2</v>
      </c>
      <c r="AP121" s="185">
        <v>-8.9798672315521189E-2</v>
      </c>
      <c r="AQ121" s="185">
        <v>-7.4140218429310206E-2</v>
      </c>
      <c r="AR121" s="185">
        <v>-0.11712751100994401</v>
      </c>
      <c r="AS121" s="185">
        <v>0</v>
      </c>
      <c r="AT121" s="185">
        <v>0</v>
      </c>
      <c r="AU121" s="185">
        <v>0</v>
      </c>
      <c r="AV121" s="185">
        <v>0</v>
      </c>
      <c r="AW121" s="296" t="s">
        <v>297</v>
      </c>
      <c r="AX121" s="304"/>
    </row>
    <row r="122" spans="1:50" ht="14.25" customHeight="1" x14ac:dyDescent="0.15">
      <c r="A122" s="186" t="s">
        <v>214</v>
      </c>
      <c r="B122" s="295" t="s">
        <v>297</v>
      </c>
      <c r="C122" s="295" t="s">
        <v>297</v>
      </c>
      <c r="D122" s="295" t="s">
        <v>297</v>
      </c>
      <c r="E122" s="295" t="s">
        <v>297</v>
      </c>
      <c r="F122" s="295" t="s">
        <v>297</v>
      </c>
      <c r="G122" s="295" t="s">
        <v>297</v>
      </c>
      <c r="H122" s="295" t="s">
        <v>297</v>
      </c>
      <c r="I122" s="295" t="s">
        <v>297</v>
      </c>
      <c r="J122" s="295" t="s">
        <v>297</v>
      </c>
      <c r="K122" s="295" t="s">
        <v>297</v>
      </c>
      <c r="L122" s="295">
        <v>31.815817293977439</v>
      </c>
      <c r="M122" s="295">
        <v>44.936130650508538</v>
      </c>
      <c r="N122" s="295">
        <v>27.781764975528933</v>
      </c>
      <c r="O122" s="295">
        <v>36.658244604682885</v>
      </c>
      <c r="P122" s="295">
        <v>60.911644275997354</v>
      </c>
      <c r="Q122" s="295">
        <v>40.667313646656496</v>
      </c>
      <c r="R122" s="295">
        <v>47.271581294998846</v>
      </c>
      <c r="S122" s="295">
        <v>74.193780546050618</v>
      </c>
      <c r="T122" s="295">
        <v>90.905735802291687</v>
      </c>
      <c r="U122" s="295">
        <v>89.168107286253644</v>
      </c>
      <c r="V122" s="295">
        <v>68.279713904005689</v>
      </c>
      <c r="W122" s="295">
        <v>109.70044029225627</v>
      </c>
      <c r="X122" s="295">
        <v>54.031156782183871</v>
      </c>
      <c r="Y122" s="295">
        <v>-110.33604077082337</v>
      </c>
      <c r="Z122" s="295" t="s">
        <v>297</v>
      </c>
      <c r="AA122" s="295" t="s">
        <v>297</v>
      </c>
      <c r="AB122" s="295">
        <v>-84.736842105263165</v>
      </c>
      <c r="AC122" s="295">
        <v>120.26315789473684</v>
      </c>
      <c r="AD122" s="295">
        <v>389.47368421052636</v>
      </c>
      <c r="AE122" s="295">
        <v>1047.7631578947369</v>
      </c>
      <c r="AF122" s="183">
        <v>968.73631582347866</v>
      </c>
      <c r="AG122" s="183">
        <v>2958.0626919147808</v>
      </c>
      <c r="AH122" s="183">
        <v>3883.9969647528628</v>
      </c>
      <c r="AI122" s="183">
        <v>3641.6425162902819</v>
      </c>
      <c r="AJ122" s="183">
        <v>3822.4072567357139</v>
      </c>
      <c r="AK122" s="183">
        <v>5005.1000000000004</v>
      </c>
      <c r="AL122" s="183">
        <v>8181.5389592860683</v>
      </c>
      <c r="AM122" s="183">
        <v>3604.3765897952171</v>
      </c>
      <c r="AN122" s="183">
        <v>5937.2134524079593</v>
      </c>
      <c r="AO122" s="183">
        <v>6032.4207247137711</v>
      </c>
      <c r="AP122" s="183">
        <v>3771.2252582902474</v>
      </c>
      <c r="AQ122" s="183">
        <v>4185.083820588563</v>
      </c>
      <c r="AR122" s="183">
        <v>5242.5232411273073</v>
      </c>
      <c r="AS122" s="183">
        <v>5212.3441853959512</v>
      </c>
      <c r="AT122" s="183">
        <v>6432.4403692743781</v>
      </c>
      <c r="AU122" s="183">
        <v>3355.7575056757546</v>
      </c>
      <c r="AV122" s="183">
        <v>13278.29413969706</v>
      </c>
      <c r="AW122" s="295">
        <v>10053.292458091888</v>
      </c>
      <c r="AX122" s="304"/>
    </row>
    <row r="123" spans="1:50" ht="14.25" customHeight="1" x14ac:dyDescent="0.15">
      <c r="A123" s="186" t="s">
        <v>385</v>
      </c>
      <c r="B123" s="296" t="s">
        <v>297</v>
      </c>
      <c r="C123" s="296" t="s">
        <v>297</v>
      </c>
      <c r="D123" s="296">
        <v>0</v>
      </c>
      <c r="E123" s="296">
        <v>0</v>
      </c>
      <c r="F123" s="296">
        <v>0</v>
      </c>
      <c r="G123" s="296">
        <v>0</v>
      </c>
      <c r="H123" s="296">
        <v>0</v>
      </c>
      <c r="I123" s="296">
        <v>0</v>
      </c>
      <c r="J123" s="296">
        <v>0</v>
      </c>
      <c r="K123" s="296">
        <v>0</v>
      </c>
      <c r="L123" s="296">
        <v>0</v>
      </c>
      <c r="M123" s="296">
        <v>0</v>
      </c>
      <c r="N123" s="296">
        <v>0</v>
      </c>
      <c r="O123" s="296">
        <v>0</v>
      </c>
      <c r="P123" s="296">
        <v>0</v>
      </c>
      <c r="Q123" s="296">
        <v>0</v>
      </c>
      <c r="R123" s="296">
        <v>0</v>
      </c>
      <c r="S123" s="296">
        <v>0</v>
      </c>
      <c r="T123" s="296">
        <v>0</v>
      </c>
      <c r="U123" s="296">
        <v>0</v>
      </c>
      <c r="V123" s="296">
        <v>0</v>
      </c>
      <c r="W123" s="296">
        <v>0</v>
      </c>
      <c r="X123" s="296">
        <v>0</v>
      </c>
      <c r="Y123" s="296">
        <v>0</v>
      </c>
      <c r="Z123" s="296">
        <v>0</v>
      </c>
      <c r="AA123" s="296">
        <v>0</v>
      </c>
      <c r="AB123" s="296">
        <v>0</v>
      </c>
      <c r="AC123" s="296">
        <v>0</v>
      </c>
      <c r="AD123" s="296">
        <v>0</v>
      </c>
      <c r="AE123" s="296">
        <v>0</v>
      </c>
      <c r="AF123" s="185">
        <v>0</v>
      </c>
      <c r="AG123" s="185">
        <v>0</v>
      </c>
      <c r="AH123" s="185">
        <v>0</v>
      </c>
      <c r="AI123" s="185">
        <v>0</v>
      </c>
      <c r="AJ123" s="185">
        <v>0</v>
      </c>
      <c r="AK123" s="185">
        <v>0</v>
      </c>
      <c r="AL123" s="185">
        <v>0</v>
      </c>
      <c r="AM123" s="185">
        <v>0</v>
      </c>
      <c r="AN123" s="185">
        <v>0</v>
      </c>
      <c r="AO123" s="185">
        <v>0</v>
      </c>
      <c r="AP123" s="185">
        <v>0</v>
      </c>
      <c r="AQ123" s="185">
        <v>0</v>
      </c>
      <c r="AR123" s="185">
        <v>0</v>
      </c>
      <c r="AS123" s="185">
        <v>0</v>
      </c>
      <c r="AT123" s="185">
        <v>0</v>
      </c>
      <c r="AU123" s="185">
        <v>0</v>
      </c>
      <c r="AV123" s="185">
        <v>0</v>
      </c>
      <c r="AW123" s="296">
        <v>0</v>
      </c>
      <c r="AX123" s="304"/>
    </row>
    <row r="124" spans="1:50" ht="14.25" customHeight="1" x14ac:dyDescent="0.15">
      <c r="A124" s="186" t="s">
        <v>386</v>
      </c>
      <c r="B124" s="295">
        <v>0</v>
      </c>
      <c r="C124" s="295">
        <v>0</v>
      </c>
      <c r="D124" s="295">
        <v>0</v>
      </c>
      <c r="E124" s="295">
        <v>0</v>
      </c>
      <c r="F124" s="295">
        <v>0</v>
      </c>
      <c r="G124" s="295">
        <v>0</v>
      </c>
      <c r="H124" s="295">
        <v>0</v>
      </c>
      <c r="I124" s="295">
        <v>0</v>
      </c>
      <c r="J124" s="295">
        <v>0</v>
      </c>
      <c r="K124" s="295">
        <v>0</v>
      </c>
      <c r="L124" s="295">
        <v>0</v>
      </c>
      <c r="M124" s="295">
        <v>0</v>
      </c>
      <c r="N124" s="295">
        <v>0</v>
      </c>
      <c r="O124" s="295">
        <v>0</v>
      </c>
      <c r="P124" s="295">
        <v>0</v>
      </c>
      <c r="Q124" s="295">
        <v>0</v>
      </c>
      <c r="R124" s="295">
        <v>0</v>
      </c>
      <c r="S124" s="295">
        <v>0</v>
      </c>
      <c r="T124" s="295">
        <v>0</v>
      </c>
      <c r="U124" s="295">
        <v>0</v>
      </c>
      <c r="V124" s="295" t="s">
        <v>297</v>
      </c>
      <c r="W124" s="295">
        <v>2.7367673715364561E-2</v>
      </c>
      <c r="X124" s="295">
        <v>0</v>
      </c>
      <c r="Y124" s="295">
        <v>0</v>
      </c>
      <c r="Z124" s="295">
        <v>6.349584436634057</v>
      </c>
      <c r="AA124" s="295">
        <v>0.62094487004124832</v>
      </c>
      <c r="AB124" s="295">
        <v>0.76870804643558677</v>
      </c>
      <c r="AC124" s="295">
        <v>1.153214281411977E-2</v>
      </c>
      <c r="AD124" s="295">
        <v>0.64839053085946052</v>
      </c>
      <c r="AE124" s="295">
        <v>0.12515691256553868</v>
      </c>
      <c r="AF124" s="183">
        <v>36</v>
      </c>
      <c r="AG124" s="183">
        <v>35.813710331981007</v>
      </c>
      <c r="AH124" s="183">
        <v>18.99155794735114</v>
      </c>
      <c r="AI124" s="183">
        <v>49.41703576796958</v>
      </c>
      <c r="AJ124" s="183">
        <v>29.87496593121768</v>
      </c>
      <c r="AK124" s="183">
        <v>4.7494487697618544</v>
      </c>
      <c r="AL124" s="183">
        <v>1.4620732292828686</v>
      </c>
      <c r="AM124" s="183">
        <v>1.4474406531458994</v>
      </c>
      <c r="AN124" s="183">
        <v>1.1014788708621448</v>
      </c>
      <c r="AO124" s="183">
        <v>1.3245372988491206</v>
      </c>
      <c r="AP124" s="183">
        <v>1.6012369227982455</v>
      </c>
      <c r="AQ124" s="183">
        <v>5.6766252537823962E-2</v>
      </c>
      <c r="AR124" s="183">
        <v>0.53560042179952849</v>
      </c>
      <c r="AS124" s="183">
        <v>0.60815942723648631</v>
      </c>
      <c r="AT124" s="183">
        <v>0.59372497217919751</v>
      </c>
      <c r="AU124" s="183">
        <v>1.7274047530825491</v>
      </c>
      <c r="AV124" s="183">
        <v>7.5782101679931975</v>
      </c>
      <c r="AW124" s="295" t="s">
        <v>297</v>
      </c>
      <c r="AX124" s="304"/>
    </row>
    <row r="125" spans="1:50" ht="14.25" customHeight="1" x14ac:dyDescent="0.15">
      <c r="A125" s="186" t="s">
        <v>222</v>
      </c>
      <c r="B125" s="296">
        <v>0</v>
      </c>
      <c r="C125" s="296">
        <v>0</v>
      </c>
      <c r="D125" s="296">
        <v>0</v>
      </c>
      <c r="E125" s="296">
        <v>0</v>
      </c>
      <c r="F125" s="296">
        <v>0</v>
      </c>
      <c r="G125" s="296">
        <v>0</v>
      </c>
      <c r="H125" s="296">
        <v>0</v>
      </c>
      <c r="I125" s="296">
        <v>0</v>
      </c>
      <c r="J125" s="296">
        <v>0</v>
      </c>
      <c r="K125" s="296">
        <v>0</v>
      </c>
      <c r="L125" s="296">
        <v>0</v>
      </c>
      <c r="M125" s="296">
        <v>0</v>
      </c>
      <c r="N125" s="296">
        <v>0</v>
      </c>
      <c r="O125" s="296">
        <v>0</v>
      </c>
      <c r="P125" s="296">
        <v>0</v>
      </c>
      <c r="Q125" s="296">
        <v>1.2586928474778941E-2</v>
      </c>
      <c r="R125" s="296">
        <v>1.8561915589688855E-2</v>
      </c>
      <c r="S125" s="296">
        <v>1.5677749093303529E-2</v>
      </c>
      <c r="T125" s="296">
        <v>0.38714132751110014</v>
      </c>
      <c r="U125" s="296">
        <v>8.2027707283685622E-2</v>
      </c>
      <c r="V125" s="296">
        <v>12.261290790342922</v>
      </c>
      <c r="W125" s="296">
        <v>11.304540821216589</v>
      </c>
      <c r="X125" s="296">
        <v>9.1215410831945913</v>
      </c>
      <c r="Y125" s="296">
        <v>25.852682792298253</v>
      </c>
      <c r="Z125" s="296">
        <v>11.562636348923615</v>
      </c>
      <c r="AA125" s="296">
        <v>12.753963912676719</v>
      </c>
      <c r="AB125" s="296">
        <v>15.347845580099817</v>
      </c>
      <c r="AC125" s="296">
        <v>-10.162251328344761</v>
      </c>
      <c r="AD125" s="296">
        <v>2.290206698446184</v>
      </c>
      <c r="AE125" s="296">
        <v>30.3</v>
      </c>
      <c r="AF125" s="185">
        <v>24.820251360808928</v>
      </c>
      <c r="AG125" s="185">
        <v>12.295712506390789</v>
      </c>
      <c r="AH125" s="185">
        <v>54.200465395772191</v>
      </c>
      <c r="AI125" s="185">
        <v>25.562688795012892</v>
      </c>
      <c r="AJ125" s="185">
        <v>7.7825296379536129</v>
      </c>
      <c r="AK125" s="185">
        <v>6.642000947518043</v>
      </c>
      <c r="AL125" s="185">
        <v>41.289821605407589</v>
      </c>
      <c r="AM125" s="185">
        <v>23.798924678133261</v>
      </c>
      <c r="AN125" s="185">
        <v>30.536163484416477</v>
      </c>
      <c r="AO125" s="185">
        <v>33.217949614294589</v>
      </c>
      <c r="AP125" s="185">
        <v>65.297136516992154</v>
      </c>
      <c r="AQ125" s="185">
        <v>60.253174108720046</v>
      </c>
      <c r="AR125" s="185">
        <v>39.356829023518138</v>
      </c>
      <c r="AS125" s="185">
        <v>32.677285019573269</v>
      </c>
      <c r="AT125" s="185">
        <v>143.0173730561915</v>
      </c>
      <c r="AU125" s="185">
        <v>138.80466385618075</v>
      </c>
      <c r="AV125" s="185">
        <v>151.76693056479797</v>
      </c>
      <c r="AW125" s="296">
        <v>147.58004577952832</v>
      </c>
      <c r="AX125" s="304"/>
    </row>
    <row r="126" spans="1:50" ht="14.25" customHeight="1" x14ac:dyDescent="0.15">
      <c r="A126" s="186" t="s">
        <v>387</v>
      </c>
      <c r="B126" s="295" t="s">
        <v>297</v>
      </c>
      <c r="C126" s="295" t="s">
        <v>297</v>
      </c>
      <c r="D126" s="295" t="s">
        <v>297</v>
      </c>
      <c r="E126" s="295" t="s">
        <v>297</v>
      </c>
      <c r="F126" s="295" t="s">
        <v>297</v>
      </c>
      <c r="G126" s="295" t="s">
        <v>297</v>
      </c>
      <c r="H126" s="295" t="s">
        <v>297</v>
      </c>
      <c r="I126" s="295" t="s">
        <v>297</v>
      </c>
      <c r="J126" s="295" t="s">
        <v>297</v>
      </c>
      <c r="K126" s="295" t="s">
        <v>297</v>
      </c>
      <c r="L126" s="295" t="s">
        <v>297</v>
      </c>
      <c r="M126" s="295" t="s">
        <v>297</v>
      </c>
      <c r="N126" s="295" t="s">
        <v>297</v>
      </c>
      <c r="O126" s="295" t="s">
        <v>297</v>
      </c>
      <c r="P126" s="295" t="s">
        <v>297</v>
      </c>
      <c r="Q126" s="295" t="s">
        <v>297</v>
      </c>
      <c r="R126" s="295" t="s">
        <v>297</v>
      </c>
      <c r="S126" s="295" t="s">
        <v>297</v>
      </c>
      <c r="T126" s="295" t="s">
        <v>297</v>
      </c>
      <c r="U126" s="295" t="s">
        <v>297</v>
      </c>
      <c r="V126" s="295" t="s">
        <v>297</v>
      </c>
      <c r="W126" s="295" t="s">
        <v>297</v>
      </c>
      <c r="X126" s="295" t="s">
        <v>297</v>
      </c>
      <c r="Y126" s="295" t="s">
        <v>297</v>
      </c>
      <c r="Z126" s="295" t="s">
        <v>297</v>
      </c>
      <c r="AA126" s="295" t="s">
        <v>297</v>
      </c>
      <c r="AB126" s="295" t="s">
        <v>297</v>
      </c>
      <c r="AC126" s="295" t="s">
        <v>297</v>
      </c>
      <c r="AD126" s="295" t="s">
        <v>297</v>
      </c>
      <c r="AE126" s="295" t="s">
        <v>297</v>
      </c>
      <c r="AF126" s="183" t="s">
        <v>297</v>
      </c>
      <c r="AG126" s="183" t="s">
        <v>297</v>
      </c>
      <c r="AH126" s="183">
        <v>0.8</v>
      </c>
      <c r="AI126" s="183">
        <v>1.123</v>
      </c>
      <c r="AJ126" s="183">
        <v>1.363078612</v>
      </c>
      <c r="AK126" s="183">
        <v>0.83689188263999992</v>
      </c>
      <c r="AL126" s="183">
        <v>1.2624</v>
      </c>
      <c r="AM126" s="183">
        <v>1.5805476852</v>
      </c>
      <c r="AN126" s="183">
        <v>0.53238097307999999</v>
      </c>
      <c r="AO126" s="183">
        <v>8.8874934720000007E-2</v>
      </c>
      <c r="AP126" s="183">
        <v>0</v>
      </c>
      <c r="AQ126" s="183">
        <v>1</v>
      </c>
      <c r="AR126" s="183">
        <v>0.1110936684</v>
      </c>
      <c r="AS126" s="183">
        <v>0.1110936684</v>
      </c>
      <c r="AT126" s="183">
        <v>4</v>
      </c>
      <c r="AU126" s="183">
        <v>5</v>
      </c>
      <c r="AV126" s="183">
        <v>6</v>
      </c>
      <c r="AW126" s="295" t="s">
        <v>297</v>
      </c>
      <c r="AX126" s="304"/>
    </row>
    <row r="127" spans="1:50" ht="14.25" customHeight="1" x14ac:dyDescent="0.15">
      <c r="A127" s="186" t="s">
        <v>388</v>
      </c>
      <c r="B127" s="296">
        <v>0</v>
      </c>
      <c r="C127" s="296">
        <v>0</v>
      </c>
      <c r="D127" s="296">
        <v>0</v>
      </c>
      <c r="E127" s="296">
        <v>0</v>
      </c>
      <c r="F127" s="296">
        <v>2.1790052840878139E-2</v>
      </c>
      <c r="G127" s="296">
        <v>0</v>
      </c>
      <c r="H127" s="296">
        <v>4.1411439910275245E-2</v>
      </c>
      <c r="I127" s="296">
        <v>0</v>
      </c>
      <c r="J127" s="296">
        <v>0</v>
      </c>
      <c r="K127" s="296">
        <v>1.5673162321840611E-2</v>
      </c>
      <c r="L127" s="296">
        <v>0.19459038723592251</v>
      </c>
      <c r="M127" s="296">
        <v>5.3781512605162562E-2</v>
      </c>
      <c r="N127" s="296">
        <v>0</v>
      </c>
      <c r="O127" s="296">
        <v>0</v>
      </c>
      <c r="P127" s="296">
        <v>0</v>
      </c>
      <c r="Q127" s="296">
        <v>0</v>
      </c>
      <c r="R127" s="296">
        <v>0</v>
      </c>
      <c r="S127" s="296">
        <v>0</v>
      </c>
      <c r="T127" s="296">
        <v>0</v>
      </c>
      <c r="U127" s="296">
        <v>0</v>
      </c>
      <c r="V127" s="296">
        <v>0</v>
      </c>
      <c r="W127" s="296">
        <v>0</v>
      </c>
      <c r="X127" s="296">
        <v>0</v>
      </c>
      <c r="Y127" s="296">
        <v>0</v>
      </c>
      <c r="Z127" s="296" t="s">
        <v>297</v>
      </c>
      <c r="AA127" s="296" t="s">
        <v>297</v>
      </c>
      <c r="AB127" s="296" t="s">
        <v>297</v>
      </c>
      <c r="AC127" s="296" t="s">
        <v>297</v>
      </c>
      <c r="AD127" s="296" t="s">
        <v>297</v>
      </c>
      <c r="AE127" s="296" t="s">
        <v>297</v>
      </c>
      <c r="AF127" s="185" t="s">
        <v>297</v>
      </c>
      <c r="AG127" s="185" t="s">
        <v>297</v>
      </c>
      <c r="AH127" s="185" t="s">
        <v>297</v>
      </c>
      <c r="AI127" s="185" t="s">
        <v>297</v>
      </c>
      <c r="AJ127" s="185" t="s">
        <v>297</v>
      </c>
      <c r="AK127" s="185" t="s">
        <v>297</v>
      </c>
      <c r="AL127" s="185" t="s">
        <v>297</v>
      </c>
      <c r="AM127" s="185">
        <v>0</v>
      </c>
      <c r="AN127" s="185">
        <v>0</v>
      </c>
      <c r="AO127" s="185">
        <v>0</v>
      </c>
      <c r="AP127" s="185">
        <v>0</v>
      </c>
      <c r="AQ127" s="185" t="s">
        <v>297</v>
      </c>
      <c r="AR127" s="185" t="s">
        <v>297</v>
      </c>
      <c r="AS127" s="185">
        <v>0</v>
      </c>
      <c r="AT127" s="185" t="s">
        <v>297</v>
      </c>
      <c r="AU127" s="185">
        <v>0</v>
      </c>
      <c r="AV127" s="185">
        <v>0.27131194851923601</v>
      </c>
      <c r="AW127" s="296" t="s">
        <v>297</v>
      </c>
      <c r="AX127" s="304"/>
    </row>
    <row r="128" spans="1:50" ht="14.25" customHeight="1" x14ac:dyDescent="0.15">
      <c r="A128" s="186" t="s">
        <v>389</v>
      </c>
      <c r="B128" s="295" t="s">
        <v>297</v>
      </c>
      <c r="C128" s="295">
        <v>0.44899929289331392</v>
      </c>
      <c r="D128" s="295">
        <v>0.3026951217355574</v>
      </c>
      <c r="E128" s="295">
        <v>0.64900560183490197</v>
      </c>
      <c r="F128" s="295">
        <v>0.47557838926496665</v>
      </c>
      <c r="G128" s="295">
        <v>0.6506780608471624</v>
      </c>
      <c r="H128" s="295">
        <v>0.44760044203465371</v>
      </c>
      <c r="I128" s="295">
        <v>0.64382320617226685</v>
      </c>
      <c r="J128" s="295">
        <v>0.68339854097816766</v>
      </c>
      <c r="K128" s="295">
        <v>0.72462017828281933</v>
      </c>
      <c r="L128" s="295">
        <v>0.25902569643115442</v>
      </c>
      <c r="M128" s="295">
        <v>1.1138868897369583</v>
      </c>
      <c r="N128" s="295">
        <v>0.31060201140685806</v>
      </c>
      <c r="O128" s="295">
        <v>1.6371818890474392</v>
      </c>
      <c r="P128" s="295">
        <v>3.4098882387271425</v>
      </c>
      <c r="Q128" s="295">
        <v>2.018371667444109</v>
      </c>
      <c r="R128" s="295">
        <v>3.5138587120004208</v>
      </c>
      <c r="S128" s="295">
        <v>5.2045823884856759</v>
      </c>
      <c r="T128" s="295">
        <v>2.0398883161146926</v>
      </c>
      <c r="U128" s="295">
        <v>1.1135630118909949</v>
      </c>
      <c r="V128" s="295">
        <v>1.5529453717914152</v>
      </c>
      <c r="W128" s="295">
        <v>1.8943544522901223</v>
      </c>
      <c r="X128" s="295">
        <v>1.8995825271650224</v>
      </c>
      <c r="Y128" s="295">
        <v>2.1256509806128125</v>
      </c>
      <c r="Z128" s="295">
        <v>0.5161636993319989</v>
      </c>
      <c r="AA128" s="295">
        <v>0.94781683672076977</v>
      </c>
      <c r="AB128" s="295">
        <v>2.3112095047782031</v>
      </c>
      <c r="AC128" s="295">
        <v>5.2203949888767855</v>
      </c>
      <c r="AD128" s="295">
        <v>2.7098596011500153</v>
      </c>
      <c r="AE128" s="295">
        <v>3.9311415557455875</v>
      </c>
      <c r="AF128" s="183">
        <v>4.4591270919868062</v>
      </c>
      <c r="AG128" s="183">
        <v>2.3828240233327942</v>
      </c>
      <c r="AH128" s="183">
        <v>4.0730642251161395</v>
      </c>
      <c r="AI128" s="183">
        <v>5.9974544497151552</v>
      </c>
      <c r="AJ128" s="183">
        <v>25.699299268501399</v>
      </c>
      <c r="AK128" s="183">
        <v>4177.3994442949288</v>
      </c>
      <c r="AL128" s="183">
        <v>424.09459288991377</v>
      </c>
      <c r="AM128" s="183">
        <v>775.39429914211064</v>
      </c>
      <c r="AN128" s="183">
        <v>3914.2</v>
      </c>
      <c r="AO128" s="183">
        <v>6336.7319243252605</v>
      </c>
      <c r="AP128" s="183">
        <v>5570.1031917203691</v>
      </c>
      <c r="AQ128" s="183">
        <v>6234.9289827161838</v>
      </c>
      <c r="AR128" s="183">
        <v>8994.258602347687</v>
      </c>
      <c r="AS128" s="183">
        <v>5723.7630298633148</v>
      </c>
      <c r="AT128" s="183">
        <v>6721.199322799207</v>
      </c>
      <c r="AU128" s="183">
        <v>6188.0249580548307</v>
      </c>
      <c r="AV128" s="183">
        <v>6168.9112722210602</v>
      </c>
      <c r="AW128" s="295">
        <v>3550.347411481891</v>
      </c>
      <c r="AX128" s="304"/>
    </row>
    <row r="129" spans="1:50" ht="14.25" customHeight="1" x14ac:dyDescent="0.15">
      <c r="A129" s="186" t="s">
        <v>81</v>
      </c>
      <c r="B129" s="296" t="s">
        <v>297</v>
      </c>
      <c r="C129" s="296" t="s">
        <v>297</v>
      </c>
      <c r="D129" s="296" t="s">
        <v>297</v>
      </c>
      <c r="E129" s="296" t="s">
        <v>297</v>
      </c>
      <c r="F129" s="296">
        <v>0</v>
      </c>
      <c r="G129" s="296">
        <v>0</v>
      </c>
      <c r="H129" s="296">
        <v>0</v>
      </c>
      <c r="I129" s="296">
        <v>0</v>
      </c>
      <c r="J129" s="296">
        <v>0</v>
      </c>
      <c r="K129" s="296">
        <v>0</v>
      </c>
      <c r="L129" s="296">
        <v>0</v>
      </c>
      <c r="M129" s="296">
        <v>0</v>
      </c>
      <c r="N129" s="296">
        <v>0</v>
      </c>
      <c r="O129" s="296">
        <v>0</v>
      </c>
      <c r="P129" s="296">
        <v>0</v>
      </c>
      <c r="Q129" s="296">
        <v>0</v>
      </c>
      <c r="R129" s="296">
        <v>0</v>
      </c>
      <c r="S129" s="296">
        <v>0</v>
      </c>
      <c r="T129" s="296">
        <v>0</v>
      </c>
      <c r="U129" s="296">
        <v>0</v>
      </c>
      <c r="V129" s="296">
        <v>0</v>
      </c>
      <c r="W129" s="296">
        <v>0</v>
      </c>
      <c r="X129" s="296">
        <v>0</v>
      </c>
      <c r="Y129" s="296">
        <v>0</v>
      </c>
      <c r="Z129" s="296">
        <v>0</v>
      </c>
      <c r="AA129" s="296">
        <v>0</v>
      </c>
      <c r="AB129" s="296">
        <v>0</v>
      </c>
      <c r="AC129" s="296">
        <v>325.80700000000002</v>
      </c>
      <c r="AD129" s="296">
        <v>1523.123</v>
      </c>
      <c r="AE129" s="296">
        <v>1964.193</v>
      </c>
      <c r="AF129" s="185">
        <v>1045.605</v>
      </c>
      <c r="AG129" s="185">
        <v>823.6</v>
      </c>
      <c r="AH129" s="185">
        <v>625.44299999999998</v>
      </c>
      <c r="AI129" s="185">
        <v>1505.4749999999999</v>
      </c>
      <c r="AJ129" s="185">
        <v>2026.545243</v>
      </c>
      <c r="AK129" s="185">
        <v>6566.6298649999999</v>
      </c>
      <c r="AL129" s="185">
        <v>6904.3442539999996</v>
      </c>
      <c r="AM129" s="185">
        <v>6779.0711890000002</v>
      </c>
      <c r="AN129" s="185">
        <v>8076.2969249999996</v>
      </c>
      <c r="AO129" s="185">
        <v>7331.5949659999997</v>
      </c>
      <c r="AP129" s="185">
        <v>3430.4694030000001</v>
      </c>
      <c r="AQ129" s="185">
        <v>2980.0337209999998</v>
      </c>
      <c r="AR129" s="185">
        <v>4764.1201190000002</v>
      </c>
      <c r="AS129" s="185">
        <v>5227.4958290000004</v>
      </c>
      <c r="AT129" s="185">
        <v>6090.9029140000002</v>
      </c>
      <c r="AU129" s="185">
        <v>5081.3645740000002</v>
      </c>
      <c r="AV129" s="185">
        <v>5908.4633409999997</v>
      </c>
      <c r="AW129" s="296">
        <v>9928.7749999999996</v>
      </c>
      <c r="AX129" s="304"/>
    </row>
    <row r="130" spans="1:50" ht="14.25" customHeight="1" x14ac:dyDescent="0.15">
      <c r="A130" s="186" t="s">
        <v>390</v>
      </c>
      <c r="B130" s="295" t="s">
        <v>297</v>
      </c>
      <c r="C130" s="295" t="s">
        <v>297</v>
      </c>
      <c r="D130" s="295" t="s">
        <v>297</v>
      </c>
      <c r="E130" s="295" t="s">
        <v>297</v>
      </c>
      <c r="F130" s="295" t="s">
        <v>297</v>
      </c>
      <c r="G130" s="295" t="s">
        <v>297</v>
      </c>
      <c r="H130" s="295" t="s">
        <v>297</v>
      </c>
      <c r="I130" s="295" t="s">
        <v>297</v>
      </c>
      <c r="J130" s="295" t="s">
        <v>297</v>
      </c>
      <c r="K130" s="295" t="s">
        <v>297</v>
      </c>
      <c r="L130" s="295" t="s">
        <v>297</v>
      </c>
      <c r="M130" s="295" t="s">
        <v>297</v>
      </c>
      <c r="N130" s="295" t="s">
        <v>297</v>
      </c>
      <c r="O130" s="295" t="s">
        <v>297</v>
      </c>
      <c r="P130" s="295" t="s">
        <v>297</v>
      </c>
      <c r="Q130" s="295" t="s">
        <v>297</v>
      </c>
      <c r="R130" s="295" t="s">
        <v>297</v>
      </c>
      <c r="S130" s="295" t="s">
        <v>297</v>
      </c>
      <c r="T130" s="295" t="s">
        <v>297</v>
      </c>
      <c r="U130" s="295" t="s">
        <v>297</v>
      </c>
      <c r="V130" s="295" t="s">
        <v>297</v>
      </c>
      <c r="W130" s="295" t="s">
        <v>297</v>
      </c>
      <c r="X130" s="295" t="s">
        <v>297</v>
      </c>
      <c r="Y130" s="295" t="s">
        <v>297</v>
      </c>
      <c r="Z130" s="295" t="s">
        <v>297</v>
      </c>
      <c r="AA130" s="295" t="s">
        <v>297</v>
      </c>
      <c r="AB130" s="295" t="s">
        <v>297</v>
      </c>
      <c r="AC130" s="295" t="s">
        <v>297</v>
      </c>
      <c r="AD130" s="295" t="s">
        <v>297</v>
      </c>
      <c r="AE130" s="295" t="s">
        <v>297</v>
      </c>
      <c r="AF130" s="183" t="s">
        <v>297</v>
      </c>
      <c r="AG130" s="183" t="s">
        <v>297</v>
      </c>
      <c r="AH130" s="183" t="s">
        <v>297</v>
      </c>
      <c r="AI130" s="183" t="s">
        <v>297</v>
      </c>
      <c r="AJ130" s="183" t="s">
        <v>297</v>
      </c>
      <c r="AK130" s="183" t="s">
        <v>297</v>
      </c>
      <c r="AL130" s="183" t="s">
        <v>297</v>
      </c>
      <c r="AM130" s="183" t="s">
        <v>297</v>
      </c>
      <c r="AN130" s="183" t="s">
        <v>297</v>
      </c>
      <c r="AO130" s="183">
        <v>2.1720000000000002</v>
      </c>
      <c r="AP130" s="183" t="s">
        <v>297</v>
      </c>
      <c r="AQ130" s="183" t="s">
        <v>297</v>
      </c>
      <c r="AR130" s="183" t="s">
        <v>297</v>
      </c>
      <c r="AS130" s="183" t="s">
        <v>297</v>
      </c>
      <c r="AT130" s="183" t="s">
        <v>297</v>
      </c>
      <c r="AU130" s="183" t="s">
        <v>297</v>
      </c>
      <c r="AV130" s="183" t="s">
        <v>297</v>
      </c>
      <c r="AW130" s="295" t="s">
        <v>297</v>
      </c>
      <c r="AX130" s="304"/>
    </row>
    <row r="131" spans="1:50" ht="14.25" customHeight="1" x14ac:dyDescent="0.15">
      <c r="A131" s="186" t="s">
        <v>391</v>
      </c>
      <c r="B131" s="296" t="s">
        <v>297</v>
      </c>
      <c r="C131" s="296" t="s">
        <v>297</v>
      </c>
      <c r="D131" s="296" t="s">
        <v>297</v>
      </c>
      <c r="E131" s="296" t="s">
        <v>297</v>
      </c>
      <c r="F131" s="296" t="s">
        <v>297</v>
      </c>
      <c r="G131" s="296" t="s">
        <v>297</v>
      </c>
      <c r="H131" s="296" t="s">
        <v>297</v>
      </c>
      <c r="I131" s="296" t="s">
        <v>297</v>
      </c>
      <c r="J131" s="296" t="s">
        <v>297</v>
      </c>
      <c r="K131" s="296" t="s">
        <v>297</v>
      </c>
      <c r="L131" s="296" t="s">
        <v>297</v>
      </c>
      <c r="M131" s="296" t="s">
        <v>297</v>
      </c>
      <c r="N131" s="296" t="s">
        <v>297</v>
      </c>
      <c r="O131" s="296" t="s">
        <v>297</v>
      </c>
      <c r="P131" s="296" t="s">
        <v>297</v>
      </c>
      <c r="Q131" s="296" t="s">
        <v>297</v>
      </c>
      <c r="R131" s="296" t="s">
        <v>297</v>
      </c>
      <c r="S131" s="296" t="s">
        <v>297</v>
      </c>
      <c r="T131" s="296" t="s">
        <v>297</v>
      </c>
      <c r="U131" s="296" t="s">
        <v>297</v>
      </c>
      <c r="V131" s="296" t="s">
        <v>297</v>
      </c>
      <c r="W131" s="296" t="s">
        <v>297</v>
      </c>
      <c r="X131" s="296">
        <v>0.02</v>
      </c>
      <c r="Y131" s="296">
        <v>0</v>
      </c>
      <c r="Z131" s="296">
        <v>0</v>
      </c>
      <c r="AA131" s="296">
        <v>0</v>
      </c>
      <c r="AB131" s="296">
        <v>0</v>
      </c>
      <c r="AC131" s="296">
        <v>0</v>
      </c>
      <c r="AD131" s="296">
        <v>0</v>
      </c>
      <c r="AE131" s="296">
        <v>0</v>
      </c>
      <c r="AF131" s="185">
        <v>0</v>
      </c>
      <c r="AG131" s="185">
        <v>0</v>
      </c>
      <c r="AH131" s="185">
        <v>0.03</v>
      </c>
      <c r="AI131" s="185">
        <v>1.02</v>
      </c>
      <c r="AJ131" s="185">
        <v>2.1</v>
      </c>
      <c r="AK131" s="185">
        <v>6.16</v>
      </c>
      <c r="AL131" s="185">
        <v>6.27</v>
      </c>
      <c r="AM131" s="185">
        <v>6.1</v>
      </c>
      <c r="AN131" s="185">
        <v>6.16</v>
      </c>
      <c r="AO131" s="185">
        <v>6.51</v>
      </c>
      <c r="AP131" s="185">
        <v>6.16</v>
      </c>
      <c r="AQ131" s="185">
        <v>7.46</v>
      </c>
      <c r="AR131" s="185">
        <v>11.38</v>
      </c>
      <c r="AS131" s="185">
        <v>11.55</v>
      </c>
      <c r="AT131" s="185">
        <v>9.5500000000000007</v>
      </c>
      <c r="AU131" s="185">
        <v>8.52</v>
      </c>
      <c r="AV131" s="185">
        <v>8.61</v>
      </c>
      <c r="AW131" s="296">
        <v>10.73</v>
      </c>
      <c r="AX131" s="304"/>
    </row>
    <row r="132" spans="1:50" ht="14.25" customHeight="1" x14ac:dyDescent="0.15">
      <c r="A132" s="186" t="s">
        <v>392</v>
      </c>
      <c r="B132" s="295" t="s">
        <v>297</v>
      </c>
      <c r="C132" s="295" t="s">
        <v>297</v>
      </c>
      <c r="D132" s="295" t="s">
        <v>297</v>
      </c>
      <c r="E132" s="295" t="s">
        <v>297</v>
      </c>
      <c r="F132" s="295" t="s">
        <v>297</v>
      </c>
      <c r="G132" s="295" t="s">
        <v>297</v>
      </c>
      <c r="H132" s="295">
        <v>0</v>
      </c>
      <c r="I132" s="295">
        <v>0</v>
      </c>
      <c r="J132" s="295">
        <v>0</v>
      </c>
      <c r="K132" s="295">
        <v>0</v>
      </c>
      <c r="L132" s="295">
        <v>0</v>
      </c>
      <c r="M132" s="295">
        <v>0</v>
      </c>
      <c r="N132" s="295">
        <v>0</v>
      </c>
      <c r="O132" s="295">
        <v>0</v>
      </c>
      <c r="P132" s="295" t="s">
        <v>297</v>
      </c>
      <c r="Q132" s="295" t="s">
        <v>297</v>
      </c>
      <c r="R132" s="295" t="s">
        <v>297</v>
      </c>
      <c r="S132" s="295" t="s">
        <v>297</v>
      </c>
      <c r="T132" s="295" t="s">
        <v>297</v>
      </c>
      <c r="U132" s="295" t="s">
        <v>297</v>
      </c>
      <c r="V132" s="295" t="s">
        <v>297</v>
      </c>
      <c r="W132" s="295" t="s">
        <v>297</v>
      </c>
      <c r="X132" s="295" t="s">
        <v>297</v>
      </c>
      <c r="Y132" s="295" t="s">
        <v>297</v>
      </c>
      <c r="Z132" s="295" t="s">
        <v>297</v>
      </c>
      <c r="AA132" s="295" t="s">
        <v>297</v>
      </c>
      <c r="AB132" s="295" t="s">
        <v>297</v>
      </c>
      <c r="AC132" s="295" t="s">
        <v>297</v>
      </c>
      <c r="AD132" s="295" t="s">
        <v>297</v>
      </c>
      <c r="AE132" s="295" t="s">
        <v>297</v>
      </c>
      <c r="AF132" s="183" t="s">
        <v>297</v>
      </c>
      <c r="AG132" s="183" t="s">
        <v>297</v>
      </c>
      <c r="AH132" s="183">
        <v>0</v>
      </c>
      <c r="AI132" s="183">
        <v>4.0000000000000001E-3</v>
      </c>
      <c r="AJ132" s="183">
        <v>0</v>
      </c>
      <c r="AK132" s="183">
        <v>0.83665191000000005</v>
      </c>
      <c r="AL132" s="183">
        <v>0.13933926999999999</v>
      </c>
      <c r="AM132" s="183">
        <v>16.254558893705703</v>
      </c>
      <c r="AN132" s="183">
        <v>0.56725507000000008</v>
      </c>
      <c r="AO132" s="183">
        <v>0.93040188331834994</v>
      </c>
      <c r="AP132" s="183">
        <v>0.82106268999999998</v>
      </c>
      <c r="AQ132" s="183">
        <v>1.7527246399999998</v>
      </c>
      <c r="AR132" s="183">
        <v>3.210791421683195</v>
      </c>
      <c r="AS132" s="183">
        <v>1.6144194632878279</v>
      </c>
      <c r="AT132" s="183">
        <v>2.0368883559333195</v>
      </c>
      <c r="AU132" s="183">
        <v>0.14093945625149201</v>
      </c>
      <c r="AV132" s="183">
        <v>3.7653667040911745</v>
      </c>
      <c r="AW132" s="295">
        <v>1.3733958284081467</v>
      </c>
      <c r="AX132" s="304"/>
    </row>
    <row r="133" spans="1:50" ht="14.25" customHeight="1" x14ac:dyDescent="0.15">
      <c r="A133" s="186" t="s">
        <v>393</v>
      </c>
      <c r="B133" s="296" t="s">
        <v>297</v>
      </c>
      <c r="C133" s="296" t="s">
        <v>297</v>
      </c>
      <c r="D133" s="296" t="s">
        <v>297</v>
      </c>
      <c r="E133" s="296" t="s">
        <v>297</v>
      </c>
      <c r="F133" s="296" t="s">
        <v>297</v>
      </c>
      <c r="G133" s="296" t="s">
        <v>297</v>
      </c>
      <c r="H133" s="296" t="s">
        <v>297</v>
      </c>
      <c r="I133" s="296" t="s">
        <v>297</v>
      </c>
      <c r="J133" s="296" t="s">
        <v>297</v>
      </c>
      <c r="K133" s="296" t="s">
        <v>297</v>
      </c>
      <c r="L133" s="296" t="s">
        <v>297</v>
      </c>
      <c r="M133" s="296" t="s">
        <v>297</v>
      </c>
      <c r="N133" s="296" t="s">
        <v>297</v>
      </c>
      <c r="O133" s="296" t="s">
        <v>297</v>
      </c>
      <c r="P133" s="296" t="s">
        <v>297</v>
      </c>
      <c r="Q133" s="296" t="s">
        <v>297</v>
      </c>
      <c r="R133" s="296" t="s">
        <v>297</v>
      </c>
      <c r="S133" s="296" t="s">
        <v>297</v>
      </c>
      <c r="T133" s="296" t="s">
        <v>297</v>
      </c>
      <c r="U133" s="296" t="s">
        <v>297</v>
      </c>
      <c r="V133" s="296" t="s">
        <v>297</v>
      </c>
      <c r="W133" s="296" t="s">
        <v>297</v>
      </c>
      <c r="X133" s="296" t="s">
        <v>297</v>
      </c>
      <c r="Y133" s="296" t="s">
        <v>297</v>
      </c>
      <c r="Z133" s="296" t="s">
        <v>297</v>
      </c>
      <c r="AA133" s="296" t="s">
        <v>297</v>
      </c>
      <c r="AB133" s="296" t="s">
        <v>297</v>
      </c>
      <c r="AC133" s="296" t="s">
        <v>297</v>
      </c>
      <c r="AD133" s="296" t="s">
        <v>297</v>
      </c>
      <c r="AE133" s="296" t="s">
        <v>297</v>
      </c>
      <c r="AF133" s="185" t="s">
        <v>297</v>
      </c>
      <c r="AG133" s="185" t="s">
        <v>297</v>
      </c>
      <c r="AH133" s="185">
        <v>1.5456567662898766</v>
      </c>
      <c r="AI133" s="185">
        <v>1.016781171955871</v>
      </c>
      <c r="AJ133" s="185">
        <v>1.9022474790046211</v>
      </c>
      <c r="AK133" s="185">
        <v>2.2000000000000002</v>
      </c>
      <c r="AL133" s="185">
        <v>2.8910963445726838</v>
      </c>
      <c r="AM133" s="185">
        <v>0.85807444453307447</v>
      </c>
      <c r="AN133" s="185">
        <v>0.76501054093458709</v>
      </c>
      <c r="AO133" s="185">
        <v>1.8092678639398398</v>
      </c>
      <c r="AP133" s="185">
        <v>1.5011751477844417</v>
      </c>
      <c r="AQ133" s="185">
        <v>2.666940143453032</v>
      </c>
      <c r="AR133" s="185">
        <v>1.1502000616939334</v>
      </c>
      <c r="AS133" s="185">
        <v>20.139504354397179</v>
      </c>
      <c r="AT133" s="185">
        <v>12.92814423341364</v>
      </c>
      <c r="AU133" s="185">
        <v>7.6100337196992243</v>
      </c>
      <c r="AV133" s="185">
        <v>10.215607780154381</v>
      </c>
      <c r="AW133" s="296">
        <v>6.2809383545624096</v>
      </c>
      <c r="AX133" s="304"/>
    </row>
    <row r="134" spans="1:50" ht="14.25" customHeight="1" x14ac:dyDescent="0.15">
      <c r="A134" s="186" t="s">
        <v>394</v>
      </c>
      <c r="B134" s="295" t="s">
        <v>297</v>
      </c>
      <c r="C134" s="295" t="s">
        <v>297</v>
      </c>
      <c r="D134" s="295" t="s">
        <v>297</v>
      </c>
      <c r="E134" s="295" t="s">
        <v>297</v>
      </c>
      <c r="F134" s="295" t="s">
        <v>297</v>
      </c>
      <c r="G134" s="295" t="s">
        <v>297</v>
      </c>
      <c r="H134" s="295" t="s">
        <v>297</v>
      </c>
      <c r="I134" s="295" t="s">
        <v>297</v>
      </c>
      <c r="J134" s="295" t="s">
        <v>297</v>
      </c>
      <c r="K134" s="295" t="s">
        <v>297</v>
      </c>
      <c r="L134" s="295" t="s">
        <v>297</v>
      </c>
      <c r="M134" s="295">
        <v>0</v>
      </c>
      <c r="N134" s="295">
        <v>0</v>
      </c>
      <c r="O134" s="295">
        <v>0</v>
      </c>
      <c r="P134" s="295">
        <v>0</v>
      </c>
      <c r="Q134" s="295">
        <v>0</v>
      </c>
      <c r="R134" s="295">
        <v>0</v>
      </c>
      <c r="S134" s="295">
        <v>0</v>
      </c>
      <c r="T134" s="295">
        <v>0</v>
      </c>
      <c r="U134" s="295">
        <v>0</v>
      </c>
      <c r="V134" s="295">
        <v>0</v>
      </c>
      <c r="W134" s="295">
        <v>0</v>
      </c>
      <c r="X134" s="295">
        <v>0</v>
      </c>
      <c r="Y134" s="295">
        <v>0</v>
      </c>
      <c r="Z134" s="295">
        <v>0</v>
      </c>
      <c r="AA134" s="295">
        <v>0</v>
      </c>
      <c r="AB134" s="295">
        <v>0</v>
      </c>
      <c r="AC134" s="295">
        <v>0</v>
      </c>
      <c r="AD134" s="295">
        <v>0</v>
      </c>
      <c r="AE134" s="295">
        <v>0</v>
      </c>
      <c r="AF134" s="183">
        <v>0</v>
      </c>
      <c r="AG134" s="183">
        <v>2.7074074074074072E-4</v>
      </c>
      <c r="AH134" s="183">
        <v>2.8148148148148146E-4</v>
      </c>
      <c r="AI134" s="183">
        <v>0</v>
      </c>
      <c r="AJ134" s="183">
        <v>0</v>
      </c>
      <c r="AK134" s="183">
        <v>0</v>
      </c>
      <c r="AL134" s="183">
        <v>0</v>
      </c>
      <c r="AM134" s="183">
        <v>0</v>
      </c>
      <c r="AN134" s="183">
        <v>0</v>
      </c>
      <c r="AO134" s="183">
        <v>0</v>
      </c>
      <c r="AP134" s="183">
        <v>0</v>
      </c>
      <c r="AQ134" s="183">
        <v>0</v>
      </c>
      <c r="AR134" s="183">
        <v>0</v>
      </c>
      <c r="AS134" s="183">
        <v>0</v>
      </c>
      <c r="AT134" s="183">
        <v>0</v>
      </c>
      <c r="AU134" s="183">
        <v>0</v>
      </c>
      <c r="AV134" s="183">
        <v>0</v>
      </c>
      <c r="AW134" s="295" t="s">
        <v>297</v>
      </c>
      <c r="AX134" s="304"/>
    </row>
    <row r="135" spans="1:50" ht="14.25" customHeight="1" x14ac:dyDescent="0.15">
      <c r="A135" s="186" t="s">
        <v>395</v>
      </c>
      <c r="B135" s="296">
        <v>0</v>
      </c>
      <c r="C135" s="296">
        <v>0</v>
      </c>
      <c r="D135" s="296">
        <v>0</v>
      </c>
      <c r="E135" s="296">
        <v>0</v>
      </c>
      <c r="F135" s="296">
        <v>0</v>
      </c>
      <c r="G135" s="296">
        <v>0</v>
      </c>
      <c r="H135" s="296">
        <v>0</v>
      </c>
      <c r="I135" s="296">
        <v>0</v>
      </c>
      <c r="J135" s="296">
        <v>0</v>
      </c>
      <c r="K135" s="296">
        <v>0</v>
      </c>
      <c r="L135" s="296">
        <v>0</v>
      </c>
      <c r="M135" s="296">
        <v>0</v>
      </c>
      <c r="N135" s="296">
        <v>0</v>
      </c>
      <c r="O135" s="296">
        <v>0</v>
      </c>
      <c r="P135" s="296">
        <v>0</v>
      </c>
      <c r="Q135" s="296">
        <v>0</v>
      </c>
      <c r="R135" s="296">
        <v>2.2971211329401431</v>
      </c>
      <c r="S135" s="296">
        <v>0.81987614014025745</v>
      </c>
      <c r="T135" s="296">
        <v>0.32262542533905453</v>
      </c>
      <c r="U135" s="296">
        <v>1.5212901844727347</v>
      </c>
      <c r="V135" s="296">
        <v>4.2153402672428166</v>
      </c>
      <c r="W135" s="296">
        <v>7.1134560869815076</v>
      </c>
      <c r="X135" s="296">
        <v>1.0496366158036083</v>
      </c>
      <c r="Y135" s="296">
        <v>2.6029693459579666</v>
      </c>
      <c r="Z135" s="296">
        <v>6.3236790416702382</v>
      </c>
      <c r="AA135" s="296">
        <v>8.8935851480076593</v>
      </c>
      <c r="AB135" s="296">
        <v>9.2984369159446949</v>
      </c>
      <c r="AC135" s="296">
        <v>6.2973073113189901</v>
      </c>
      <c r="AD135" s="296">
        <v>10.817997041834387</v>
      </c>
      <c r="AE135" s="296">
        <v>26.32670774768464</v>
      </c>
      <c r="AF135" s="185">
        <v>21.056051353165742</v>
      </c>
      <c r="AG135" s="185">
        <v>24.582257191642992</v>
      </c>
      <c r="AH135" s="185">
        <v>16.621048643019627</v>
      </c>
      <c r="AI135" s="185">
        <v>43.551664238910675</v>
      </c>
      <c r="AJ135" s="185">
        <v>35.617839555707249</v>
      </c>
      <c r="AK135" s="185">
        <v>73.89375359605495</v>
      </c>
      <c r="AL135" s="185">
        <v>168.14679055331391</v>
      </c>
      <c r="AM135" s="185">
        <v>165.43034310086384</v>
      </c>
      <c r="AN135" s="185">
        <v>186.65626517570388</v>
      </c>
      <c r="AO135" s="185">
        <v>283.7</v>
      </c>
      <c r="AP135" s="185">
        <v>273.21925775019236</v>
      </c>
      <c r="AQ135" s="185">
        <v>312.28364237075743</v>
      </c>
      <c r="AR135" s="185">
        <v>379.36936063657095</v>
      </c>
      <c r="AS135" s="185">
        <v>404.97281582074265</v>
      </c>
      <c r="AT135" s="185">
        <v>312.2950904148617</v>
      </c>
      <c r="AU135" s="185">
        <v>410.09486738150395</v>
      </c>
      <c r="AV135" s="185">
        <v>578.4058839732952</v>
      </c>
      <c r="AW135" s="296">
        <v>439.52987072108436</v>
      </c>
      <c r="AX135" s="304"/>
    </row>
    <row r="136" spans="1:50" ht="14.25" customHeight="1" x14ac:dyDescent="0.15">
      <c r="A136" s="186" t="s">
        <v>396</v>
      </c>
      <c r="B136" s="295" t="s">
        <v>297</v>
      </c>
      <c r="C136" s="295" t="s">
        <v>297</v>
      </c>
      <c r="D136" s="295" t="s">
        <v>297</v>
      </c>
      <c r="E136" s="295" t="s">
        <v>297</v>
      </c>
      <c r="F136" s="295" t="s">
        <v>297</v>
      </c>
      <c r="G136" s="295" t="s">
        <v>297</v>
      </c>
      <c r="H136" s="295" t="s">
        <v>297</v>
      </c>
      <c r="I136" s="295" t="s">
        <v>297</v>
      </c>
      <c r="J136" s="295" t="s">
        <v>297</v>
      </c>
      <c r="K136" s="295" t="s">
        <v>297</v>
      </c>
      <c r="L136" s="295" t="s">
        <v>297</v>
      </c>
      <c r="M136" s="295" t="s">
        <v>297</v>
      </c>
      <c r="N136" s="295" t="s">
        <v>297</v>
      </c>
      <c r="O136" s="295" t="s">
        <v>297</v>
      </c>
      <c r="P136" s="295" t="s">
        <v>297</v>
      </c>
      <c r="Q136" s="295" t="s">
        <v>297</v>
      </c>
      <c r="R136" s="295" t="s">
        <v>297</v>
      </c>
      <c r="S136" s="295" t="s">
        <v>297</v>
      </c>
      <c r="T136" s="295" t="s">
        <v>297</v>
      </c>
      <c r="U136" s="295" t="s">
        <v>297</v>
      </c>
      <c r="V136" s="295" t="s">
        <v>297</v>
      </c>
      <c r="W136" s="295" t="s">
        <v>297</v>
      </c>
      <c r="X136" s="295" t="s">
        <v>297</v>
      </c>
      <c r="Y136" s="295" t="s">
        <v>297</v>
      </c>
      <c r="Z136" s="295" t="s">
        <v>297</v>
      </c>
      <c r="AA136" s="295" t="s">
        <v>297</v>
      </c>
      <c r="AB136" s="295" t="s">
        <v>297</v>
      </c>
      <c r="AC136" s="295" t="s">
        <v>297</v>
      </c>
      <c r="AD136" s="295" t="s">
        <v>297</v>
      </c>
      <c r="AE136" s="295" t="s">
        <v>297</v>
      </c>
      <c r="AF136" s="183">
        <v>3.9220999999999999E-2</v>
      </c>
      <c r="AG136" s="183">
        <v>1.2664E-2</v>
      </c>
      <c r="AH136" s="183">
        <v>4.0818149999999997</v>
      </c>
      <c r="AI136" s="183">
        <v>2.9151026500000001</v>
      </c>
      <c r="AJ136" s="183">
        <v>2.02458866</v>
      </c>
      <c r="AK136" s="183" t="s">
        <v>297</v>
      </c>
      <c r="AL136" s="183" t="s">
        <v>297</v>
      </c>
      <c r="AM136" s="183" t="s">
        <v>297</v>
      </c>
      <c r="AN136" s="183" t="s">
        <v>297</v>
      </c>
      <c r="AO136" s="183">
        <v>1.4534630900000001</v>
      </c>
      <c r="AP136" s="183">
        <v>0</v>
      </c>
      <c r="AQ136" s="183">
        <v>7.5225700000001198E-3</v>
      </c>
      <c r="AR136" s="183">
        <v>8.1912913851541589</v>
      </c>
      <c r="AS136" s="183">
        <v>12.268834523935217</v>
      </c>
      <c r="AT136" s="183">
        <v>17.338992055864701</v>
      </c>
      <c r="AU136" s="183">
        <v>10.891788663830301</v>
      </c>
      <c r="AV136" s="183">
        <v>12.570294552388061</v>
      </c>
      <c r="AW136" s="295">
        <v>20.987880890822499</v>
      </c>
      <c r="AX136" s="304"/>
    </row>
    <row r="137" spans="1:50" ht="14.25" customHeight="1" x14ac:dyDescent="0.15">
      <c r="A137" s="186" t="s">
        <v>397</v>
      </c>
      <c r="B137" s="296" t="s">
        <v>297</v>
      </c>
      <c r="C137" s="296">
        <v>0</v>
      </c>
      <c r="D137" s="296">
        <v>0</v>
      </c>
      <c r="E137" s="296">
        <v>0</v>
      </c>
      <c r="F137" s="296">
        <v>0</v>
      </c>
      <c r="G137" s="296">
        <v>0</v>
      </c>
      <c r="H137" s="296">
        <v>0</v>
      </c>
      <c r="I137" s="296">
        <v>0</v>
      </c>
      <c r="J137" s="296">
        <v>0</v>
      </c>
      <c r="K137" s="296">
        <v>0</v>
      </c>
      <c r="L137" s="296">
        <v>0</v>
      </c>
      <c r="M137" s="296">
        <v>0</v>
      </c>
      <c r="N137" s="296">
        <v>0</v>
      </c>
      <c r="O137" s="296">
        <v>0</v>
      </c>
      <c r="P137" s="296">
        <v>0</v>
      </c>
      <c r="Q137" s="296">
        <v>0</v>
      </c>
      <c r="R137" s="296">
        <v>0</v>
      </c>
      <c r="S137" s="296" t="s">
        <v>297</v>
      </c>
      <c r="T137" s="296" t="s">
        <v>297</v>
      </c>
      <c r="U137" s="296" t="s">
        <v>297</v>
      </c>
      <c r="V137" s="296" t="s">
        <v>297</v>
      </c>
      <c r="W137" s="296" t="s">
        <v>297</v>
      </c>
      <c r="X137" s="296" t="s">
        <v>297</v>
      </c>
      <c r="Y137" s="296" t="s">
        <v>297</v>
      </c>
      <c r="Z137" s="296" t="s">
        <v>297</v>
      </c>
      <c r="AA137" s="296" t="s">
        <v>297</v>
      </c>
      <c r="AB137" s="296" t="s">
        <v>297</v>
      </c>
      <c r="AC137" s="296" t="s">
        <v>297</v>
      </c>
      <c r="AD137" s="296" t="s">
        <v>297</v>
      </c>
      <c r="AE137" s="296" t="s">
        <v>297</v>
      </c>
      <c r="AF137" s="185" t="s">
        <v>297</v>
      </c>
      <c r="AG137" s="185" t="s">
        <v>297</v>
      </c>
      <c r="AH137" s="185" t="s">
        <v>297</v>
      </c>
      <c r="AI137" s="185" t="s">
        <v>297</v>
      </c>
      <c r="AJ137" s="185" t="s">
        <v>297</v>
      </c>
      <c r="AK137" s="185" t="s">
        <v>297</v>
      </c>
      <c r="AL137" s="185" t="s">
        <v>297</v>
      </c>
      <c r="AM137" s="185" t="s">
        <v>297</v>
      </c>
      <c r="AN137" s="185">
        <v>0.7</v>
      </c>
      <c r="AO137" s="185">
        <v>2.6119187707100222</v>
      </c>
      <c r="AP137" s="185">
        <v>4.4102910480748019</v>
      </c>
      <c r="AQ137" s="185">
        <v>1.2569245935047371</v>
      </c>
      <c r="AR137" s="185">
        <v>27.102945133196712</v>
      </c>
      <c r="AS137" s="185">
        <v>27.810436339599171</v>
      </c>
      <c r="AT137" s="185">
        <v>62.421609072153402</v>
      </c>
      <c r="AU137" s="185" t="s">
        <v>297</v>
      </c>
      <c r="AV137" s="185" t="s">
        <v>297</v>
      </c>
      <c r="AW137" s="296" t="s">
        <v>297</v>
      </c>
      <c r="AX137" s="304"/>
    </row>
    <row r="138" spans="1:50" ht="14.25" customHeight="1" x14ac:dyDescent="0.15">
      <c r="A138" s="186" t="s">
        <v>398</v>
      </c>
      <c r="B138" s="295" t="s">
        <v>297</v>
      </c>
      <c r="C138" s="295" t="s">
        <v>297</v>
      </c>
      <c r="D138" s="295" t="s">
        <v>297</v>
      </c>
      <c r="E138" s="295" t="s">
        <v>297</v>
      </c>
      <c r="F138" s="295" t="s">
        <v>297</v>
      </c>
      <c r="G138" s="295" t="s">
        <v>297</v>
      </c>
      <c r="H138" s="295" t="s">
        <v>297</v>
      </c>
      <c r="I138" s="295" t="s">
        <v>297</v>
      </c>
      <c r="J138" s="295" t="s">
        <v>297</v>
      </c>
      <c r="K138" s="295" t="s">
        <v>297</v>
      </c>
      <c r="L138" s="295" t="s">
        <v>297</v>
      </c>
      <c r="M138" s="295" t="s">
        <v>297</v>
      </c>
      <c r="N138" s="295" t="s">
        <v>297</v>
      </c>
      <c r="O138" s="295" t="s">
        <v>297</v>
      </c>
      <c r="P138" s="295" t="s">
        <v>297</v>
      </c>
      <c r="Q138" s="295">
        <v>3.3239016550260367</v>
      </c>
      <c r="R138" s="295">
        <v>7.9672185172644197</v>
      </c>
      <c r="S138" s="295">
        <v>9.116364253683864</v>
      </c>
      <c r="T138" s="295">
        <v>0.8568609018170279</v>
      </c>
      <c r="U138" s="295">
        <v>-3.6893111830719794</v>
      </c>
      <c r="V138" s="295">
        <v>3.8598488869160774</v>
      </c>
      <c r="W138" s="295">
        <v>-2.1398587654449233</v>
      </c>
      <c r="X138" s="295">
        <v>0.71615179090393133</v>
      </c>
      <c r="Y138" s="295">
        <v>0.1808879518223028</v>
      </c>
      <c r="Z138" s="295">
        <v>0.49134358494778607</v>
      </c>
      <c r="AA138" s="295">
        <v>-0.24093132109112228</v>
      </c>
      <c r="AB138" s="295">
        <v>-1.9738745314387249</v>
      </c>
      <c r="AC138" s="295">
        <v>-0.88915614222965911</v>
      </c>
      <c r="AD138" s="295">
        <v>-1.5804236414930304</v>
      </c>
      <c r="AE138" s="295">
        <v>-1.9897119494284885</v>
      </c>
      <c r="AF138" s="183">
        <v>2.3272350411926142</v>
      </c>
      <c r="AG138" s="183">
        <v>-1.0250172949174809</v>
      </c>
      <c r="AH138" s="183">
        <v>-0.29684241717178489</v>
      </c>
      <c r="AI138" s="183">
        <v>2.8155515799121771</v>
      </c>
      <c r="AJ138" s="183">
        <v>0.3</v>
      </c>
      <c r="AK138" s="183">
        <v>0.59175351935977161</v>
      </c>
      <c r="AL138" s="183">
        <v>-0.23676805352484948</v>
      </c>
      <c r="AM138" s="183">
        <v>22.522890081245034</v>
      </c>
      <c r="AN138" s="183">
        <v>-2.2230856675663535</v>
      </c>
      <c r="AO138" s="183">
        <v>8.7772851454719536</v>
      </c>
      <c r="AP138" s="183">
        <v>-1.8480640707044189</v>
      </c>
      <c r="AQ138" s="183">
        <v>5.4175271147679025</v>
      </c>
      <c r="AR138" s="183">
        <v>8.5212960587998463</v>
      </c>
      <c r="AS138" s="183">
        <v>-2.5149734549211349</v>
      </c>
      <c r="AT138" s="183">
        <v>-3.2484419503820114</v>
      </c>
      <c r="AU138" s="183">
        <v>2.2629913279447331</v>
      </c>
      <c r="AV138" s="183">
        <v>3.7277548219188494</v>
      </c>
      <c r="AW138" s="295">
        <v>7.2707800074109734</v>
      </c>
      <c r="AX138" s="304"/>
    </row>
    <row r="139" spans="1:50" ht="14.25" customHeight="1" x14ac:dyDescent="0.15">
      <c r="A139" s="186" t="s">
        <v>399</v>
      </c>
      <c r="B139" s="296" t="s">
        <v>297</v>
      </c>
      <c r="C139" s="296" t="s">
        <v>297</v>
      </c>
      <c r="D139" s="296" t="s">
        <v>297</v>
      </c>
      <c r="E139" s="296" t="s">
        <v>297</v>
      </c>
      <c r="F139" s="296" t="s">
        <v>297</v>
      </c>
      <c r="G139" s="296" t="s">
        <v>297</v>
      </c>
      <c r="H139" s="296" t="s">
        <v>297</v>
      </c>
      <c r="I139" s="296" t="s">
        <v>297</v>
      </c>
      <c r="J139" s="296" t="s">
        <v>297</v>
      </c>
      <c r="K139" s="296" t="s">
        <v>297</v>
      </c>
      <c r="L139" s="296" t="s">
        <v>297</v>
      </c>
      <c r="M139" s="296" t="s">
        <v>297</v>
      </c>
      <c r="N139" s="296" t="s">
        <v>297</v>
      </c>
      <c r="O139" s="296" t="s">
        <v>297</v>
      </c>
      <c r="P139" s="296" t="s">
        <v>297</v>
      </c>
      <c r="Q139" s="296" t="s">
        <v>297</v>
      </c>
      <c r="R139" s="296" t="s">
        <v>297</v>
      </c>
      <c r="S139" s="296" t="s">
        <v>297</v>
      </c>
      <c r="T139" s="296" t="s">
        <v>297</v>
      </c>
      <c r="U139" s="296" t="s">
        <v>297</v>
      </c>
      <c r="V139" s="296" t="s">
        <v>297</v>
      </c>
      <c r="W139" s="296" t="s">
        <v>297</v>
      </c>
      <c r="X139" s="296" t="s">
        <v>297</v>
      </c>
      <c r="Y139" s="296" t="s">
        <v>297</v>
      </c>
      <c r="Z139" s="296" t="s">
        <v>297</v>
      </c>
      <c r="AA139" s="296" t="s">
        <v>297</v>
      </c>
      <c r="AB139" s="296" t="s">
        <v>297</v>
      </c>
      <c r="AC139" s="296" t="s">
        <v>297</v>
      </c>
      <c r="AD139" s="296" t="s">
        <v>297</v>
      </c>
      <c r="AE139" s="296" t="s">
        <v>297</v>
      </c>
      <c r="AF139" s="185" t="s">
        <v>297</v>
      </c>
      <c r="AG139" s="185" t="s">
        <v>297</v>
      </c>
      <c r="AH139" s="185" t="s">
        <v>297</v>
      </c>
      <c r="AI139" s="185">
        <v>4.0999999999999996</v>
      </c>
      <c r="AJ139" s="185">
        <v>3.9428861045940082</v>
      </c>
      <c r="AK139" s="185">
        <v>4.785937448776024</v>
      </c>
      <c r="AL139" s="185">
        <v>5.5487880004320989</v>
      </c>
      <c r="AM139" s="185">
        <v>5.7374720793525666</v>
      </c>
      <c r="AN139" s="185">
        <v>5.5058214270677146</v>
      </c>
      <c r="AO139" s="185">
        <v>1.1822737724943282</v>
      </c>
      <c r="AP139" s="185">
        <v>0.98485077133045174</v>
      </c>
      <c r="AQ139" s="185">
        <v>0.74260439208959461</v>
      </c>
      <c r="AR139" s="185">
        <v>0.76801317365428912</v>
      </c>
      <c r="AS139" s="185">
        <v>0.77531604468722293</v>
      </c>
      <c r="AT139" s="185" t="s">
        <v>297</v>
      </c>
      <c r="AU139" s="185" t="s">
        <v>297</v>
      </c>
      <c r="AV139" s="185" t="s">
        <v>297</v>
      </c>
      <c r="AW139" s="296" t="s">
        <v>297</v>
      </c>
      <c r="AX139" s="304"/>
    </row>
    <row r="140" spans="1:50" ht="14.25" customHeight="1" x14ac:dyDescent="0.15">
      <c r="A140" s="186" t="s">
        <v>400</v>
      </c>
      <c r="B140" s="295" t="s">
        <v>297</v>
      </c>
      <c r="C140" s="295">
        <v>0</v>
      </c>
      <c r="D140" s="295">
        <v>0</v>
      </c>
      <c r="E140" s="295">
        <v>0</v>
      </c>
      <c r="F140" s="295">
        <v>0</v>
      </c>
      <c r="G140" s="295">
        <v>0</v>
      </c>
      <c r="H140" s="295">
        <v>0</v>
      </c>
      <c r="I140" s="295">
        <v>0</v>
      </c>
      <c r="J140" s="295">
        <v>0</v>
      </c>
      <c r="K140" s="295">
        <v>0</v>
      </c>
      <c r="L140" s="295">
        <v>0</v>
      </c>
      <c r="M140" s="295">
        <v>0</v>
      </c>
      <c r="N140" s="295">
        <v>0</v>
      </c>
      <c r="O140" s="295">
        <v>0</v>
      </c>
      <c r="P140" s="295">
        <v>0</v>
      </c>
      <c r="Q140" s="295">
        <v>0</v>
      </c>
      <c r="R140" s="295">
        <v>0</v>
      </c>
      <c r="S140" s="295">
        <v>0</v>
      </c>
      <c r="T140" s="295">
        <v>0</v>
      </c>
      <c r="U140" s="295">
        <v>0</v>
      </c>
      <c r="V140" s="295" t="s">
        <v>297</v>
      </c>
      <c r="W140" s="295" t="s">
        <v>297</v>
      </c>
      <c r="X140" s="295" t="s">
        <v>297</v>
      </c>
      <c r="Y140" s="295" t="s">
        <v>297</v>
      </c>
      <c r="Z140" s="295">
        <v>0</v>
      </c>
      <c r="AA140" s="295">
        <v>0</v>
      </c>
      <c r="AB140" s="295" t="s">
        <v>297</v>
      </c>
      <c r="AC140" s="295" t="s">
        <v>297</v>
      </c>
      <c r="AD140" s="295" t="s">
        <v>297</v>
      </c>
      <c r="AE140" s="295" t="s">
        <v>297</v>
      </c>
      <c r="AF140" s="183" t="s">
        <v>297</v>
      </c>
      <c r="AG140" s="183" t="s">
        <v>297</v>
      </c>
      <c r="AH140" s="183" t="s">
        <v>297</v>
      </c>
      <c r="AI140" s="183" t="s">
        <v>297</v>
      </c>
      <c r="AJ140" s="183">
        <v>0</v>
      </c>
      <c r="AK140" s="183">
        <v>0</v>
      </c>
      <c r="AL140" s="183">
        <v>0</v>
      </c>
      <c r="AM140" s="183">
        <v>0</v>
      </c>
      <c r="AN140" s="183">
        <v>0</v>
      </c>
      <c r="AO140" s="183">
        <v>0</v>
      </c>
      <c r="AP140" s="183">
        <v>0</v>
      </c>
      <c r="AQ140" s="183">
        <v>0</v>
      </c>
      <c r="AR140" s="183" t="s">
        <v>297</v>
      </c>
      <c r="AS140" s="183" t="s">
        <v>297</v>
      </c>
      <c r="AT140" s="183" t="s">
        <v>297</v>
      </c>
      <c r="AU140" s="183" t="s">
        <v>297</v>
      </c>
      <c r="AV140" s="183" t="s">
        <v>297</v>
      </c>
      <c r="AW140" s="295" t="s">
        <v>297</v>
      </c>
      <c r="AX140" s="304"/>
    </row>
    <row r="141" spans="1:50" ht="14.25" customHeight="1" x14ac:dyDescent="0.15">
      <c r="A141" s="186" t="s">
        <v>401</v>
      </c>
      <c r="B141" s="296" t="s">
        <v>297</v>
      </c>
      <c r="C141" s="296">
        <v>0</v>
      </c>
      <c r="D141" s="296">
        <v>0</v>
      </c>
      <c r="E141" s="296">
        <v>0</v>
      </c>
      <c r="F141" s="296">
        <v>0</v>
      </c>
      <c r="G141" s="296">
        <v>0</v>
      </c>
      <c r="H141" s="296">
        <v>0</v>
      </c>
      <c r="I141" s="296">
        <v>0</v>
      </c>
      <c r="J141" s="296">
        <v>0</v>
      </c>
      <c r="K141" s="296">
        <v>0</v>
      </c>
      <c r="L141" s="296">
        <v>0</v>
      </c>
      <c r="M141" s="296">
        <v>0</v>
      </c>
      <c r="N141" s="296">
        <v>0.55555555555555547</v>
      </c>
      <c r="O141" s="296">
        <v>0.61111111111111116</v>
      </c>
      <c r="P141" s="296">
        <v>5.631970260223059</v>
      </c>
      <c r="Q141" s="296">
        <v>14.748603351955307</v>
      </c>
      <c r="R141" s="296">
        <v>33.519553072625698</v>
      </c>
      <c r="S141" s="296">
        <v>45.027932960893857</v>
      </c>
      <c r="T141" s="296">
        <v>28.435754189944134</v>
      </c>
      <c r="U141" s="296">
        <v>14.52513966480447</v>
      </c>
      <c r="V141" s="296">
        <v>2.8491620111731844</v>
      </c>
      <c r="W141" s="296">
        <v>13.240223463687149</v>
      </c>
      <c r="X141" s="296">
        <v>5.8100558659217878</v>
      </c>
      <c r="Y141" s="296">
        <v>19.72067039106145</v>
      </c>
      <c r="Z141" s="296">
        <v>4.5251396648044686</v>
      </c>
      <c r="AA141" s="296">
        <v>9.6379888268156417</v>
      </c>
      <c r="AB141" s="296">
        <v>15.147486033519552</v>
      </c>
      <c r="AC141" s="296">
        <v>12.067039106145254</v>
      </c>
      <c r="AD141" s="296">
        <v>12.891620111731845</v>
      </c>
      <c r="AE141" s="296">
        <v>25.339664804469272</v>
      </c>
      <c r="AF141" s="185">
        <v>14.76145251396648</v>
      </c>
      <c r="AG141" s="185">
        <v>30.52513966480447</v>
      </c>
      <c r="AH141" s="185">
        <v>19.094972067039105</v>
      </c>
      <c r="AI141" s="185">
        <v>19.703910614525139</v>
      </c>
      <c r="AJ141" s="185">
        <v>21.776536312849164</v>
      </c>
      <c r="AK141" s="185" t="s">
        <v>297</v>
      </c>
      <c r="AL141" s="185" t="s">
        <v>297</v>
      </c>
      <c r="AM141" s="185" t="s">
        <v>297</v>
      </c>
      <c r="AN141" s="185" t="s">
        <v>297</v>
      </c>
      <c r="AO141" s="185" t="s">
        <v>297</v>
      </c>
      <c r="AP141" s="185" t="s">
        <v>297</v>
      </c>
      <c r="AQ141" s="185" t="s">
        <v>297</v>
      </c>
      <c r="AR141" s="185" t="s">
        <v>297</v>
      </c>
      <c r="AS141" s="185" t="s">
        <v>297</v>
      </c>
      <c r="AT141" s="185" t="s">
        <v>297</v>
      </c>
      <c r="AU141" s="185" t="s">
        <v>297</v>
      </c>
      <c r="AV141" s="185" t="s">
        <v>297</v>
      </c>
      <c r="AW141" s="296" t="s">
        <v>297</v>
      </c>
      <c r="AX141" s="304"/>
    </row>
    <row r="142" spans="1:50" ht="14.25" customHeight="1" x14ac:dyDescent="0.15">
      <c r="A142" s="186" t="s">
        <v>221</v>
      </c>
      <c r="B142" s="295">
        <v>1289.900900405363</v>
      </c>
      <c r="C142" s="295">
        <v>1775.4452809600912</v>
      </c>
      <c r="D142" s="295">
        <v>1805.2041293820503</v>
      </c>
      <c r="E142" s="295">
        <v>1681.7996805822872</v>
      </c>
      <c r="F142" s="295">
        <v>4720.5994769002946</v>
      </c>
      <c r="G142" s="295">
        <v>4044.1348203583971</v>
      </c>
      <c r="H142" s="295">
        <v>2825.7420617408757</v>
      </c>
      <c r="I142" s="295">
        <v>2410.8293891132471</v>
      </c>
      <c r="J142" s="295">
        <v>3219.2176163560775</v>
      </c>
      <c r="K142" s="295">
        <v>3829.6560040091549</v>
      </c>
      <c r="L142" s="295">
        <v>1685.9030369302197</v>
      </c>
      <c r="M142" s="295">
        <v>3387.5841756485534</v>
      </c>
      <c r="N142" s="295">
        <v>4158.7421979356805</v>
      </c>
      <c r="O142" s="295">
        <v>5102.8123978884314</v>
      </c>
      <c r="P142" s="295">
        <v>7236.9464864223346</v>
      </c>
      <c r="Q142" s="295">
        <v>4911.320830081333</v>
      </c>
      <c r="R142" s="295">
        <v>5459.3314099371364</v>
      </c>
      <c r="S142" s="295">
        <v>5724.8827006845713</v>
      </c>
      <c r="T142" s="295">
        <v>6588.0132197143039</v>
      </c>
      <c r="U142" s="295">
        <v>8874.5188058023105</v>
      </c>
      <c r="V142" s="295">
        <v>12355.3571811124</v>
      </c>
      <c r="W142" s="295">
        <v>12381.979668729517</v>
      </c>
      <c r="X142" s="295">
        <v>14504.732617455375</v>
      </c>
      <c r="Y142" s="295">
        <v>8324.6467354510769</v>
      </c>
      <c r="Z142" s="295">
        <v>15718.242867326138</v>
      </c>
      <c r="AA142" s="295">
        <v>17615.863524706361</v>
      </c>
      <c r="AB142" s="295">
        <v>13881.388244036743</v>
      </c>
      <c r="AC142" s="295">
        <v>11348.664641542087</v>
      </c>
      <c r="AD142" s="295">
        <v>19834.364739199427</v>
      </c>
      <c r="AE142" s="295">
        <v>83056</v>
      </c>
      <c r="AF142" s="183">
        <v>107144.34947918568</v>
      </c>
      <c r="AG142" s="183">
        <v>129249.50139661705</v>
      </c>
      <c r="AH142" s="183">
        <v>190676.62194521143</v>
      </c>
      <c r="AI142" s="183">
        <v>141027.23552468899</v>
      </c>
      <c r="AJ142" s="183">
        <v>128724.98232135703</v>
      </c>
      <c r="AK142" s="183">
        <v>192507.82332611762</v>
      </c>
      <c r="AL142" s="183">
        <v>214974.33229090093</v>
      </c>
      <c r="AM142" s="183">
        <v>189321.39008885133</v>
      </c>
      <c r="AN142" s="183">
        <v>192474.85300639126</v>
      </c>
      <c r="AO142" s="183">
        <v>219761.29340891779</v>
      </c>
      <c r="AP142" s="183">
        <v>184601.67242558819</v>
      </c>
      <c r="AQ142" s="183">
        <v>190772.26469321511</v>
      </c>
      <c r="AR142" s="183">
        <v>199395.71305703919</v>
      </c>
      <c r="AS142" s="183">
        <v>249560.80333053114</v>
      </c>
      <c r="AT142" s="183">
        <v>199773.79727943489</v>
      </c>
      <c r="AU142" s="183">
        <v>142986.13436504549</v>
      </c>
      <c r="AV142" s="183">
        <v>193161.29207763332</v>
      </c>
      <c r="AW142" s="295">
        <v>232092.12643111535</v>
      </c>
      <c r="AX142" s="304"/>
    </row>
    <row r="143" spans="1:50" ht="14.25" customHeight="1" x14ac:dyDescent="0.15">
      <c r="A143" s="186" t="s">
        <v>402</v>
      </c>
      <c r="B143" s="296" t="s">
        <v>297</v>
      </c>
      <c r="C143" s="296" t="s">
        <v>297</v>
      </c>
      <c r="D143" s="296" t="s">
        <v>297</v>
      </c>
      <c r="E143" s="296" t="s">
        <v>297</v>
      </c>
      <c r="F143" s="296" t="s">
        <v>297</v>
      </c>
      <c r="G143" s="296" t="s">
        <v>297</v>
      </c>
      <c r="H143" s="296" t="s">
        <v>297</v>
      </c>
      <c r="I143" s="296" t="s">
        <v>297</v>
      </c>
      <c r="J143" s="296" t="s">
        <v>297</v>
      </c>
      <c r="K143" s="296" t="s">
        <v>297</v>
      </c>
      <c r="L143" s="296" t="s">
        <v>297</v>
      </c>
      <c r="M143" s="296" t="s">
        <v>297</v>
      </c>
      <c r="N143" s="296" t="s">
        <v>297</v>
      </c>
      <c r="O143" s="296" t="s">
        <v>297</v>
      </c>
      <c r="P143" s="296" t="s">
        <v>297</v>
      </c>
      <c r="Q143" s="296" t="s">
        <v>297</v>
      </c>
      <c r="R143" s="296" t="s">
        <v>297</v>
      </c>
      <c r="S143" s="296" t="s">
        <v>297</v>
      </c>
      <c r="T143" s="296" t="s">
        <v>297</v>
      </c>
      <c r="U143" s="296" t="s">
        <v>297</v>
      </c>
      <c r="V143" s="296" t="s">
        <v>297</v>
      </c>
      <c r="W143" s="296" t="s">
        <v>297</v>
      </c>
      <c r="X143" s="296" t="s">
        <v>297</v>
      </c>
      <c r="Y143" s="296" t="s">
        <v>297</v>
      </c>
      <c r="Z143" s="296" t="s">
        <v>297</v>
      </c>
      <c r="AA143" s="296" t="s">
        <v>297</v>
      </c>
      <c r="AB143" s="296" t="s">
        <v>297</v>
      </c>
      <c r="AC143" s="296">
        <v>1.7271825053226635</v>
      </c>
      <c r="AD143" s="296">
        <v>9.4578779033400971E-3</v>
      </c>
      <c r="AE143" s="296">
        <v>1.0509275913637</v>
      </c>
      <c r="AF143" s="185">
        <v>2.8512324183797024</v>
      </c>
      <c r="AG143" s="185">
        <v>6.4855906751587264</v>
      </c>
      <c r="AH143" s="185">
        <v>31.030050268605564</v>
      </c>
      <c r="AI143" s="185" t="s">
        <v>297</v>
      </c>
      <c r="AJ143" s="185" t="s">
        <v>297</v>
      </c>
      <c r="AK143" s="185" t="s">
        <v>297</v>
      </c>
      <c r="AL143" s="185" t="s">
        <v>297</v>
      </c>
      <c r="AM143" s="185" t="s">
        <v>297</v>
      </c>
      <c r="AN143" s="185" t="s">
        <v>297</v>
      </c>
      <c r="AO143" s="185" t="s">
        <v>297</v>
      </c>
      <c r="AP143" s="185" t="s">
        <v>297</v>
      </c>
      <c r="AQ143" s="185" t="s">
        <v>297</v>
      </c>
      <c r="AR143" s="185" t="s">
        <v>297</v>
      </c>
      <c r="AS143" s="185" t="s">
        <v>297</v>
      </c>
      <c r="AT143" s="185" t="s">
        <v>297</v>
      </c>
      <c r="AU143" s="185" t="s">
        <v>297</v>
      </c>
      <c r="AV143" s="185" t="s">
        <v>297</v>
      </c>
      <c r="AW143" s="296" t="s">
        <v>297</v>
      </c>
      <c r="AX143" s="304"/>
    </row>
    <row r="144" spans="1:50" ht="14.25" customHeight="1" x14ac:dyDescent="0.15">
      <c r="A144" s="186" t="s">
        <v>199</v>
      </c>
      <c r="B144" s="295" t="s">
        <v>297</v>
      </c>
      <c r="C144" s="295" t="s">
        <v>297</v>
      </c>
      <c r="D144" s="295" t="s">
        <v>297</v>
      </c>
      <c r="E144" s="295" t="s">
        <v>297</v>
      </c>
      <c r="F144" s="295" t="s">
        <v>297</v>
      </c>
      <c r="G144" s="295" t="s">
        <v>297</v>
      </c>
      <c r="H144" s="295" t="s">
        <v>297</v>
      </c>
      <c r="I144" s="295" t="s">
        <v>297</v>
      </c>
      <c r="J144" s="295" t="s">
        <v>297</v>
      </c>
      <c r="K144" s="295" t="s">
        <v>297</v>
      </c>
      <c r="L144" s="295" t="s">
        <v>297</v>
      </c>
      <c r="M144" s="295" t="s">
        <v>297</v>
      </c>
      <c r="N144" s="295" t="s">
        <v>297</v>
      </c>
      <c r="O144" s="295" t="s">
        <v>297</v>
      </c>
      <c r="P144" s="295" t="s">
        <v>297</v>
      </c>
      <c r="Q144" s="295" t="s">
        <v>297</v>
      </c>
      <c r="R144" s="295" t="s">
        <v>297</v>
      </c>
      <c r="S144" s="295" t="s">
        <v>297</v>
      </c>
      <c r="T144" s="295" t="s">
        <v>297</v>
      </c>
      <c r="U144" s="295" t="s">
        <v>297</v>
      </c>
      <c r="V144" s="295" t="s">
        <v>297</v>
      </c>
      <c r="W144" s="295" t="s">
        <v>297</v>
      </c>
      <c r="X144" s="295" t="s">
        <v>297</v>
      </c>
      <c r="Y144" s="295" t="s">
        <v>297</v>
      </c>
      <c r="Z144" s="295" t="s">
        <v>297</v>
      </c>
      <c r="AA144" s="295">
        <v>424.4</v>
      </c>
      <c r="AB144" s="295">
        <v>-166.34058131095952</v>
      </c>
      <c r="AC144" s="295">
        <v>309.07445437587188</v>
      </c>
      <c r="AD144" s="295">
        <v>596.74886695415501</v>
      </c>
      <c r="AE144" s="295">
        <v>537.83753919168475</v>
      </c>
      <c r="AF144" s="183">
        <v>381.13469099353568</v>
      </c>
      <c r="AG144" s="183">
        <v>377.97086039991154</v>
      </c>
      <c r="AH144" s="183">
        <v>822.64617379937795</v>
      </c>
      <c r="AI144" s="183">
        <v>279.65383009398755</v>
      </c>
      <c r="AJ144" s="183">
        <v>220.5542085068173</v>
      </c>
      <c r="AK144" s="183">
        <v>651.93105547730374</v>
      </c>
      <c r="AL144" s="183">
        <v>393.99243891059206</v>
      </c>
      <c r="AM144" s="183">
        <v>605.52135815294605</v>
      </c>
      <c r="AN144" s="183">
        <v>508.2914904693568</v>
      </c>
      <c r="AO144" s="183">
        <v>685.10992622721687</v>
      </c>
      <c r="AP144" s="183">
        <v>500.37159614165876</v>
      </c>
      <c r="AQ144" s="183">
        <v>762.00271602867872</v>
      </c>
      <c r="AR144" s="183">
        <v>563.90991150772072</v>
      </c>
      <c r="AS144" s="183">
        <v>419.55009879250116</v>
      </c>
      <c r="AT144" s="183">
        <v>607.2620911227267</v>
      </c>
      <c r="AU144" s="183">
        <v>562.4643146082168</v>
      </c>
      <c r="AV144" s="183">
        <v>1001.1411648916137</v>
      </c>
      <c r="AW144" s="295">
        <v>1116.8204153005374</v>
      </c>
      <c r="AX144" s="304"/>
    </row>
    <row r="145" spans="1:50" ht="14.25" customHeight="1" x14ac:dyDescent="0.15">
      <c r="A145" s="186" t="s">
        <v>403</v>
      </c>
      <c r="B145" s="296" t="s">
        <v>297</v>
      </c>
      <c r="C145" s="296" t="s">
        <v>297</v>
      </c>
      <c r="D145" s="296">
        <v>0</v>
      </c>
      <c r="E145" s="296">
        <v>0</v>
      </c>
      <c r="F145" s="296">
        <v>0</v>
      </c>
      <c r="G145" s="296">
        <v>0</v>
      </c>
      <c r="H145" s="296">
        <v>0</v>
      </c>
      <c r="I145" s="296">
        <v>0</v>
      </c>
      <c r="J145" s="296">
        <v>0</v>
      </c>
      <c r="K145" s="296">
        <v>0</v>
      </c>
      <c r="L145" s="296">
        <v>0</v>
      </c>
      <c r="M145" s="296">
        <v>0</v>
      </c>
      <c r="N145" s="296">
        <v>0</v>
      </c>
      <c r="O145" s="296">
        <v>0</v>
      </c>
      <c r="P145" s="296">
        <v>0</v>
      </c>
      <c r="Q145" s="296">
        <v>0</v>
      </c>
      <c r="R145" s="296">
        <v>0</v>
      </c>
      <c r="S145" s="296">
        <v>0</v>
      </c>
      <c r="T145" s="296">
        <v>0</v>
      </c>
      <c r="U145" s="296">
        <v>0</v>
      </c>
      <c r="V145" s="296">
        <v>0</v>
      </c>
      <c r="W145" s="296">
        <v>0</v>
      </c>
      <c r="X145" s="296">
        <v>0</v>
      </c>
      <c r="Y145" s="296">
        <v>0</v>
      </c>
      <c r="Z145" s="296">
        <v>0</v>
      </c>
      <c r="AA145" s="296">
        <v>0</v>
      </c>
      <c r="AB145" s="296">
        <v>0</v>
      </c>
      <c r="AC145" s="296">
        <v>0</v>
      </c>
      <c r="AD145" s="296">
        <v>0</v>
      </c>
      <c r="AE145" s="296">
        <v>0</v>
      </c>
      <c r="AF145" s="185" t="s">
        <v>297</v>
      </c>
      <c r="AG145" s="185" t="s">
        <v>297</v>
      </c>
      <c r="AH145" s="185" t="s">
        <v>297</v>
      </c>
      <c r="AI145" s="185" t="s">
        <v>297</v>
      </c>
      <c r="AJ145" s="185" t="s">
        <v>297</v>
      </c>
      <c r="AK145" s="185" t="s">
        <v>297</v>
      </c>
      <c r="AL145" s="185" t="s">
        <v>297</v>
      </c>
      <c r="AM145" s="185" t="s">
        <v>297</v>
      </c>
      <c r="AN145" s="185" t="s">
        <v>297</v>
      </c>
      <c r="AO145" s="185" t="s">
        <v>297</v>
      </c>
      <c r="AP145" s="185" t="s">
        <v>297</v>
      </c>
      <c r="AQ145" s="185" t="s">
        <v>297</v>
      </c>
      <c r="AR145" s="185" t="s">
        <v>297</v>
      </c>
      <c r="AS145" s="185" t="s">
        <v>297</v>
      </c>
      <c r="AT145" s="185" t="s">
        <v>297</v>
      </c>
      <c r="AU145" s="185">
        <v>2.8</v>
      </c>
      <c r="AV145" s="185">
        <v>2.1</v>
      </c>
      <c r="AW145" s="296">
        <v>1.705135735702938</v>
      </c>
      <c r="AX145" s="304"/>
    </row>
    <row r="146" spans="1:50" ht="14.25" customHeight="1" x14ac:dyDescent="0.15">
      <c r="A146" s="186" t="s">
        <v>404</v>
      </c>
      <c r="B146" s="295">
        <v>1.8664298759577175E-2</v>
      </c>
      <c r="C146" s="295">
        <v>0</v>
      </c>
      <c r="D146" s="295">
        <v>7.7336471181353644E-2</v>
      </c>
      <c r="E146" s="295">
        <v>0.12851427820191857</v>
      </c>
      <c r="F146" s="295">
        <v>0</v>
      </c>
      <c r="G146" s="295">
        <v>0</v>
      </c>
      <c r="H146" s="295">
        <v>0.2465669666546644</v>
      </c>
      <c r="I146" s="295">
        <v>3.0431557275205604E-3</v>
      </c>
      <c r="J146" s="295">
        <v>0.54321293537328463</v>
      </c>
      <c r="K146" s="295">
        <v>2.0597008135279024E-2</v>
      </c>
      <c r="L146" s="295">
        <v>8.2357111693961774E-2</v>
      </c>
      <c r="M146" s="295">
        <v>0.11839243737740221</v>
      </c>
      <c r="N146" s="295" t="s">
        <v>297</v>
      </c>
      <c r="O146" s="295" t="s">
        <v>297</v>
      </c>
      <c r="P146" s="295" t="s">
        <v>297</v>
      </c>
      <c r="Q146" s="295" t="s">
        <v>297</v>
      </c>
      <c r="R146" s="295" t="s">
        <v>297</v>
      </c>
      <c r="S146" s="295" t="s">
        <v>297</v>
      </c>
      <c r="T146" s="295" t="s">
        <v>297</v>
      </c>
      <c r="U146" s="295">
        <v>10.125995050096641</v>
      </c>
      <c r="V146" s="295" t="s">
        <v>297</v>
      </c>
      <c r="W146" s="295">
        <v>0</v>
      </c>
      <c r="X146" s="295" t="s">
        <v>297</v>
      </c>
      <c r="Y146" s="295">
        <v>0</v>
      </c>
      <c r="Z146" s="295">
        <v>0</v>
      </c>
      <c r="AA146" s="295">
        <v>-0.55899118686252958</v>
      </c>
      <c r="AB146" s="295">
        <v>6.8268920642592075E-3</v>
      </c>
      <c r="AC146" s="295">
        <v>4.3245535552949143E-3</v>
      </c>
      <c r="AD146" s="295">
        <v>1.2071100308553784E-2</v>
      </c>
      <c r="AE146" s="295">
        <v>6.0625249920004123</v>
      </c>
      <c r="AF146" s="183">
        <v>13.706752726845776</v>
      </c>
      <c r="AG146" s="183">
        <v>-0.31200613490715678</v>
      </c>
      <c r="AH146" s="183">
        <v>6.0171272704478858</v>
      </c>
      <c r="AI146" s="183">
        <v>15.834079246524555</v>
      </c>
      <c r="AJ146" s="183">
        <v>30.315116674830637</v>
      </c>
      <c r="AK146" s="183">
        <v>0.85692182058681965</v>
      </c>
      <c r="AL146" s="183">
        <v>1</v>
      </c>
      <c r="AM146" s="183">
        <v>2.9888963960766479</v>
      </c>
      <c r="AN146" s="183">
        <v>3.4217478985276726</v>
      </c>
      <c r="AO146" s="183">
        <v>2.4586976770685509</v>
      </c>
      <c r="AP146" s="183">
        <v>0.95549530215252287</v>
      </c>
      <c r="AQ146" s="183">
        <v>3.9589061263796865</v>
      </c>
      <c r="AR146" s="183">
        <v>1.5138031214205325</v>
      </c>
      <c r="AS146" s="183">
        <v>1.3333418348470747</v>
      </c>
      <c r="AT146" s="183">
        <v>0.76120774309920969</v>
      </c>
      <c r="AU146" s="183">
        <v>0.78949105162156352</v>
      </c>
      <c r="AV146" s="183">
        <v>2.1477621592870411</v>
      </c>
      <c r="AW146" s="295" t="s">
        <v>297</v>
      </c>
      <c r="AX146" s="304"/>
    </row>
    <row r="147" spans="1:50" ht="14.25" customHeight="1" x14ac:dyDescent="0.15">
      <c r="A147" s="186" t="s">
        <v>215</v>
      </c>
      <c r="B147" s="296" t="s">
        <v>297</v>
      </c>
      <c r="C147" s="296" t="s">
        <v>297</v>
      </c>
      <c r="D147" s="296">
        <v>0</v>
      </c>
      <c r="E147" s="296">
        <v>0</v>
      </c>
      <c r="F147" s="296">
        <v>0</v>
      </c>
      <c r="G147" s="296">
        <v>0</v>
      </c>
      <c r="H147" s="296">
        <v>0</v>
      </c>
      <c r="I147" s="296">
        <v>0</v>
      </c>
      <c r="J147" s="296">
        <v>0</v>
      </c>
      <c r="K147" s="296">
        <v>0</v>
      </c>
      <c r="L147" s="296">
        <v>0</v>
      </c>
      <c r="M147" s="296">
        <v>0</v>
      </c>
      <c r="N147" s="296">
        <v>0</v>
      </c>
      <c r="O147" s="296">
        <v>0</v>
      </c>
      <c r="P147" s="296">
        <v>0</v>
      </c>
      <c r="Q147" s="296">
        <v>0</v>
      </c>
      <c r="R147" s="296">
        <v>0</v>
      </c>
      <c r="S147" s="296">
        <v>0</v>
      </c>
      <c r="T147" s="296">
        <v>0</v>
      </c>
      <c r="U147" s="296">
        <v>0</v>
      </c>
      <c r="V147" s="296">
        <v>0</v>
      </c>
      <c r="W147" s="296">
        <v>0</v>
      </c>
      <c r="X147" s="296">
        <v>0</v>
      </c>
      <c r="Y147" s="296">
        <v>0</v>
      </c>
      <c r="Z147" s="296">
        <v>0</v>
      </c>
      <c r="AA147" s="296">
        <v>0</v>
      </c>
      <c r="AB147" s="296">
        <v>0</v>
      </c>
      <c r="AC147" s="296">
        <v>0</v>
      </c>
      <c r="AD147" s="296">
        <v>0</v>
      </c>
      <c r="AE147" s="296">
        <v>0</v>
      </c>
      <c r="AF147" s="185">
        <v>0</v>
      </c>
      <c r="AG147" s="185">
        <v>13.746925475767863</v>
      </c>
      <c r="AH147" s="185">
        <v>20.795321022300357</v>
      </c>
      <c r="AI147" s="185">
        <v>70.326562976693651</v>
      </c>
      <c r="AJ147" s="185">
        <v>103.07317302525524</v>
      </c>
      <c r="AK147" s="185">
        <v>139.37630103837387</v>
      </c>
      <c r="AL147" s="185">
        <v>274.96820743914213</v>
      </c>
      <c r="AM147" s="185">
        <v>319.95155087936507</v>
      </c>
      <c r="AN147" s="185">
        <v>309.71096522826173</v>
      </c>
      <c r="AO147" s="185">
        <v>313.7</v>
      </c>
      <c r="AP147" s="185">
        <v>297.60386694506872</v>
      </c>
      <c r="AQ147" s="185">
        <v>343.68662273053241</v>
      </c>
      <c r="AR147" s="185">
        <v>374.20930484321764</v>
      </c>
      <c r="AS147" s="185">
        <v>443.037222303254</v>
      </c>
      <c r="AT147" s="185">
        <v>432.13334259005399</v>
      </c>
      <c r="AU147" s="185">
        <v>515.4317883715114</v>
      </c>
      <c r="AV147" s="185">
        <v>573.88331530891662</v>
      </c>
      <c r="AW147" s="296">
        <v>461.76372578892898</v>
      </c>
      <c r="AX147" s="304"/>
    </row>
    <row r="148" spans="1:50" ht="14.25" customHeight="1" x14ac:dyDescent="0.15">
      <c r="A148" s="186" t="s">
        <v>405</v>
      </c>
      <c r="B148" s="295" t="s">
        <v>297</v>
      </c>
      <c r="C148" s="295" t="s">
        <v>297</v>
      </c>
      <c r="D148" s="295" t="s">
        <v>297</v>
      </c>
      <c r="E148" s="295" t="s">
        <v>297</v>
      </c>
      <c r="F148" s="295" t="s">
        <v>297</v>
      </c>
      <c r="G148" s="295" t="s">
        <v>297</v>
      </c>
      <c r="H148" s="295" t="s">
        <v>297</v>
      </c>
      <c r="I148" s="295" t="s">
        <v>297</v>
      </c>
      <c r="J148" s="295" t="s">
        <v>297</v>
      </c>
      <c r="K148" s="295" t="s">
        <v>297</v>
      </c>
      <c r="L148" s="295" t="s">
        <v>297</v>
      </c>
      <c r="M148" s="295" t="s">
        <v>297</v>
      </c>
      <c r="N148" s="295" t="s">
        <v>297</v>
      </c>
      <c r="O148" s="295" t="s">
        <v>297</v>
      </c>
      <c r="P148" s="295" t="s">
        <v>297</v>
      </c>
      <c r="Q148" s="295" t="s">
        <v>297</v>
      </c>
      <c r="R148" s="295" t="s">
        <v>297</v>
      </c>
      <c r="S148" s="295" t="s">
        <v>297</v>
      </c>
      <c r="T148" s="295" t="s">
        <v>297</v>
      </c>
      <c r="U148" s="295" t="s">
        <v>297</v>
      </c>
      <c r="V148" s="295" t="s">
        <v>297</v>
      </c>
      <c r="W148" s="295">
        <v>0.08</v>
      </c>
      <c r="X148" s="295" t="s">
        <v>297</v>
      </c>
      <c r="Y148" s="295">
        <v>0</v>
      </c>
      <c r="Z148" s="295">
        <v>0.28533399999999998</v>
      </c>
      <c r="AA148" s="295">
        <v>3.4243000000000003E-2</v>
      </c>
      <c r="AB148" s="295">
        <v>2.0496E-2</v>
      </c>
      <c r="AC148" s="295">
        <v>2.5285999999999999E-2</v>
      </c>
      <c r="AD148" s="295">
        <v>0.89019999999999999</v>
      </c>
      <c r="AE148" s="295">
        <v>0.44066</v>
      </c>
      <c r="AF148" s="183">
        <v>0.60729798000000002</v>
      </c>
      <c r="AG148" s="183">
        <v>0.52848408999999996</v>
      </c>
      <c r="AH148" s="183">
        <v>2.48138215</v>
      </c>
      <c r="AI148" s="183">
        <v>3.4526894100000001</v>
      </c>
      <c r="AJ148" s="183">
        <v>2.3928624199999997</v>
      </c>
      <c r="AK148" s="183">
        <v>2.1347616899999999</v>
      </c>
      <c r="AL148" s="183">
        <v>2.81719936</v>
      </c>
      <c r="AM148" s="183">
        <v>-18.79955004</v>
      </c>
      <c r="AN148" s="183">
        <v>26.977568399999999</v>
      </c>
      <c r="AO148" s="183">
        <v>40.7027061</v>
      </c>
      <c r="AP148" s="183">
        <v>35.556121618163196</v>
      </c>
      <c r="AQ148" s="183">
        <v>32.757545478924918</v>
      </c>
      <c r="AR148" s="183">
        <v>24.19535234621808</v>
      </c>
      <c r="AS148" s="183">
        <v>15.79766227815816</v>
      </c>
      <c r="AT148" s="183">
        <v>16.815001376580522</v>
      </c>
      <c r="AU148" s="183">
        <v>19.63040619287808</v>
      </c>
      <c r="AV148" s="183">
        <v>41.500187859899604</v>
      </c>
      <c r="AW148" s="295">
        <v>15.814290880524959</v>
      </c>
      <c r="AX148" s="304"/>
    </row>
    <row r="149" spans="1:50" ht="14.25" customHeight="1" x14ac:dyDescent="0.15">
      <c r="A149" s="186" t="s">
        <v>200</v>
      </c>
      <c r="B149" s="296">
        <v>21.371182175693281</v>
      </c>
      <c r="C149" s="296">
        <v>19.554991818497285</v>
      </c>
      <c r="D149" s="296">
        <v>22.531589649892233</v>
      </c>
      <c r="E149" s="296">
        <v>16.701914310299788</v>
      </c>
      <c r="F149" s="296">
        <v>24.210868082038285</v>
      </c>
      <c r="G149" s="296">
        <v>30.909970673769092</v>
      </c>
      <c r="H149" s="296">
        <v>35.253651770601927</v>
      </c>
      <c r="I149" s="296">
        <v>51.672980069619008</v>
      </c>
      <c r="J149" s="296">
        <v>45.861375791237855</v>
      </c>
      <c r="K149" s="296">
        <v>52.993564836387534</v>
      </c>
      <c r="L149" s="296">
        <v>52.547615091967607</v>
      </c>
      <c r="M149" s="296">
        <v>102.35856151002925</v>
      </c>
      <c r="N149" s="296">
        <v>74.648839727524972</v>
      </c>
      <c r="O149" s="296">
        <v>81.473479161030326</v>
      </c>
      <c r="P149" s="296">
        <v>57.264698893132739</v>
      </c>
      <c r="Q149" s="296">
        <v>85.809356582160262</v>
      </c>
      <c r="R149" s="296">
        <v>167.172206812517</v>
      </c>
      <c r="S149" s="296">
        <v>-343.3904117533711</v>
      </c>
      <c r="T149" s="296">
        <v>-42.993296687225502</v>
      </c>
      <c r="U149" s="296">
        <v>528.13879748039949</v>
      </c>
      <c r="V149" s="296">
        <v>901.91112657169333</v>
      </c>
      <c r="W149" s="296">
        <v>1270.4193409440941</v>
      </c>
      <c r="X149" s="296">
        <v>1246.9494888223114</v>
      </c>
      <c r="Y149" s="296">
        <v>1586.6303515302711</v>
      </c>
      <c r="Z149" s="296">
        <v>1036.1022510268992</v>
      </c>
      <c r="AA149" s="296">
        <v>1919.5072455849115</v>
      </c>
      <c r="AB149" s="296">
        <v>2888.4774155028658</v>
      </c>
      <c r="AC149" s="296">
        <v>1694.6741419554446</v>
      </c>
      <c r="AD149" s="296">
        <v>4128.1470358717961</v>
      </c>
      <c r="AE149" s="296">
        <v>4892.1784707179986</v>
      </c>
      <c r="AF149" s="185">
        <v>14149.786774038135</v>
      </c>
      <c r="AG149" s="185">
        <v>12560.85880200334</v>
      </c>
      <c r="AH149" s="185">
        <v>15160.576363086628</v>
      </c>
      <c r="AI149" s="185">
        <v>13837.593958350531</v>
      </c>
      <c r="AJ149" s="185">
        <v>10546.325419821684</v>
      </c>
      <c r="AK149" s="185">
        <v>18725.995385530205</v>
      </c>
      <c r="AL149" s="185">
        <v>20293.099777479714</v>
      </c>
      <c r="AM149" s="185">
        <v>10484.799999999999</v>
      </c>
      <c r="AN149" s="185">
        <v>8131.0352104277745</v>
      </c>
      <c r="AO149" s="185">
        <v>13295.789029761463</v>
      </c>
      <c r="AP149" s="185">
        <v>9235.6849849840582</v>
      </c>
      <c r="AQ149" s="185">
        <v>6459.8817245947694</v>
      </c>
      <c r="AR149" s="185">
        <v>7778.3805349893555</v>
      </c>
      <c r="AS149" s="185">
        <v>11041.930220094528</v>
      </c>
      <c r="AT149" s="185">
        <v>4310.1976856925357</v>
      </c>
      <c r="AU149" s="185">
        <v>-68.673615191182847</v>
      </c>
      <c r="AV149" s="185">
        <v>13236.08619332647</v>
      </c>
      <c r="AW149" s="296">
        <v>8064.6028268293539</v>
      </c>
      <c r="AX149" s="304"/>
    </row>
    <row r="150" spans="1:50" ht="14.25" customHeight="1" x14ac:dyDescent="0.15">
      <c r="A150" s="186" t="s">
        <v>406</v>
      </c>
      <c r="B150" s="295">
        <v>0</v>
      </c>
      <c r="C150" s="295">
        <v>0</v>
      </c>
      <c r="D150" s="295">
        <v>0</v>
      </c>
      <c r="E150" s="295">
        <v>0</v>
      </c>
      <c r="F150" s="295">
        <v>0</v>
      </c>
      <c r="G150" s="295">
        <v>0</v>
      </c>
      <c r="H150" s="295">
        <v>0</v>
      </c>
      <c r="I150" s="295">
        <v>0</v>
      </c>
      <c r="J150" s="295">
        <v>0</v>
      </c>
      <c r="K150" s="295">
        <v>0</v>
      </c>
      <c r="L150" s="295">
        <v>0</v>
      </c>
      <c r="M150" s="295">
        <v>0</v>
      </c>
      <c r="N150" s="295">
        <v>0</v>
      </c>
      <c r="O150" s="295">
        <v>0</v>
      </c>
      <c r="P150" s="295">
        <v>0</v>
      </c>
      <c r="Q150" s="295">
        <v>0</v>
      </c>
      <c r="R150" s="295">
        <v>0</v>
      </c>
      <c r="S150" s="295">
        <v>0</v>
      </c>
      <c r="T150" s="295">
        <v>0</v>
      </c>
      <c r="U150" s="295">
        <v>0</v>
      </c>
      <c r="V150" s="295">
        <v>0</v>
      </c>
      <c r="W150" s="295">
        <v>0</v>
      </c>
      <c r="X150" s="295">
        <v>0</v>
      </c>
      <c r="Y150" s="295">
        <v>0</v>
      </c>
      <c r="Z150" s="295">
        <v>0</v>
      </c>
      <c r="AA150" s="295">
        <v>0</v>
      </c>
      <c r="AB150" s="295" t="s">
        <v>297</v>
      </c>
      <c r="AC150" s="295" t="s">
        <v>297</v>
      </c>
      <c r="AD150" s="295" t="s">
        <v>297</v>
      </c>
      <c r="AE150" s="295" t="s">
        <v>297</v>
      </c>
      <c r="AF150" s="183" t="s">
        <v>297</v>
      </c>
      <c r="AG150" s="183" t="s">
        <v>297</v>
      </c>
      <c r="AH150" s="183" t="s">
        <v>297</v>
      </c>
      <c r="AI150" s="183" t="s">
        <v>297</v>
      </c>
      <c r="AJ150" s="183" t="s">
        <v>297</v>
      </c>
      <c r="AK150" s="183" t="s">
        <v>297</v>
      </c>
      <c r="AL150" s="183" t="s">
        <v>297</v>
      </c>
      <c r="AM150" s="183" t="s">
        <v>297</v>
      </c>
      <c r="AN150" s="183" t="s">
        <v>297</v>
      </c>
      <c r="AO150" s="183" t="s">
        <v>297</v>
      </c>
      <c r="AP150" s="183" t="s">
        <v>297</v>
      </c>
      <c r="AQ150" s="183" t="s">
        <v>297</v>
      </c>
      <c r="AR150" s="183">
        <v>153.6</v>
      </c>
      <c r="AS150" s="183">
        <v>176.85305591677502</v>
      </c>
      <c r="AT150" s="183">
        <v>189.85695708712615</v>
      </c>
      <c r="AU150" s="183">
        <v>161.37841352405721</v>
      </c>
      <c r="AV150" s="183">
        <v>161.24837451235368</v>
      </c>
      <c r="AW150" s="295" t="s">
        <v>297</v>
      </c>
      <c r="AX150" s="304"/>
    </row>
    <row r="151" spans="1:50" ht="14.25" customHeight="1" x14ac:dyDescent="0.15">
      <c r="A151" s="186" t="s">
        <v>407</v>
      </c>
      <c r="B151" s="296" t="s">
        <v>297</v>
      </c>
      <c r="C151" s="296">
        <v>0</v>
      </c>
      <c r="D151" s="296">
        <v>0</v>
      </c>
      <c r="E151" s="296">
        <v>0</v>
      </c>
      <c r="F151" s="296">
        <v>0</v>
      </c>
      <c r="G151" s="296">
        <v>0</v>
      </c>
      <c r="H151" s="296">
        <v>0</v>
      </c>
      <c r="I151" s="296">
        <v>0</v>
      </c>
      <c r="J151" s="296">
        <v>0</v>
      </c>
      <c r="K151" s="296">
        <v>0.35240954622609399</v>
      </c>
      <c r="L151" s="296">
        <v>0.56579441398842101</v>
      </c>
      <c r="M151" s="296">
        <v>1.8389978130050961</v>
      </c>
      <c r="N151" s="296">
        <v>0.80565534658734506</v>
      </c>
      <c r="O151" s="296">
        <v>0</v>
      </c>
      <c r="P151" s="296">
        <v>0.82506671837635304</v>
      </c>
      <c r="Q151" s="296">
        <v>0</v>
      </c>
      <c r="R151" s="296">
        <v>8.1609736082165096E-2</v>
      </c>
      <c r="S151" s="296">
        <v>4.061862453903E-2</v>
      </c>
      <c r="T151" s="296">
        <v>10.317890704503442</v>
      </c>
      <c r="U151" s="296">
        <v>29.722148857205241</v>
      </c>
      <c r="V151" s="296">
        <v>8.181563834042441</v>
      </c>
      <c r="W151" s="296">
        <v>21.236317171036898</v>
      </c>
      <c r="X151" s="296">
        <v>13.944756004507347</v>
      </c>
      <c r="Y151" s="296">
        <v>4</v>
      </c>
      <c r="Z151" s="296">
        <v>12</v>
      </c>
      <c r="AA151" s="296">
        <v>2</v>
      </c>
      <c r="AB151" s="296">
        <v>3</v>
      </c>
      <c r="AC151" s="296">
        <v>2</v>
      </c>
      <c r="AD151" s="296">
        <v>3</v>
      </c>
      <c r="AE151" s="296">
        <v>18</v>
      </c>
      <c r="AF151" s="185">
        <v>18</v>
      </c>
      <c r="AG151" s="185">
        <v>48</v>
      </c>
      <c r="AH151" s="185">
        <v>20</v>
      </c>
      <c r="AI151" s="185">
        <v>44</v>
      </c>
      <c r="AJ151" s="185">
        <v>38</v>
      </c>
      <c r="AK151" s="185">
        <v>23</v>
      </c>
      <c r="AL151" s="185">
        <v>59</v>
      </c>
      <c r="AM151" s="185">
        <v>31</v>
      </c>
      <c r="AN151" s="185">
        <v>16</v>
      </c>
      <c r="AO151" s="185">
        <v>15</v>
      </c>
      <c r="AP151" s="185">
        <v>29</v>
      </c>
      <c r="AQ151" s="185">
        <v>24</v>
      </c>
      <c r="AR151" s="185">
        <v>34</v>
      </c>
      <c r="AS151" s="185">
        <v>-21</v>
      </c>
      <c r="AT151" s="185">
        <v>9</v>
      </c>
      <c r="AU151" s="185">
        <v>-34</v>
      </c>
      <c r="AV151" s="185">
        <v>28</v>
      </c>
      <c r="AW151" s="296">
        <v>57</v>
      </c>
      <c r="AX151" s="304"/>
    </row>
    <row r="152" spans="1:50" ht="14.25" customHeight="1" x14ac:dyDescent="0.15">
      <c r="A152" s="186" t="s">
        <v>408</v>
      </c>
      <c r="B152" s="295" t="s">
        <v>297</v>
      </c>
      <c r="C152" s="295" t="s">
        <v>297</v>
      </c>
      <c r="D152" s="295" t="s">
        <v>297</v>
      </c>
      <c r="E152" s="295" t="s">
        <v>297</v>
      </c>
      <c r="F152" s="295" t="s">
        <v>297</v>
      </c>
      <c r="G152" s="295" t="s">
        <v>297</v>
      </c>
      <c r="H152" s="295" t="s">
        <v>297</v>
      </c>
      <c r="I152" s="295" t="s">
        <v>297</v>
      </c>
      <c r="J152" s="295" t="s">
        <v>297</v>
      </c>
      <c r="K152" s="295" t="s">
        <v>297</v>
      </c>
      <c r="L152" s="295" t="s">
        <v>297</v>
      </c>
      <c r="M152" s="295" t="s">
        <v>297</v>
      </c>
      <c r="N152" s="295" t="s">
        <v>297</v>
      </c>
      <c r="O152" s="295" t="s">
        <v>297</v>
      </c>
      <c r="P152" s="295" t="s">
        <v>297</v>
      </c>
      <c r="Q152" s="295" t="s">
        <v>297</v>
      </c>
      <c r="R152" s="295" t="s">
        <v>297</v>
      </c>
      <c r="S152" s="295" t="s">
        <v>297</v>
      </c>
      <c r="T152" s="295" t="s">
        <v>297</v>
      </c>
      <c r="U152" s="295" t="s">
        <v>297</v>
      </c>
      <c r="V152" s="295" t="s">
        <v>297</v>
      </c>
      <c r="W152" s="295" t="s">
        <v>297</v>
      </c>
      <c r="X152" s="295" t="s">
        <v>297</v>
      </c>
      <c r="Y152" s="295" t="s">
        <v>297</v>
      </c>
      <c r="Z152" s="295" t="s">
        <v>297</v>
      </c>
      <c r="AA152" s="295" t="s">
        <v>297</v>
      </c>
      <c r="AB152" s="295" t="s">
        <v>297</v>
      </c>
      <c r="AC152" s="295" t="s">
        <v>297</v>
      </c>
      <c r="AD152" s="295" t="s">
        <v>297</v>
      </c>
      <c r="AE152" s="295" t="s">
        <v>297</v>
      </c>
      <c r="AF152" s="183" t="s">
        <v>297</v>
      </c>
      <c r="AG152" s="183" t="s">
        <v>297</v>
      </c>
      <c r="AH152" s="183" t="s">
        <v>297</v>
      </c>
      <c r="AI152" s="183" t="s">
        <v>297</v>
      </c>
      <c r="AJ152" s="183" t="s">
        <v>297</v>
      </c>
      <c r="AK152" s="183" t="s">
        <v>297</v>
      </c>
      <c r="AL152" s="183" t="s">
        <v>297</v>
      </c>
      <c r="AM152" s="183" t="s">
        <v>297</v>
      </c>
      <c r="AN152" s="183" t="s">
        <v>297</v>
      </c>
      <c r="AO152" s="183" t="s">
        <v>297</v>
      </c>
      <c r="AP152" s="183" t="s">
        <v>297</v>
      </c>
      <c r="AQ152" s="183" t="s">
        <v>297</v>
      </c>
      <c r="AR152" s="183" t="s">
        <v>297</v>
      </c>
      <c r="AS152" s="183" t="s">
        <v>297</v>
      </c>
      <c r="AT152" s="183" t="s">
        <v>297</v>
      </c>
      <c r="AU152" s="183" t="s">
        <v>297</v>
      </c>
      <c r="AV152" s="183" t="s">
        <v>297</v>
      </c>
      <c r="AW152" s="295" t="s">
        <v>297</v>
      </c>
      <c r="AX152" s="304"/>
    </row>
    <row r="153" spans="1:50" ht="14.25" customHeight="1" x14ac:dyDescent="0.15">
      <c r="A153" s="186" t="s">
        <v>409</v>
      </c>
      <c r="B153" s="296" t="s">
        <v>297</v>
      </c>
      <c r="C153" s="296" t="s">
        <v>297</v>
      </c>
      <c r="D153" s="296">
        <v>0</v>
      </c>
      <c r="E153" s="296">
        <v>0</v>
      </c>
      <c r="F153" s="296">
        <v>0</v>
      </c>
      <c r="G153" s="296" t="s">
        <v>297</v>
      </c>
      <c r="H153" s="296" t="s">
        <v>297</v>
      </c>
      <c r="I153" s="296" t="s">
        <v>297</v>
      </c>
      <c r="J153" s="296" t="s">
        <v>297</v>
      </c>
      <c r="K153" s="296" t="s">
        <v>297</v>
      </c>
      <c r="L153" s="296" t="s">
        <v>297</v>
      </c>
      <c r="M153" s="296" t="s">
        <v>297</v>
      </c>
      <c r="N153" s="296" t="s">
        <v>297</v>
      </c>
      <c r="O153" s="296" t="s">
        <v>297</v>
      </c>
      <c r="P153" s="296" t="s">
        <v>297</v>
      </c>
      <c r="Q153" s="296" t="s">
        <v>297</v>
      </c>
      <c r="R153" s="296" t="s">
        <v>297</v>
      </c>
      <c r="S153" s="296" t="s">
        <v>297</v>
      </c>
      <c r="T153" s="296" t="s">
        <v>297</v>
      </c>
      <c r="U153" s="296" t="s">
        <v>297</v>
      </c>
      <c r="V153" s="296" t="s">
        <v>297</v>
      </c>
      <c r="W153" s="296" t="s">
        <v>297</v>
      </c>
      <c r="X153" s="296" t="s">
        <v>297</v>
      </c>
      <c r="Y153" s="296">
        <v>0</v>
      </c>
      <c r="Z153" s="296">
        <v>0</v>
      </c>
      <c r="AA153" s="296">
        <v>0</v>
      </c>
      <c r="AB153" s="296">
        <v>0</v>
      </c>
      <c r="AC153" s="296">
        <v>0</v>
      </c>
      <c r="AD153" s="296">
        <v>0</v>
      </c>
      <c r="AE153" s="296">
        <v>0</v>
      </c>
      <c r="AF153" s="185">
        <v>0</v>
      </c>
      <c r="AG153" s="185">
        <v>0</v>
      </c>
      <c r="AH153" s="185">
        <v>0</v>
      </c>
      <c r="AI153" s="185">
        <v>0</v>
      </c>
      <c r="AJ153" s="185">
        <v>0</v>
      </c>
      <c r="AK153" s="185">
        <v>213.1</v>
      </c>
      <c r="AL153" s="185">
        <v>343.9</v>
      </c>
      <c r="AM153" s="185">
        <v>325</v>
      </c>
      <c r="AN153" s="185">
        <v>496.8</v>
      </c>
      <c r="AO153" s="185">
        <v>432.3</v>
      </c>
      <c r="AP153" s="185">
        <v>323.89999999999998</v>
      </c>
      <c r="AQ153" s="185">
        <v>425.26213795999996</v>
      </c>
      <c r="AR153" s="185">
        <v>535.64014668000004</v>
      </c>
      <c r="AS153" s="185">
        <v>542.58036914000002</v>
      </c>
      <c r="AT153" s="185">
        <v>235.66898469</v>
      </c>
      <c r="AU153" s="185">
        <v>139.07387154</v>
      </c>
      <c r="AV153" s="185">
        <v>87.320541860000006</v>
      </c>
      <c r="AW153" s="296" t="s">
        <v>297</v>
      </c>
      <c r="AX153" s="304"/>
    </row>
    <row r="154" spans="1:50" ht="14.25" customHeight="1" x14ac:dyDescent="0.15">
      <c r="A154" s="186" t="s">
        <v>410</v>
      </c>
      <c r="B154" s="295" t="s">
        <v>297</v>
      </c>
      <c r="C154" s="295">
        <v>0</v>
      </c>
      <c r="D154" s="295">
        <v>0</v>
      </c>
      <c r="E154" s="295">
        <v>0</v>
      </c>
      <c r="F154" s="295">
        <v>0</v>
      </c>
      <c r="G154" s="295">
        <v>0</v>
      </c>
      <c r="H154" s="295">
        <v>0</v>
      </c>
      <c r="I154" s="295">
        <v>0</v>
      </c>
      <c r="J154" s="295">
        <v>0</v>
      </c>
      <c r="K154" s="295">
        <v>0</v>
      </c>
      <c r="L154" s="295">
        <v>0</v>
      </c>
      <c r="M154" s="295">
        <v>0</v>
      </c>
      <c r="N154" s="295">
        <v>0</v>
      </c>
      <c r="O154" s="295">
        <v>0</v>
      </c>
      <c r="P154" s="295">
        <v>0</v>
      </c>
      <c r="Q154" s="295">
        <v>0</v>
      </c>
      <c r="R154" s="295">
        <v>23.121944518811748</v>
      </c>
      <c r="S154" s="295">
        <v>1.4524388852127523</v>
      </c>
      <c r="T154" s="295">
        <v>10.284238691594544</v>
      </c>
      <c r="U154" s="295">
        <v>8.6345843886714499E-2</v>
      </c>
      <c r="V154" s="295">
        <v>3.9300213118398273</v>
      </c>
      <c r="W154" s="295">
        <v>7.7425349059281792E-2</v>
      </c>
      <c r="X154" s="295">
        <v>0.89818355441276632</v>
      </c>
      <c r="Y154" s="295">
        <v>0.77672099087001345</v>
      </c>
      <c r="Z154" s="295">
        <v>5.4209270493205945</v>
      </c>
      <c r="AA154" s="295">
        <v>1.1869281991953484</v>
      </c>
      <c r="AB154" s="295">
        <v>1.5919614425222401</v>
      </c>
      <c r="AC154" s="295">
        <v>7.4765878179063074</v>
      </c>
      <c r="AD154" s="295">
        <v>6.781666302999807</v>
      </c>
      <c r="AE154" s="295">
        <v>2.146693788444979</v>
      </c>
      <c r="AF154" s="183">
        <v>0.87060139077347032</v>
      </c>
      <c r="AG154" s="183">
        <v>2.140756408666781</v>
      </c>
      <c r="AH154" s="183">
        <v>2.8788326283975438</v>
      </c>
      <c r="AI154" s="183">
        <v>1.94697593728079</v>
      </c>
      <c r="AJ154" s="183">
        <v>7.9430887572141664</v>
      </c>
      <c r="AK154" s="183">
        <v>14.053895663407461</v>
      </c>
      <c r="AL154" s="183">
        <v>2.1060528683204485</v>
      </c>
      <c r="AM154" s="183">
        <v>3.2599423630255524</v>
      </c>
      <c r="AN154" s="183">
        <v>2.7352905447378033</v>
      </c>
      <c r="AO154" s="183">
        <v>4.7596245649785667</v>
      </c>
      <c r="AP154" s="183">
        <v>4.5999999999999996</v>
      </c>
      <c r="AQ154" s="183">
        <v>0.32661253745407498</v>
      </c>
      <c r="AR154" s="183">
        <v>10.440654672529003</v>
      </c>
      <c r="AS154" s="183">
        <v>13.204897933125807</v>
      </c>
      <c r="AT154" s="183">
        <v>3.2137388022450639</v>
      </c>
      <c r="AU154" s="183">
        <v>12.548007161837852</v>
      </c>
      <c r="AV154" s="183">
        <v>28.290459450000014</v>
      </c>
      <c r="AW154" s="295" t="s">
        <v>297</v>
      </c>
      <c r="AX154" s="304"/>
    </row>
    <row r="155" spans="1:50" ht="14.25" customHeight="1" x14ac:dyDescent="0.15">
      <c r="A155" s="186" t="s">
        <v>411</v>
      </c>
      <c r="B155" s="296">
        <v>0</v>
      </c>
      <c r="C155" s="296">
        <v>0</v>
      </c>
      <c r="D155" s="296">
        <v>0</v>
      </c>
      <c r="E155" s="296">
        <v>0</v>
      </c>
      <c r="F155" s="296">
        <v>0</v>
      </c>
      <c r="G155" s="296">
        <v>0</v>
      </c>
      <c r="H155" s="296">
        <v>0</v>
      </c>
      <c r="I155" s="296">
        <v>0</v>
      </c>
      <c r="J155" s="296">
        <v>0</v>
      </c>
      <c r="K155" s="296">
        <v>0</v>
      </c>
      <c r="L155" s="296">
        <v>0</v>
      </c>
      <c r="M155" s="296">
        <v>0</v>
      </c>
      <c r="N155" s="296">
        <v>0</v>
      </c>
      <c r="O155" s="296">
        <v>0</v>
      </c>
      <c r="P155" s="296">
        <v>0</v>
      </c>
      <c r="Q155" s="296">
        <v>0</v>
      </c>
      <c r="R155" s="296">
        <v>0.1</v>
      </c>
      <c r="S155" s="296">
        <v>0.5</v>
      </c>
      <c r="T155" s="296" t="s">
        <v>297</v>
      </c>
      <c r="U155" s="296" t="s">
        <v>297</v>
      </c>
      <c r="V155" s="296">
        <v>0</v>
      </c>
      <c r="W155" s="296">
        <v>0</v>
      </c>
      <c r="X155" s="296">
        <v>0</v>
      </c>
      <c r="Y155" s="296">
        <v>0</v>
      </c>
      <c r="Z155" s="296">
        <v>0</v>
      </c>
      <c r="AA155" s="296">
        <v>0</v>
      </c>
      <c r="AB155" s="296">
        <v>0</v>
      </c>
      <c r="AC155" s="296">
        <v>0</v>
      </c>
      <c r="AD155" s="296">
        <v>0</v>
      </c>
      <c r="AE155" s="296">
        <v>0</v>
      </c>
      <c r="AF155" s="185">
        <v>0</v>
      </c>
      <c r="AG155" s="185">
        <v>0</v>
      </c>
      <c r="AH155" s="185">
        <v>0</v>
      </c>
      <c r="AI155" s="185">
        <v>0</v>
      </c>
      <c r="AJ155" s="185">
        <v>0</v>
      </c>
      <c r="AK155" s="185">
        <v>0</v>
      </c>
      <c r="AL155" s="185">
        <v>0</v>
      </c>
      <c r="AM155" s="185">
        <v>0</v>
      </c>
      <c r="AN155" s="185">
        <v>0</v>
      </c>
      <c r="AO155" s="185">
        <v>0</v>
      </c>
      <c r="AP155" s="185">
        <v>0</v>
      </c>
      <c r="AQ155" s="185">
        <v>0</v>
      </c>
      <c r="AR155" s="185">
        <v>0</v>
      </c>
      <c r="AS155" s="185">
        <v>0</v>
      </c>
      <c r="AT155" s="185">
        <v>0</v>
      </c>
      <c r="AU155" s="185">
        <v>0</v>
      </c>
      <c r="AV155" s="185">
        <v>0</v>
      </c>
      <c r="AW155" s="296">
        <v>0</v>
      </c>
      <c r="AX155" s="304"/>
    </row>
    <row r="156" spans="1:50" ht="14.25" customHeight="1" x14ac:dyDescent="0.15">
      <c r="A156" s="186" t="s">
        <v>412</v>
      </c>
      <c r="B156" s="295" t="s">
        <v>297</v>
      </c>
      <c r="C156" s="295" t="s">
        <v>297</v>
      </c>
      <c r="D156" s="295">
        <v>0</v>
      </c>
      <c r="E156" s="295">
        <v>0</v>
      </c>
      <c r="F156" s="295">
        <v>0</v>
      </c>
      <c r="G156" s="295">
        <v>0</v>
      </c>
      <c r="H156" s="295">
        <v>0</v>
      </c>
      <c r="I156" s="295">
        <v>0</v>
      </c>
      <c r="J156" s="295">
        <v>0</v>
      </c>
      <c r="K156" s="295">
        <v>0</v>
      </c>
      <c r="L156" s="295" t="s">
        <v>297</v>
      </c>
      <c r="M156" s="295" t="s">
        <v>297</v>
      </c>
      <c r="N156" s="295" t="s">
        <v>297</v>
      </c>
      <c r="O156" s="295" t="s">
        <v>297</v>
      </c>
      <c r="P156" s="295" t="s">
        <v>297</v>
      </c>
      <c r="Q156" s="295" t="s">
        <v>297</v>
      </c>
      <c r="R156" s="295">
        <v>0</v>
      </c>
      <c r="S156" s="295">
        <v>0</v>
      </c>
      <c r="T156" s="295">
        <v>0</v>
      </c>
      <c r="U156" s="295">
        <v>0</v>
      </c>
      <c r="V156" s="295">
        <v>0</v>
      </c>
      <c r="W156" s="295">
        <v>0</v>
      </c>
      <c r="X156" s="295">
        <v>0</v>
      </c>
      <c r="Y156" s="295">
        <v>0</v>
      </c>
      <c r="Z156" s="295">
        <v>0</v>
      </c>
      <c r="AA156" s="295">
        <v>0</v>
      </c>
      <c r="AB156" s="295">
        <v>0</v>
      </c>
      <c r="AC156" s="295">
        <v>0</v>
      </c>
      <c r="AD156" s="295">
        <v>0</v>
      </c>
      <c r="AE156" s="295">
        <v>0</v>
      </c>
      <c r="AF156" s="183">
        <v>0</v>
      </c>
      <c r="AG156" s="183">
        <v>0</v>
      </c>
      <c r="AH156" s="183">
        <v>0</v>
      </c>
      <c r="AI156" s="183">
        <v>0</v>
      </c>
      <c r="AJ156" s="183">
        <v>0</v>
      </c>
      <c r="AK156" s="183">
        <v>223.9120208666285</v>
      </c>
      <c r="AL156" s="183">
        <v>250.11996735891771</v>
      </c>
      <c r="AM156" s="183">
        <v>269.62166345803303</v>
      </c>
      <c r="AN156" s="183">
        <v>306.98930634496537</v>
      </c>
      <c r="AO156" s="183">
        <v>379.73583212980901</v>
      </c>
      <c r="AP156" s="183">
        <v>474.55798732730597</v>
      </c>
      <c r="AQ156" s="183">
        <v>485.21123143755</v>
      </c>
      <c r="AR156" s="183">
        <v>563.69951958906904</v>
      </c>
      <c r="AS156" s="183">
        <v>553.70000000000005</v>
      </c>
      <c r="AT156" s="183">
        <v>606.70877923471403</v>
      </c>
      <c r="AU156" s="183">
        <v>413.58909728474538</v>
      </c>
      <c r="AV156" s="183">
        <v>561.15057741526607</v>
      </c>
      <c r="AW156" s="295">
        <v>627.12640079216692</v>
      </c>
      <c r="AX156" s="304"/>
    </row>
    <row r="157" spans="1:50" ht="14.25" customHeight="1" x14ac:dyDescent="0.15">
      <c r="A157" s="186" t="s">
        <v>413</v>
      </c>
      <c r="B157" s="296" t="s">
        <v>297</v>
      </c>
      <c r="C157" s="296" t="s">
        <v>297</v>
      </c>
      <c r="D157" s="296">
        <v>1</v>
      </c>
      <c r="E157" s="296">
        <v>2</v>
      </c>
      <c r="F157" s="296">
        <v>13</v>
      </c>
      <c r="G157" s="296">
        <v>5</v>
      </c>
      <c r="H157" s="296">
        <v>5</v>
      </c>
      <c r="I157" s="296">
        <v>4</v>
      </c>
      <c r="J157" s="296">
        <v>1</v>
      </c>
      <c r="K157" s="296">
        <v>4</v>
      </c>
      <c r="L157" s="296">
        <v>13</v>
      </c>
      <c r="M157" s="296">
        <v>6</v>
      </c>
      <c r="N157" s="296">
        <v>6</v>
      </c>
      <c r="O157" s="296">
        <v>8</v>
      </c>
      <c r="P157" s="296">
        <v>11</v>
      </c>
      <c r="Q157" s="296">
        <v>17</v>
      </c>
      <c r="R157" s="296">
        <v>50</v>
      </c>
      <c r="S157" s="296">
        <v>110</v>
      </c>
      <c r="T157" s="296">
        <v>70</v>
      </c>
      <c r="U157" s="296">
        <v>116</v>
      </c>
      <c r="V157" s="296">
        <v>342</v>
      </c>
      <c r="W157" s="296">
        <v>700</v>
      </c>
      <c r="X157" s="296">
        <v>589</v>
      </c>
      <c r="Y157" s="296">
        <v>303</v>
      </c>
      <c r="Z157" s="296">
        <v>35</v>
      </c>
      <c r="AA157" s="296">
        <v>57</v>
      </c>
      <c r="AB157" s="296">
        <v>10</v>
      </c>
      <c r="AC157" s="296">
        <v>19</v>
      </c>
      <c r="AD157" s="296">
        <v>20</v>
      </c>
      <c r="AE157" s="296">
        <v>18</v>
      </c>
      <c r="AF157" s="185">
        <v>17</v>
      </c>
      <c r="AG157" s="185">
        <v>53</v>
      </c>
      <c r="AH157" s="185">
        <v>44</v>
      </c>
      <c r="AI157" s="185">
        <v>28</v>
      </c>
      <c r="AJ157" s="185">
        <v>70</v>
      </c>
      <c r="AK157" s="185">
        <v>116</v>
      </c>
      <c r="AL157" s="185">
        <v>105</v>
      </c>
      <c r="AM157" s="185">
        <v>70.300325220000005</v>
      </c>
      <c r="AN157" s="185">
        <v>181.89018259078921</v>
      </c>
      <c r="AO157" s="185">
        <v>132.7020587539449</v>
      </c>
      <c r="AP157" s="185">
        <v>140.78835484398297</v>
      </c>
      <c r="AQ157" s="185">
        <v>133.4973932239449</v>
      </c>
      <c r="AR157" s="185">
        <v>240.03575793473641</v>
      </c>
      <c r="AS157" s="185">
        <v>378.84777137743833</v>
      </c>
      <c r="AT157" s="185">
        <v>564.57391950459316</v>
      </c>
      <c r="AU157" s="185">
        <v>362.47237517863402</v>
      </c>
      <c r="AV157" s="185">
        <v>233.61969468118821</v>
      </c>
      <c r="AW157" s="296">
        <v>181.57384404644478</v>
      </c>
      <c r="AX157" s="304"/>
    </row>
    <row r="158" spans="1:50" ht="14.25" customHeight="1" x14ac:dyDescent="0.15">
      <c r="A158" s="186" t="s">
        <v>201</v>
      </c>
      <c r="B158" s="295" t="s">
        <v>297</v>
      </c>
      <c r="C158" s="295">
        <v>0</v>
      </c>
      <c r="D158" s="295">
        <v>0</v>
      </c>
      <c r="E158" s="295">
        <v>0</v>
      </c>
      <c r="F158" s="295">
        <v>0</v>
      </c>
      <c r="G158" s="295">
        <v>0</v>
      </c>
      <c r="H158" s="295">
        <v>0</v>
      </c>
      <c r="I158" s="295">
        <v>0</v>
      </c>
      <c r="J158" s="295">
        <v>0</v>
      </c>
      <c r="K158" s="295" t="s">
        <v>297</v>
      </c>
      <c r="L158" s="295" t="s">
        <v>297</v>
      </c>
      <c r="M158" s="295" t="s">
        <v>297</v>
      </c>
      <c r="N158" s="295" t="s">
        <v>297</v>
      </c>
      <c r="O158" s="295" t="s">
        <v>297</v>
      </c>
      <c r="P158" s="295" t="s">
        <v>297</v>
      </c>
      <c r="Q158" s="295" t="s">
        <v>297</v>
      </c>
      <c r="R158" s="295">
        <v>2</v>
      </c>
      <c r="S158" s="295">
        <v>3</v>
      </c>
      <c r="T158" s="295">
        <v>3</v>
      </c>
      <c r="U158" s="295">
        <v>12</v>
      </c>
      <c r="V158" s="295">
        <v>20</v>
      </c>
      <c r="W158" s="295">
        <v>26</v>
      </c>
      <c r="X158" s="295">
        <v>5</v>
      </c>
      <c r="Y158" s="295">
        <v>2</v>
      </c>
      <c r="Z158" s="295">
        <v>-21</v>
      </c>
      <c r="AA158" s="295">
        <v>5</v>
      </c>
      <c r="AB158" s="295">
        <v>27</v>
      </c>
      <c r="AC158" s="295">
        <v>-54</v>
      </c>
      <c r="AD158" s="295">
        <v>2</v>
      </c>
      <c r="AE158" s="295">
        <v>56</v>
      </c>
      <c r="AF158" s="183">
        <v>100</v>
      </c>
      <c r="AG158" s="183">
        <v>641</v>
      </c>
      <c r="AH158" s="183">
        <v>63</v>
      </c>
      <c r="AI158" s="183">
        <v>841</v>
      </c>
      <c r="AJ158" s="183">
        <v>-1047</v>
      </c>
      <c r="AK158" s="183">
        <v>677</v>
      </c>
      <c r="AL158" s="183">
        <v>585</v>
      </c>
      <c r="AM158" s="183">
        <v>951</v>
      </c>
      <c r="AN158" s="183">
        <v>315</v>
      </c>
      <c r="AO158" s="183">
        <v>1653</v>
      </c>
      <c r="AP158" s="183">
        <v>910</v>
      </c>
      <c r="AQ158" s="183">
        <v>933</v>
      </c>
      <c r="AR158" s="183">
        <v>1990</v>
      </c>
      <c r="AS158" s="183">
        <v>2088</v>
      </c>
      <c r="AT158" s="183">
        <v>2195</v>
      </c>
      <c r="AU158" s="183">
        <v>1154</v>
      </c>
      <c r="AV158" s="183">
        <v>3370</v>
      </c>
      <c r="AW158" s="295">
        <v>2195</v>
      </c>
      <c r="AX158" s="304"/>
    </row>
    <row r="159" spans="1:50" ht="14.25" customHeight="1" x14ac:dyDescent="0.15">
      <c r="A159" s="186" t="s">
        <v>202</v>
      </c>
      <c r="B159" s="296">
        <v>0</v>
      </c>
      <c r="C159" s="296">
        <v>0</v>
      </c>
      <c r="D159" s="296">
        <v>0</v>
      </c>
      <c r="E159" s="296">
        <v>0</v>
      </c>
      <c r="F159" s="296">
        <v>0</v>
      </c>
      <c r="G159" s="296">
        <v>0</v>
      </c>
      <c r="H159" s="296">
        <v>11.402748534201605</v>
      </c>
      <c r="I159" s="296">
        <v>0</v>
      </c>
      <c r="J159" s="296">
        <v>0.78222982434133503</v>
      </c>
      <c r="K159" s="296">
        <v>1.4474433325970242</v>
      </c>
      <c r="L159" s="296">
        <v>6.8186123768724016</v>
      </c>
      <c r="M159" s="296">
        <v>2.014924789797079</v>
      </c>
      <c r="N159" s="296">
        <v>4.941560168201284</v>
      </c>
      <c r="O159" s="296">
        <v>3.9362330249950799</v>
      </c>
      <c r="P159" s="296">
        <v>0</v>
      </c>
      <c r="Q159" s="296">
        <v>1.38657442750253</v>
      </c>
      <c r="R159" s="296">
        <v>0</v>
      </c>
      <c r="S159" s="296">
        <v>0</v>
      </c>
      <c r="T159" s="296">
        <v>44.410596190509857</v>
      </c>
      <c r="U159" s="296">
        <v>61.581470949243787</v>
      </c>
      <c r="V159" s="296">
        <v>43.02711366844219</v>
      </c>
      <c r="W159" s="296">
        <v>340.80002949215651</v>
      </c>
      <c r="X159" s="296">
        <v>359.84898274150305</v>
      </c>
      <c r="Y159" s="296">
        <v>567.2720949433151</v>
      </c>
      <c r="Z159" s="296">
        <v>598.20000000000005</v>
      </c>
      <c r="AA159" s="296">
        <v>458.65254915633648</v>
      </c>
      <c r="AB159" s="296">
        <v>527.37440467634929</v>
      </c>
      <c r="AC159" s="296">
        <v>141.19981461620756</v>
      </c>
      <c r="AD159" s="296">
        <v>1193.2079952284819</v>
      </c>
      <c r="AE159" s="296">
        <v>1860.9351378066378</v>
      </c>
      <c r="AF159" s="185">
        <v>2681.5267969759793</v>
      </c>
      <c r="AG159" s="185">
        <v>3195.0313441506123</v>
      </c>
      <c r="AH159" s="185">
        <v>3354.4217040299009</v>
      </c>
      <c r="AI159" s="185">
        <v>3785.9032536336267</v>
      </c>
      <c r="AJ159" s="185">
        <v>3114.7779500223246</v>
      </c>
      <c r="AK159" s="185">
        <v>7509.2114916305836</v>
      </c>
      <c r="AL159" s="185">
        <v>4831.4069654220511</v>
      </c>
      <c r="AM159" s="185">
        <v>2631.2766184087973</v>
      </c>
      <c r="AN159" s="185">
        <v>3154.8449129790706</v>
      </c>
      <c r="AO159" s="185">
        <v>2173.0234080119362</v>
      </c>
      <c r="AP159" s="185">
        <v>2300.3747877419401</v>
      </c>
      <c r="AQ159" s="185">
        <v>2881.5968859348222</v>
      </c>
      <c r="AR159" s="185">
        <v>4143.7262189542625</v>
      </c>
      <c r="AS159" s="185">
        <v>4974.5118195695923</v>
      </c>
      <c r="AT159" s="185">
        <v>3181.2405948051783</v>
      </c>
      <c r="AU159" s="185">
        <v>2966.2493167099151</v>
      </c>
      <c r="AV159" s="185">
        <v>3615.8042236651791</v>
      </c>
      <c r="AW159" s="298">
        <f>AV159</f>
        <v>3615.8042236651791</v>
      </c>
      <c r="AX159" s="304"/>
    </row>
    <row r="160" spans="1:50" ht="14.25" customHeight="1" x14ac:dyDescent="0.15">
      <c r="A160" s="186" t="s">
        <v>414</v>
      </c>
      <c r="B160" s="295" t="s">
        <v>297</v>
      </c>
      <c r="C160" s="295" t="s">
        <v>297</v>
      </c>
      <c r="D160" s="295" t="s">
        <v>297</v>
      </c>
      <c r="E160" s="295" t="s">
        <v>297</v>
      </c>
      <c r="F160" s="295" t="s">
        <v>297</v>
      </c>
      <c r="G160" s="295" t="s">
        <v>297</v>
      </c>
      <c r="H160" s="295" t="s">
        <v>297</v>
      </c>
      <c r="I160" s="295" t="s">
        <v>297</v>
      </c>
      <c r="J160" s="295" t="s">
        <v>297</v>
      </c>
      <c r="K160" s="295" t="s">
        <v>297</v>
      </c>
      <c r="L160" s="295" t="s">
        <v>297</v>
      </c>
      <c r="M160" s="295" t="s">
        <v>297</v>
      </c>
      <c r="N160" s="295" t="s">
        <v>297</v>
      </c>
      <c r="O160" s="295" t="s">
        <v>297</v>
      </c>
      <c r="P160" s="295" t="s">
        <v>297</v>
      </c>
      <c r="Q160" s="295" t="s">
        <v>297</v>
      </c>
      <c r="R160" s="295" t="s">
        <v>297</v>
      </c>
      <c r="S160" s="295" t="s">
        <v>297</v>
      </c>
      <c r="T160" s="295" t="s">
        <v>297</v>
      </c>
      <c r="U160" s="295" t="s">
        <v>297</v>
      </c>
      <c r="V160" s="295" t="s">
        <v>297</v>
      </c>
      <c r="W160" s="295" t="s">
        <v>297</v>
      </c>
      <c r="X160" s="295" t="s">
        <v>297</v>
      </c>
      <c r="Y160" s="295" t="s">
        <v>297</v>
      </c>
      <c r="Z160" s="295" t="s">
        <v>297</v>
      </c>
      <c r="AA160" s="295" t="s">
        <v>297</v>
      </c>
      <c r="AB160" s="295" t="s">
        <v>297</v>
      </c>
      <c r="AC160" s="295" t="s">
        <v>297</v>
      </c>
      <c r="AD160" s="295" t="s">
        <v>297</v>
      </c>
      <c r="AE160" s="295" t="s">
        <v>297</v>
      </c>
      <c r="AF160" s="183" t="s">
        <v>297</v>
      </c>
      <c r="AG160" s="183" t="s">
        <v>297</v>
      </c>
      <c r="AH160" s="183" t="s">
        <v>297</v>
      </c>
      <c r="AI160" s="183" t="s">
        <v>297</v>
      </c>
      <c r="AJ160" s="183" t="s">
        <v>297</v>
      </c>
      <c r="AK160" s="183" t="s">
        <v>297</v>
      </c>
      <c r="AL160" s="183" t="s">
        <v>297</v>
      </c>
      <c r="AM160" s="183" t="s">
        <v>297</v>
      </c>
      <c r="AN160" s="183" t="s">
        <v>297</v>
      </c>
      <c r="AO160" s="183" t="s">
        <v>297</v>
      </c>
      <c r="AP160" s="183" t="s">
        <v>297</v>
      </c>
      <c r="AQ160" s="183" t="s">
        <v>297</v>
      </c>
      <c r="AR160" s="183" t="s">
        <v>297</v>
      </c>
      <c r="AS160" s="183" t="s">
        <v>297</v>
      </c>
      <c r="AT160" s="183" t="s">
        <v>297</v>
      </c>
      <c r="AU160" s="183" t="s">
        <v>297</v>
      </c>
      <c r="AV160" s="183" t="s">
        <v>297</v>
      </c>
      <c r="AW160" s="295" t="s">
        <v>297</v>
      </c>
      <c r="AX160" s="304"/>
    </row>
    <row r="161" spans="1:50" ht="14.25" customHeight="1" x14ac:dyDescent="0.15">
      <c r="A161" s="186" t="s">
        <v>415</v>
      </c>
      <c r="B161" s="296">
        <v>0</v>
      </c>
      <c r="C161" s="296">
        <v>0</v>
      </c>
      <c r="D161" s="296">
        <v>0</v>
      </c>
      <c r="E161" s="296">
        <v>0</v>
      </c>
      <c r="F161" s="296">
        <v>0</v>
      </c>
      <c r="G161" s="296">
        <v>0</v>
      </c>
      <c r="H161" s="296">
        <v>0</v>
      </c>
      <c r="I161" s="296">
        <v>0</v>
      </c>
      <c r="J161" s="296">
        <v>0</v>
      </c>
      <c r="K161" s="296">
        <v>0</v>
      </c>
      <c r="L161" s="296">
        <v>23</v>
      </c>
      <c r="M161" s="296">
        <v>15</v>
      </c>
      <c r="N161" s="296">
        <v>23</v>
      </c>
      <c r="O161" s="296">
        <v>15</v>
      </c>
      <c r="P161" s="296">
        <v>10</v>
      </c>
      <c r="Q161" s="296">
        <v>1</v>
      </c>
      <c r="R161" s="296">
        <v>18</v>
      </c>
      <c r="S161" s="296">
        <v>1</v>
      </c>
      <c r="T161" s="296">
        <v>2</v>
      </c>
      <c r="U161" s="296">
        <v>2</v>
      </c>
      <c r="V161" s="296">
        <v>6</v>
      </c>
      <c r="W161" s="296">
        <v>5</v>
      </c>
      <c r="X161" s="296">
        <v>4</v>
      </c>
      <c r="Y161" s="296">
        <v>13</v>
      </c>
      <c r="Z161" s="296">
        <v>2</v>
      </c>
      <c r="AA161" s="296">
        <v>6</v>
      </c>
      <c r="AB161" s="296">
        <v>14</v>
      </c>
      <c r="AC161" s="296">
        <v>11</v>
      </c>
      <c r="AD161" s="296">
        <v>10</v>
      </c>
      <c r="AE161" s="296">
        <v>5</v>
      </c>
      <c r="AF161" s="185">
        <v>-76.900000000000006</v>
      </c>
      <c r="AG161" s="185">
        <v>-28.097510816600728</v>
      </c>
      <c r="AH161" s="185">
        <v>23.856052898287967</v>
      </c>
      <c r="AI161" s="185">
        <v>-46.080639631215639</v>
      </c>
      <c r="AJ161" s="185">
        <v>-218.06769908440833</v>
      </c>
      <c r="AK161" s="185">
        <v>-216.16793145929603</v>
      </c>
      <c r="AL161" s="185">
        <v>-35.945647680302102</v>
      </c>
      <c r="AM161" s="185">
        <v>1.9939666916910326</v>
      </c>
      <c r="AN161" s="185">
        <v>22.014589060448778</v>
      </c>
      <c r="AO161" s="185">
        <v>-203.29726379798245</v>
      </c>
      <c r="AP161" s="185">
        <v>-123.83894134794653</v>
      </c>
      <c r="AQ161" s="185">
        <v>19.715257513872775</v>
      </c>
      <c r="AR161" s="185">
        <v>14.129603343565893</v>
      </c>
      <c r="AS161" s="185">
        <v>50.785536216215938</v>
      </c>
      <c r="AT161" s="185">
        <v>155.50866622372925</v>
      </c>
      <c r="AU161" s="185">
        <v>53.317134205838293</v>
      </c>
      <c r="AV161" s="185">
        <v>149.80005187620282</v>
      </c>
      <c r="AW161" s="296">
        <v>0</v>
      </c>
      <c r="AX161" s="304"/>
    </row>
    <row r="162" spans="1:50" ht="14.25" customHeight="1" x14ac:dyDescent="0.15">
      <c r="A162" s="186" t="s">
        <v>211</v>
      </c>
      <c r="B162" s="295" t="s">
        <v>297</v>
      </c>
      <c r="C162" s="295" t="s">
        <v>297</v>
      </c>
      <c r="D162" s="295" t="s">
        <v>297</v>
      </c>
      <c r="E162" s="295" t="s">
        <v>297</v>
      </c>
      <c r="F162" s="295" t="s">
        <v>297</v>
      </c>
      <c r="G162" s="295" t="s">
        <v>297</v>
      </c>
      <c r="H162" s="295" t="s">
        <v>297</v>
      </c>
      <c r="I162" s="295" t="s">
        <v>297</v>
      </c>
      <c r="J162" s="295" t="s">
        <v>297</v>
      </c>
      <c r="K162" s="295" t="s">
        <v>297</v>
      </c>
      <c r="L162" s="295" t="s">
        <v>297</v>
      </c>
      <c r="M162" s="295" t="s">
        <v>297</v>
      </c>
      <c r="N162" s="295" t="s">
        <v>297</v>
      </c>
      <c r="O162" s="295" t="s">
        <v>297</v>
      </c>
      <c r="P162" s="295" t="s">
        <v>297</v>
      </c>
      <c r="Q162" s="295" t="s">
        <v>297</v>
      </c>
      <c r="R162" s="295" t="s">
        <v>297</v>
      </c>
      <c r="S162" s="295" t="s">
        <v>297</v>
      </c>
      <c r="T162" s="295" t="s">
        <v>297</v>
      </c>
      <c r="U162" s="295">
        <v>104.5</v>
      </c>
      <c r="V162" s="295">
        <v>100.2</v>
      </c>
      <c r="W162" s="295">
        <v>145.47</v>
      </c>
      <c r="X162" s="295">
        <v>22.13</v>
      </c>
      <c r="Y162" s="295">
        <v>12.96</v>
      </c>
      <c r="Z162" s="295">
        <v>9.6999999999999993</v>
      </c>
      <c r="AA162" s="295">
        <v>61.76</v>
      </c>
      <c r="AB162" s="295">
        <v>599.16</v>
      </c>
      <c r="AC162" s="295">
        <v>691.32</v>
      </c>
      <c r="AD162" s="295">
        <v>6337.47</v>
      </c>
      <c r="AE162" s="295">
        <v>6335.27</v>
      </c>
      <c r="AF162" s="183">
        <v>8077.82</v>
      </c>
      <c r="AG162" s="183">
        <v>12327.89</v>
      </c>
      <c r="AH162" s="183">
        <v>17268.96</v>
      </c>
      <c r="AI162" s="183">
        <v>28540.03</v>
      </c>
      <c r="AJ162" s="183">
        <v>10102.129999999999</v>
      </c>
      <c r="AK162" s="183">
        <v>16976.23</v>
      </c>
      <c r="AL162" s="183">
        <v>20073.310000000001</v>
      </c>
      <c r="AM162" s="183">
        <v>22507.78</v>
      </c>
      <c r="AN162" s="183">
        <v>17162.59</v>
      </c>
      <c r="AO162" s="183">
        <v>21496.59</v>
      </c>
      <c r="AP162" s="183">
        <v>13234.75</v>
      </c>
      <c r="AQ162" s="183">
        <v>18824.62</v>
      </c>
      <c r="AR162" s="183">
        <v>23440.3</v>
      </c>
      <c r="AS162" s="183">
        <v>29736.04</v>
      </c>
      <c r="AT162" s="183">
        <v>31770.66</v>
      </c>
      <c r="AU162" s="183">
        <v>24767</v>
      </c>
      <c r="AV162" s="183">
        <v>59754</v>
      </c>
      <c r="AW162" s="297">
        <f>AV162</f>
        <v>59754</v>
      </c>
      <c r="AX162" s="304"/>
    </row>
    <row r="163" spans="1:50" ht="14.25" customHeight="1" x14ac:dyDescent="0.15">
      <c r="A163" s="186" t="s">
        <v>416</v>
      </c>
      <c r="B163" s="296" t="s">
        <v>297</v>
      </c>
      <c r="C163" s="296" t="s">
        <v>297</v>
      </c>
      <c r="D163" s="296" t="s">
        <v>297</v>
      </c>
      <c r="E163" s="296" t="s">
        <v>297</v>
      </c>
      <c r="F163" s="296" t="s">
        <v>297</v>
      </c>
      <c r="G163" s="296" t="s">
        <v>297</v>
      </c>
      <c r="H163" s="296" t="s">
        <v>297</v>
      </c>
      <c r="I163" s="296" t="s">
        <v>297</v>
      </c>
      <c r="J163" s="296" t="s">
        <v>297</v>
      </c>
      <c r="K163" s="296" t="s">
        <v>297</v>
      </c>
      <c r="L163" s="296" t="s">
        <v>297</v>
      </c>
      <c r="M163" s="296" t="s">
        <v>297</v>
      </c>
      <c r="N163" s="296" t="s">
        <v>297</v>
      </c>
      <c r="O163" s="296" t="s">
        <v>297</v>
      </c>
      <c r="P163" s="296" t="s">
        <v>297</v>
      </c>
      <c r="Q163" s="296" t="s">
        <v>297</v>
      </c>
      <c r="R163" s="296" t="s">
        <v>297</v>
      </c>
      <c r="S163" s="296" t="s">
        <v>297</v>
      </c>
      <c r="T163" s="296" t="s">
        <v>297</v>
      </c>
      <c r="U163" s="296" t="s">
        <v>297</v>
      </c>
      <c r="V163" s="296" t="s">
        <v>297</v>
      </c>
      <c r="W163" s="296" t="s">
        <v>297</v>
      </c>
      <c r="X163" s="296" t="s">
        <v>297</v>
      </c>
      <c r="Y163" s="296" t="s">
        <v>297</v>
      </c>
      <c r="Z163" s="296" t="s">
        <v>297</v>
      </c>
      <c r="AA163" s="296" t="s">
        <v>297</v>
      </c>
      <c r="AB163" s="296" t="s">
        <v>297</v>
      </c>
      <c r="AC163" s="296" t="s">
        <v>297</v>
      </c>
      <c r="AD163" s="296" t="s">
        <v>297</v>
      </c>
      <c r="AE163" s="296" t="s">
        <v>297</v>
      </c>
      <c r="AF163" s="185" t="s">
        <v>297</v>
      </c>
      <c r="AG163" s="185" t="s">
        <v>297</v>
      </c>
      <c r="AH163" s="185" t="s">
        <v>297</v>
      </c>
      <c r="AI163" s="185" t="s">
        <v>297</v>
      </c>
      <c r="AJ163" s="185" t="s">
        <v>297</v>
      </c>
      <c r="AK163" s="185">
        <v>0</v>
      </c>
      <c r="AL163" s="185">
        <v>2.3192280922823501</v>
      </c>
      <c r="AM163" s="185">
        <v>0</v>
      </c>
      <c r="AN163" s="185">
        <v>3.8217815744619301</v>
      </c>
      <c r="AO163" s="185">
        <v>3.98725463799996</v>
      </c>
      <c r="AP163" s="185">
        <v>3.63509810189545</v>
      </c>
      <c r="AQ163" s="185">
        <v>3.7649845295393001</v>
      </c>
      <c r="AR163" s="185">
        <v>4.0915901875321401</v>
      </c>
      <c r="AS163" s="185">
        <v>4.2464490151834404</v>
      </c>
      <c r="AT163" s="185">
        <v>0</v>
      </c>
      <c r="AU163" s="185">
        <v>0</v>
      </c>
      <c r="AV163" s="185">
        <v>0</v>
      </c>
      <c r="AW163" s="296">
        <v>0</v>
      </c>
      <c r="AX163" s="304"/>
    </row>
    <row r="164" spans="1:50" ht="14.25" customHeight="1" x14ac:dyDescent="0.15">
      <c r="A164" s="186" t="s">
        <v>417</v>
      </c>
      <c r="B164" s="295" t="s">
        <v>297</v>
      </c>
      <c r="C164" s="295" t="s">
        <v>297</v>
      </c>
      <c r="D164" s="295">
        <v>0</v>
      </c>
      <c r="E164" s="295">
        <v>0</v>
      </c>
      <c r="F164" s="295">
        <v>0</v>
      </c>
      <c r="G164" s="295">
        <v>0</v>
      </c>
      <c r="H164" s="295">
        <v>0</v>
      </c>
      <c r="I164" s="295">
        <v>0</v>
      </c>
      <c r="J164" s="295">
        <v>0</v>
      </c>
      <c r="K164" s="295">
        <v>0</v>
      </c>
      <c r="L164" s="295">
        <v>0</v>
      </c>
      <c r="M164" s="295">
        <v>0</v>
      </c>
      <c r="N164" s="295">
        <v>0</v>
      </c>
      <c r="O164" s="295">
        <v>0</v>
      </c>
      <c r="P164" s="295">
        <v>0</v>
      </c>
      <c r="Q164" s="295">
        <v>0</v>
      </c>
      <c r="R164" s="295">
        <v>0</v>
      </c>
      <c r="S164" s="295">
        <v>0</v>
      </c>
      <c r="T164" s="295">
        <v>0</v>
      </c>
      <c r="U164" s="295">
        <v>0</v>
      </c>
      <c r="V164" s="295">
        <v>0</v>
      </c>
      <c r="W164" s="295">
        <v>0</v>
      </c>
      <c r="X164" s="295">
        <v>0</v>
      </c>
      <c r="Y164" s="295">
        <v>0</v>
      </c>
      <c r="Z164" s="295">
        <v>3.3187837852189338E-2</v>
      </c>
      <c r="AA164" s="295" t="s">
        <v>297</v>
      </c>
      <c r="AB164" s="295" t="s">
        <v>297</v>
      </c>
      <c r="AC164" s="295" t="s">
        <v>297</v>
      </c>
      <c r="AD164" s="295" t="s">
        <v>297</v>
      </c>
      <c r="AE164" s="295">
        <v>0</v>
      </c>
      <c r="AF164" s="183" t="s">
        <v>297</v>
      </c>
      <c r="AG164" s="183" t="s">
        <v>297</v>
      </c>
      <c r="AH164" s="183" t="s">
        <v>297</v>
      </c>
      <c r="AI164" s="183" t="s">
        <v>297</v>
      </c>
      <c r="AJ164" s="183" t="s">
        <v>297</v>
      </c>
      <c r="AK164" s="183">
        <v>0</v>
      </c>
      <c r="AL164" s="183">
        <v>0</v>
      </c>
      <c r="AM164" s="183">
        <v>0</v>
      </c>
      <c r="AN164" s="183">
        <v>3.5290356686353802E-2</v>
      </c>
      <c r="AO164" s="183">
        <v>5.8204733904435139E-2</v>
      </c>
      <c r="AP164" s="183">
        <v>0.46355961862909967</v>
      </c>
      <c r="AQ164" s="183">
        <v>2.3489515213590959</v>
      </c>
      <c r="AR164" s="183">
        <v>1.2366594791646097</v>
      </c>
      <c r="AS164" s="183">
        <v>0.41277789840470797</v>
      </c>
      <c r="AT164" s="183">
        <v>0.13071882942140209</v>
      </c>
      <c r="AU164" s="183">
        <v>0</v>
      </c>
      <c r="AV164" s="183">
        <v>0.44241010213237458</v>
      </c>
      <c r="AW164" s="295">
        <v>7.5105982776208433E-2</v>
      </c>
      <c r="AX164" s="304"/>
    </row>
    <row r="165" spans="1:50" ht="14.25" customHeight="1" x14ac:dyDescent="0.15">
      <c r="A165" s="186" t="s">
        <v>418</v>
      </c>
      <c r="B165" s="296" t="s">
        <v>297</v>
      </c>
      <c r="C165" s="296" t="s">
        <v>297</v>
      </c>
      <c r="D165" s="296" t="s">
        <v>297</v>
      </c>
      <c r="E165" s="296" t="s">
        <v>297</v>
      </c>
      <c r="F165" s="296" t="s">
        <v>297</v>
      </c>
      <c r="G165" s="296" t="s">
        <v>297</v>
      </c>
      <c r="H165" s="296" t="s">
        <v>297</v>
      </c>
      <c r="I165" s="296" t="s">
        <v>297</v>
      </c>
      <c r="J165" s="296" t="s">
        <v>297</v>
      </c>
      <c r="K165" s="296" t="s">
        <v>297</v>
      </c>
      <c r="L165" s="296" t="s">
        <v>297</v>
      </c>
      <c r="M165" s="296" t="s">
        <v>297</v>
      </c>
      <c r="N165" s="296" t="s">
        <v>297</v>
      </c>
      <c r="O165" s="296" t="s">
        <v>297</v>
      </c>
      <c r="P165" s="296" t="s">
        <v>297</v>
      </c>
      <c r="Q165" s="296" t="s">
        <v>297</v>
      </c>
      <c r="R165" s="296" t="s">
        <v>297</v>
      </c>
      <c r="S165" s="296" t="s">
        <v>297</v>
      </c>
      <c r="T165" s="296" t="s">
        <v>297</v>
      </c>
      <c r="U165" s="296" t="s">
        <v>297</v>
      </c>
      <c r="V165" s="296" t="s">
        <v>297</v>
      </c>
      <c r="W165" s="296" t="s">
        <v>297</v>
      </c>
      <c r="X165" s="296" t="s">
        <v>297</v>
      </c>
      <c r="Y165" s="296" t="s">
        <v>297</v>
      </c>
      <c r="Z165" s="296" t="s">
        <v>297</v>
      </c>
      <c r="AA165" s="296" t="s">
        <v>297</v>
      </c>
      <c r="AB165" s="296" t="s">
        <v>297</v>
      </c>
      <c r="AC165" s="296" t="s">
        <v>297</v>
      </c>
      <c r="AD165" s="296" t="s">
        <v>297</v>
      </c>
      <c r="AE165" s="296" t="s">
        <v>297</v>
      </c>
      <c r="AF165" s="185" t="s">
        <v>297</v>
      </c>
      <c r="AG165" s="185" t="s">
        <v>297</v>
      </c>
      <c r="AH165" s="185" t="s">
        <v>297</v>
      </c>
      <c r="AI165" s="185" t="s">
        <v>297</v>
      </c>
      <c r="AJ165" s="185" t="s">
        <v>297</v>
      </c>
      <c r="AK165" s="185" t="s">
        <v>297</v>
      </c>
      <c r="AL165" s="185" t="s">
        <v>297</v>
      </c>
      <c r="AM165" s="185" t="s">
        <v>297</v>
      </c>
      <c r="AN165" s="185" t="s">
        <v>297</v>
      </c>
      <c r="AO165" s="185" t="s">
        <v>297</v>
      </c>
      <c r="AP165" s="185" t="s">
        <v>297</v>
      </c>
      <c r="AQ165" s="185" t="s">
        <v>297</v>
      </c>
      <c r="AR165" s="185" t="s">
        <v>297</v>
      </c>
      <c r="AS165" s="185" t="s">
        <v>297</v>
      </c>
      <c r="AT165" s="185" t="s">
        <v>297</v>
      </c>
      <c r="AU165" s="185" t="s">
        <v>297</v>
      </c>
      <c r="AV165" s="185">
        <v>29.223418074103794</v>
      </c>
      <c r="AW165" s="296" t="s">
        <v>297</v>
      </c>
      <c r="AX165" s="304"/>
    </row>
    <row r="166" spans="1:50" ht="14.25" customHeight="1" x14ac:dyDescent="0.15">
      <c r="A166" s="186" t="s">
        <v>419</v>
      </c>
      <c r="B166" s="295">
        <v>0</v>
      </c>
      <c r="C166" s="295">
        <v>0</v>
      </c>
      <c r="D166" s="295">
        <v>0</v>
      </c>
      <c r="E166" s="295">
        <v>0</v>
      </c>
      <c r="F166" s="295">
        <v>0</v>
      </c>
      <c r="G166" s="295">
        <v>0</v>
      </c>
      <c r="H166" s="295">
        <v>0</v>
      </c>
      <c r="I166" s="295">
        <v>0</v>
      </c>
      <c r="J166" s="295">
        <v>0</v>
      </c>
      <c r="K166" s="295">
        <v>0</v>
      </c>
      <c r="L166" s="295">
        <v>0</v>
      </c>
      <c r="M166" s="295">
        <v>0</v>
      </c>
      <c r="N166" s="295">
        <v>0</v>
      </c>
      <c r="O166" s="295">
        <v>0</v>
      </c>
      <c r="P166" s="295">
        <v>0</v>
      </c>
      <c r="Q166" s="295">
        <v>0</v>
      </c>
      <c r="R166" s="295" t="s">
        <v>297</v>
      </c>
      <c r="S166" s="295" t="s">
        <v>297</v>
      </c>
      <c r="T166" s="295" t="s">
        <v>297</v>
      </c>
      <c r="U166" s="295" t="s">
        <v>297</v>
      </c>
      <c r="V166" s="295" t="s">
        <v>297</v>
      </c>
      <c r="W166" s="295" t="s">
        <v>297</v>
      </c>
      <c r="X166" s="295">
        <v>0</v>
      </c>
      <c r="Y166" s="295">
        <v>0</v>
      </c>
      <c r="Z166" s="295">
        <v>0</v>
      </c>
      <c r="AA166" s="295">
        <v>0</v>
      </c>
      <c r="AB166" s="295">
        <v>0</v>
      </c>
      <c r="AC166" s="295">
        <v>0</v>
      </c>
      <c r="AD166" s="295">
        <v>0</v>
      </c>
      <c r="AE166" s="295">
        <v>0</v>
      </c>
      <c r="AF166" s="183">
        <v>0</v>
      </c>
      <c r="AG166" s="183">
        <v>0</v>
      </c>
      <c r="AH166" s="183">
        <v>0</v>
      </c>
      <c r="AI166" s="183">
        <v>0</v>
      </c>
      <c r="AJ166" s="183">
        <v>0</v>
      </c>
      <c r="AK166" s="183">
        <v>0</v>
      </c>
      <c r="AL166" s="183">
        <v>0</v>
      </c>
      <c r="AM166" s="183">
        <v>0</v>
      </c>
      <c r="AN166" s="183">
        <v>0</v>
      </c>
      <c r="AO166" s="183">
        <v>0</v>
      </c>
      <c r="AP166" s="183">
        <v>0</v>
      </c>
      <c r="AQ166" s="183">
        <v>0</v>
      </c>
      <c r="AR166" s="183">
        <v>0</v>
      </c>
      <c r="AS166" s="183">
        <v>1.41861518455233E-3</v>
      </c>
      <c r="AT166" s="183">
        <v>0</v>
      </c>
      <c r="AU166" s="183">
        <v>0</v>
      </c>
      <c r="AV166" s="183">
        <v>0</v>
      </c>
      <c r="AW166" s="295" t="s">
        <v>297</v>
      </c>
      <c r="AX166" s="304"/>
    </row>
    <row r="167" spans="1:50" ht="14.25" customHeight="1" x14ac:dyDescent="0.15">
      <c r="A167" s="186" t="s">
        <v>420</v>
      </c>
      <c r="B167" s="296">
        <v>0</v>
      </c>
      <c r="C167" s="296">
        <v>0</v>
      </c>
      <c r="D167" s="296">
        <v>0</v>
      </c>
      <c r="E167" s="296">
        <v>0</v>
      </c>
      <c r="F167" s="296">
        <v>0</v>
      </c>
      <c r="G167" s="296">
        <v>0</v>
      </c>
      <c r="H167" s="296">
        <v>0</v>
      </c>
      <c r="I167" s="296">
        <v>0</v>
      </c>
      <c r="J167" s="296">
        <v>0</v>
      </c>
      <c r="K167" s="296">
        <v>0</v>
      </c>
      <c r="L167" s="296">
        <v>0</v>
      </c>
      <c r="M167" s="296">
        <v>0</v>
      </c>
      <c r="N167" s="296">
        <v>0</v>
      </c>
      <c r="O167" s="296">
        <v>0</v>
      </c>
      <c r="P167" s="296">
        <v>0</v>
      </c>
      <c r="Q167" s="296">
        <v>0</v>
      </c>
      <c r="R167" s="296">
        <v>0</v>
      </c>
      <c r="S167" s="296">
        <v>0</v>
      </c>
      <c r="T167" s="296">
        <v>0</v>
      </c>
      <c r="U167" s="296">
        <v>0</v>
      </c>
      <c r="V167" s="296">
        <v>0</v>
      </c>
      <c r="W167" s="296">
        <v>0</v>
      </c>
      <c r="X167" s="296">
        <v>0</v>
      </c>
      <c r="Y167" s="296">
        <v>0</v>
      </c>
      <c r="Z167" s="296">
        <v>0</v>
      </c>
      <c r="AA167" s="296">
        <v>0</v>
      </c>
      <c r="AB167" s="296">
        <v>0</v>
      </c>
      <c r="AC167" s="296">
        <v>0</v>
      </c>
      <c r="AD167" s="296">
        <v>0</v>
      </c>
      <c r="AE167" s="296">
        <v>0</v>
      </c>
      <c r="AF167" s="185" t="s">
        <v>297</v>
      </c>
      <c r="AG167" s="185" t="s">
        <v>297</v>
      </c>
      <c r="AH167" s="185" t="s">
        <v>297</v>
      </c>
      <c r="AI167" s="185" t="s">
        <v>297</v>
      </c>
      <c r="AJ167" s="185" t="s">
        <v>297</v>
      </c>
      <c r="AK167" s="185" t="s">
        <v>297</v>
      </c>
      <c r="AL167" s="185" t="s">
        <v>297</v>
      </c>
      <c r="AM167" s="185" t="s">
        <v>297</v>
      </c>
      <c r="AN167" s="185" t="s">
        <v>297</v>
      </c>
      <c r="AO167" s="185" t="s">
        <v>297</v>
      </c>
      <c r="AP167" s="185" t="s">
        <v>297</v>
      </c>
      <c r="AQ167" s="185" t="s">
        <v>297</v>
      </c>
      <c r="AR167" s="185" t="s">
        <v>297</v>
      </c>
      <c r="AS167" s="185" t="s">
        <v>297</v>
      </c>
      <c r="AT167" s="185" t="s">
        <v>297</v>
      </c>
      <c r="AU167" s="185" t="s">
        <v>297</v>
      </c>
      <c r="AV167" s="185" t="s">
        <v>297</v>
      </c>
      <c r="AW167" s="296" t="s">
        <v>297</v>
      </c>
      <c r="AX167" s="304"/>
    </row>
    <row r="168" spans="1:50" ht="14.25" customHeight="1" x14ac:dyDescent="0.15">
      <c r="A168" s="186" t="s">
        <v>421</v>
      </c>
      <c r="B168" s="295">
        <v>0.79323269728202983</v>
      </c>
      <c r="C168" s="295">
        <v>0.92069280155629518</v>
      </c>
      <c r="D168" s="295">
        <v>1.7502464530516877</v>
      </c>
      <c r="E168" s="295">
        <v>2.3487092223109252</v>
      </c>
      <c r="F168" s="295">
        <v>3.2906853575116215</v>
      </c>
      <c r="G168" s="295">
        <v>1.798564935703912</v>
      </c>
      <c r="H168" s="295">
        <v>12.953966009319682</v>
      </c>
      <c r="I168" s="295">
        <v>13.055138071063206</v>
      </c>
      <c r="J168" s="295">
        <v>15.377912083514241</v>
      </c>
      <c r="K168" s="295">
        <v>8.3532310770853826</v>
      </c>
      <c r="L168" s="295">
        <v>5.8095151762497359</v>
      </c>
      <c r="M168" s="295">
        <v>7.7676989401271204</v>
      </c>
      <c r="N168" s="295">
        <v>5.3903591198860168</v>
      </c>
      <c r="O168" s="295">
        <v>9.434335418013859</v>
      </c>
      <c r="P168" s="295">
        <v>16.049739170482471</v>
      </c>
      <c r="Q168" s="295">
        <v>31.403252929762655</v>
      </c>
      <c r="R168" s="295">
        <v>26.798351135467261</v>
      </c>
      <c r="S168" s="295">
        <v>37.628668405128955</v>
      </c>
      <c r="T168" s="295">
        <v>27.475381859203274</v>
      </c>
      <c r="U168" s="295">
        <v>3.620286383972652</v>
      </c>
      <c r="V168" s="295">
        <v>8.7909723286747994</v>
      </c>
      <c r="W168" s="295">
        <v>0.46916012083482106</v>
      </c>
      <c r="X168" s="295">
        <v>0.14220379538734085</v>
      </c>
      <c r="Y168" s="295">
        <v>1.5408039083646397</v>
      </c>
      <c r="Z168" s="295">
        <v>1.6361390807805771</v>
      </c>
      <c r="AA168" s="295">
        <v>11.060140485655339</v>
      </c>
      <c r="AB168" s="295">
        <v>6.4418553518349881</v>
      </c>
      <c r="AC168" s="295">
        <v>3.0199798994476148</v>
      </c>
      <c r="AD168" s="295">
        <v>36.546118405597198</v>
      </c>
      <c r="AE168" s="295">
        <v>67.300285256832851</v>
      </c>
      <c r="AF168" s="183">
        <v>111.9</v>
      </c>
      <c r="AG168" s="183">
        <v>72.756768023441907</v>
      </c>
      <c r="AH168" s="183">
        <v>83.592104892576359</v>
      </c>
      <c r="AI168" s="183">
        <v>155.42599452974824</v>
      </c>
      <c r="AJ168" s="183">
        <v>45.652350074252219</v>
      </c>
      <c r="AK168" s="183">
        <v>75.445498968174476</v>
      </c>
      <c r="AL168" s="183">
        <v>124.02158183662881</v>
      </c>
      <c r="AM168" s="183">
        <v>94.55371790340773</v>
      </c>
      <c r="AN168" s="183">
        <v>116.19445982240561</v>
      </c>
      <c r="AO168" s="183">
        <v>109.80778759009353</v>
      </c>
      <c r="AP168" s="183">
        <v>96.930592198271469</v>
      </c>
      <c r="AQ168" s="183">
        <v>103.54424332188337</v>
      </c>
      <c r="AR168" s="183">
        <v>97.251603533552938</v>
      </c>
      <c r="AS168" s="183">
        <v>160.6511278464657</v>
      </c>
      <c r="AT168" s="183">
        <v>167.78562702957194</v>
      </c>
      <c r="AU168" s="183">
        <v>178.61970095564581</v>
      </c>
      <c r="AV168" s="183">
        <v>164.85039352339308</v>
      </c>
      <c r="AW168" s="295" t="s">
        <v>297</v>
      </c>
      <c r="AX168" s="304"/>
    </row>
    <row r="169" spans="1:50" ht="14.25" customHeight="1" x14ac:dyDescent="0.15">
      <c r="A169" s="186" t="s">
        <v>422</v>
      </c>
      <c r="B169" s="296" t="s">
        <v>297</v>
      </c>
      <c r="C169" s="296" t="s">
        <v>297</v>
      </c>
      <c r="D169" s="296" t="s">
        <v>297</v>
      </c>
      <c r="E169" s="296" t="s">
        <v>297</v>
      </c>
      <c r="F169" s="296" t="s">
        <v>297</v>
      </c>
      <c r="G169" s="296" t="s">
        <v>297</v>
      </c>
      <c r="H169" s="296" t="s">
        <v>297</v>
      </c>
      <c r="I169" s="296" t="s">
        <v>297</v>
      </c>
      <c r="J169" s="296" t="s">
        <v>297</v>
      </c>
      <c r="K169" s="296" t="s">
        <v>297</v>
      </c>
      <c r="L169" s="296" t="s">
        <v>297</v>
      </c>
      <c r="M169" s="296" t="s">
        <v>297</v>
      </c>
      <c r="N169" s="296" t="s">
        <v>297</v>
      </c>
      <c r="O169" s="296" t="s">
        <v>297</v>
      </c>
      <c r="P169" s="296" t="s">
        <v>297</v>
      </c>
      <c r="Q169" s="296" t="s">
        <v>297</v>
      </c>
      <c r="R169" s="296" t="s">
        <v>297</v>
      </c>
      <c r="S169" s="296" t="s">
        <v>297</v>
      </c>
      <c r="T169" s="296" t="s">
        <v>297</v>
      </c>
      <c r="U169" s="296" t="s">
        <v>297</v>
      </c>
      <c r="V169" s="296" t="s">
        <v>297</v>
      </c>
      <c r="W169" s="296" t="s">
        <v>297</v>
      </c>
      <c r="X169" s="296" t="s">
        <v>297</v>
      </c>
      <c r="Y169" s="296" t="s">
        <v>297</v>
      </c>
      <c r="Z169" s="296" t="s">
        <v>297</v>
      </c>
      <c r="AA169" s="296" t="s">
        <v>297</v>
      </c>
      <c r="AB169" s="296" t="s">
        <v>297</v>
      </c>
      <c r="AC169" s="296" t="s">
        <v>297</v>
      </c>
      <c r="AD169" s="296" t="s">
        <v>297</v>
      </c>
      <c r="AE169" s="296" t="s">
        <v>297</v>
      </c>
      <c r="AF169" s="185" t="s">
        <v>297</v>
      </c>
      <c r="AG169" s="185" t="s">
        <v>297</v>
      </c>
      <c r="AH169" s="185">
        <v>77.099999999999994</v>
      </c>
      <c r="AI169" s="185">
        <v>81.092808490714418</v>
      </c>
      <c r="AJ169" s="185">
        <v>144.14383722831658</v>
      </c>
      <c r="AK169" s="185">
        <v>127.34044390780002</v>
      </c>
      <c r="AL169" s="185">
        <v>239.98128111233902</v>
      </c>
      <c r="AM169" s="185">
        <v>325.46183619203566</v>
      </c>
      <c r="AN169" s="185">
        <v>354.07741281117472</v>
      </c>
      <c r="AO169" s="185">
        <v>427.37735207924737</v>
      </c>
      <c r="AP169" s="185">
        <v>374.84013785088325</v>
      </c>
      <c r="AQ169" s="185">
        <v>268.36958640250532</v>
      </c>
      <c r="AR169" s="185">
        <v>161.45492060128527</v>
      </c>
      <c r="AS169" s="185">
        <v>154.6377364662653</v>
      </c>
      <c r="AT169" s="185">
        <v>205.34916585970009</v>
      </c>
      <c r="AU169" s="185">
        <v>196.9510201485314</v>
      </c>
      <c r="AV169" s="185">
        <v>186.80490837907266</v>
      </c>
      <c r="AW169" s="296">
        <v>223.67980368046844</v>
      </c>
      <c r="AX169" s="304"/>
    </row>
    <row r="170" spans="1:50" ht="14.25" customHeight="1" x14ac:dyDescent="0.15">
      <c r="A170" s="186" t="s">
        <v>423</v>
      </c>
      <c r="B170" s="295" t="s">
        <v>297</v>
      </c>
      <c r="C170" s="295">
        <v>0</v>
      </c>
      <c r="D170" s="295">
        <v>0.30091386235601358</v>
      </c>
      <c r="E170" s="295">
        <v>0.51780183539431568</v>
      </c>
      <c r="F170" s="295">
        <v>1.2494456823448119</v>
      </c>
      <c r="G170" s="295">
        <v>1.4750901459790429</v>
      </c>
      <c r="H170" s="295">
        <v>0.64189659056228499</v>
      </c>
      <c r="I170" s="295">
        <v>0.52095478616358304</v>
      </c>
      <c r="J170" s="295">
        <v>0.5911879169264711</v>
      </c>
      <c r="K170" s="295">
        <v>0.60818860180713596</v>
      </c>
      <c r="L170" s="295">
        <v>0.56159451351991896</v>
      </c>
      <c r="M170" s="295">
        <v>0.48632220281899302</v>
      </c>
      <c r="N170" s="295">
        <v>0.62578935892382692</v>
      </c>
      <c r="O170" s="295">
        <v>0.74336398413889204</v>
      </c>
      <c r="P170" s="295">
        <v>0.92130324015823495</v>
      </c>
      <c r="Q170" s="295">
        <v>1.1257087759914561</v>
      </c>
      <c r="R170" s="295">
        <v>1.135042779453395</v>
      </c>
      <c r="S170" s="295">
        <v>1.1720845434351628</v>
      </c>
      <c r="T170" s="295">
        <v>0.50178196930123597</v>
      </c>
      <c r="U170" s="295">
        <v>6.6655348663184402</v>
      </c>
      <c r="V170" s="295">
        <v>8.4838748628457683</v>
      </c>
      <c r="W170" s="295">
        <v>6.2374454642704995</v>
      </c>
      <c r="X170" s="295">
        <v>4.9539011971927902</v>
      </c>
      <c r="Y170" s="295">
        <v>1.5012756091805899</v>
      </c>
      <c r="Z170" s="295">
        <v>4.4922088253185901</v>
      </c>
      <c r="AA170" s="295">
        <v>3.5002873152504601</v>
      </c>
      <c r="AB170" s="295">
        <v>2.5608012462566099</v>
      </c>
      <c r="AC170" s="295">
        <v>2.0030900055352499</v>
      </c>
      <c r="AD170" s="295">
        <v>2.8946158380215001</v>
      </c>
      <c r="AE170" s="295">
        <v>2.4190909090909103</v>
      </c>
      <c r="AF170" s="183">
        <v>2.540045454545456</v>
      </c>
      <c r="AG170" s="183">
        <v>2.6707822222613</v>
      </c>
      <c r="AH170" s="183">
        <v>2.6</v>
      </c>
      <c r="AI170" s="183">
        <v>2.5</v>
      </c>
      <c r="AJ170" s="183">
        <v>1.778451390471204</v>
      </c>
      <c r="AK170" s="183">
        <v>2.0505025049999999</v>
      </c>
      <c r="AL170" s="183">
        <v>1.9724414931379</v>
      </c>
      <c r="AM170" s="183">
        <v>4.7607067129902401</v>
      </c>
      <c r="AN170" s="183">
        <v>10.37379225027599</v>
      </c>
      <c r="AO170" s="183">
        <v>1.7781999254436782</v>
      </c>
      <c r="AP170" s="183">
        <v>1.813763923952552</v>
      </c>
      <c r="AQ170" s="183">
        <v>1.8500392024316028</v>
      </c>
      <c r="AR170" s="183">
        <v>-0.41296001351976497</v>
      </c>
      <c r="AS170" s="183">
        <v>0.96607250027259806</v>
      </c>
      <c r="AT170" s="183">
        <v>0.98539395027804999</v>
      </c>
      <c r="AU170" s="183">
        <v>3.2864989264611673</v>
      </c>
      <c r="AV170" s="183">
        <v>2.54672927603754</v>
      </c>
      <c r="AW170" s="295" t="s">
        <v>297</v>
      </c>
      <c r="AX170" s="304"/>
    </row>
    <row r="171" spans="1:50" ht="14.25" customHeight="1" x14ac:dyDescent="0.15">
      <c r="A171" s="186" t="s">
        <v>424</v>
      </c>
      <c r="B171" s="296" t="s">
        <v>297</v>
      </c>
      <c r="C171" s="296" t="s">
        <v>297</v>
      </c>
      <c r="D171" s="296">
        <v>0</v>
      </c>
      <c r="E171" s="296">
        <v>0</v>
      </c>
      <c r="F171" s="296">
        <v>0</v>
      </c>
      <c r="G171" s="296">
        <v>0</v>
      </c>
      <c r="H171" s="296">
        <v>0.25882184082785409</v>
      </c>
      <c r="I171" s="296">
        <v>0.16146605667821262</v>
      </c>
      <c r="J171" s="296">
        <v>0.26520553783030887</v>
      </c>
      <c r="K171" s="296">
        <v>0.1593657244432769</v>
      </c>
      <c r="L171" s="296">
        <v>0.17667280931850918</v>
      </c>
      <c r="M171" s="296">
        <v>0.11185589646344724</v>
      </c>
      <c r="N171" s="296">
        <v>0.15862513136143691</v>
      </c>
      <c r="O171" s="296">
        <v>0.15993069669809765</v>
      </c>
      <c r="P171" s="296">
        <v>0.19895420862689425</v>
      </c>
      <c r="Q171" s="296">
        <v>0.6880347759099803</v>
      </c>
      <c r="R171" s="296">
        <v>0.87017124089691866</v>
      </c>
      <c r="S171" s="296">
        <v>6.6674430889683237E-2</v>
      </c>
      <c r="T171" s="296">
        <v>7.9829614584206843E-2</v>
      </c>
      <c r="U171" s="296">
        <v>0.32194855285417961</v>
      </c>
      <c r="V171" s="296">
        <v>0</v>
      </c>
      <c r="W171" s="296">
        <v>0</v>
      </c>
      <c r="X171" s="296">
        <v>0</v>
      </c>
      <c r="Y171" s="296">
        <v>0.16327517334796607</v>
      </c>
      <c r="Z171" s="296">
        <v>0.20601985927241789</v>
      </c>
      <c r="AA171" s="296">
        <v>0.82800979864969837</v>
      </c>
      <c r="AB171" s="296">
        <v>1.2622887196151671</v>
      </c>
      <c r="AC171" s="296">
        <v>2.3772841788891467E-4</v>
      </c>
      <c r="AD171" s="296">
        <v>0</v>
      </c>
      <c r="AE171" s="296">
        <v>0</v>
      </c>
      <c r="AF171" s="185">
        <v>0</v>
      </c>
      <c r="AG171" s="185">
        <v>0</v>
      </c>
      <c r="AH171" s="185">
        <v>0</v>
      </c>
      <c r="AI171" s="185">
        <v>0</v>
      </c>
      <c r="AJ171" s="185" t="s">
        <v>297</v>
      </c>
      <c r="AK171" s="185" t="s">
        <v>297</v>
      </c>
      <c r="AL171" s="185" t="s">
        <v>297</v>
      </c>
      <c r="AM171" s="185" t="s">
        <v>297</v>
      </c>
      <c r="AN171" s="185" t="s">
        <v>297</v>
      </c>
      <c r="AO171" s="185" t="s">
        <v>297</v>
      </c>
      <c r="AP171" s="185" t="s">
        <v>297</v>
      </c>
      <c r="AQ171" s="185">
        <v>0</v>
      </c>
      <c r="AR171" s="185">
        <v>0</v>
      </c>
      <c r="AS171" s="185">
        <v>0</v>
      </c>
      <c r="AT171" s="185">
        <v>0</v>
      </c>
      <c r="AU171" s="185">
        <v>0</v>
      </c>
      <c r="AV171" s="185">
        <v>0</v>
      </c>
      <c r="AW171" s="296" t="s">
        <v>297</v>
      </c>
      <c r="AX171" s="304"/>
    </row>
    <row r="172" spans="1:50" ht="14.25" customHeight="1" x14ac:dyDescent="0.15">
      <c r="A172" s="186" t="s">
        <v>62</v>
      </c>
      <c r="B172" s="295">
        <v>0</v>
      </c>
      <c r="C172" s="295">
        <v>0</v>
      </c>
      <c r="D172" s="295">
        <v>0</v>
      </c>
      <c r="E172" s="295">
        <v>0</v>
      </c>
      <c r="F172" s="295">
        <v>0</v>
      </c>
      <c r="G172" s="295">
        <v>0</v>
      </c>
      <c r="H172" s="295">
        <v>0</v>
      </c>
      <c r="I172" s="295">
        <v>0</v>
      </c>
      <c r="J172" s="295">
        <v>0</v>
      </c>
      <c r="K172" s="295">
        <v>0</v>
      </c>
      <c r="L172" s="295">
        <v>0</v>
      </c>
      <c r="M172" s="295">
        <v>0</v>
      </c>
      <c r="N172" s="295" t="s">
        <v>297</v>
      </c>
      <c r="O172" s="295" t="s">
        <v>297</v>
      </c>
      <c r="P172" s="295" t="s">
        <v>297</v>
      </c>
      <c r="Q172" s="295" t="s">
        <v>297</v>
      </c>
      <c r="R172" s="295" t="s">
        <v>297</v>
      </c>
      <c r="S172" s="295" t="s">
        <v>297</v>
      </c>
      <c r="T172" s="295" t="s">
        <v>297</v>
      </c>
      <c r="U172" s="295" t="s">
        <v>297</v>
      </c>
      <c r="V172" s="295" t="s">
        <v>297</v>
      </c>
      <c r="W172" s="295" t="s">
        <v>297</v>
      </c>
      <c r="X172" s="295" t="s">
        <v>297</v>
      </c>
      <c r="Y172" s="295" t="s">
        <v>297</v>
      </c>
      <c r="Z172" s="295" t="s">
        <v>297</v>
      </c>
      <c r="AA172" s="295" t="s">
        <v>297</v>
      </c>
      <c r="AB172" s="295" t="s">
        <v>297</v>
      </c>
      <c r="AC172" s="295" t="s">
        <v>297</v>
      </c>
      <c r="AD172" s="295" t="s">
        <v>297</v>
      </c>
      <c r="AE172" s="295" t="s">
        <v>297</v>
      </c>
      <c r="AF172" s="183" t="s">
        <v>297</v>
      </c>
      <c r="AG172" s="183" t="s">
        <v>297</v>
      </c>
      <c r="AH172" s="183" t="s">
        <v>297</v>
      </c>
      <c r="AI172" s="183" t="s">
        <v>297</v>
      </c>
      <c r="AJ172" s="183" t="s">
        <v>297</v>
      </c>
      <c r="AK172" s="183" t="s">
        <v>297</v>
      </c>
      <c r="AL172" s="183" t="s">
        <v>297</v>
      </c>
      <c r="AM172" s="183" t="s">
        <v>297</v>
      </c>
      <c r="AN172" s="183" t="s">
        <v>297</v>
      </c>
      <c r="AO172" s="183" t="s">
        <v>297</v>
      </c>
      <c r="AP172" s="183" t="s">
        <v>297</v>
      </c>
      <c r="AQ172" s="183" t="s">
        <v>297</v>
      </c>
      <c r="AR172" s="183" t="s">
        <v>297</v>
      </c>
      <c r="AS172" s="183" t="s">
        <v>297</v>
      </c>
      <c r="AT172" s="183" t="s">
        <v>297</v>
      </c>
      <c r="AU172" s="183" t="s">
        <v>297</v>
      </c>
      <c r="AV172" s="183" t="s">
        <v>297</v>
      </c>
      <c r="AW172" s="295" t="s">
        <v>297</v>
      </c>
      <c r="AX172" s="304"/>
    </row>
    <row r="173" spans="1:50" ht="14.25" customHeight="1" x14ac:dyDescent="0.15">
      <c r="A173" s="186" t="s">
        <v>425</v>
      </c>
      <c r="B173" s="296" t="s">
        <v>297</v>
      </c>
      <c r="C173" s="296" t="s">
        <v>297</v>
      </c>
      <c r="D173" s="296" t="s">
        <v>297</v>
      </c>
      <c r="E173" s="296" t="s">
        <v>297</v>
      </c>
      <c r="F173" s="296" t="s">
        <v>297</v>
      </c>
      <c r="G173" s="296" t="s">
        <v>297</v>
      </c>
      <c r="H173" s="296" t="s">
        <v>297</v>
      </c>
      <c r="I173" s="296" t="s">
        <v>297</v>
      </c>
      <c r="J173" s="296" t="s">
        <v>297</v>
      </c>
      <c r="K173" s="296" t="s">
        <v>297</v>
      </c>
      <c r="L173" s="296" t="s">
        <v>297</v>
      </c>
      <c r="M173" s="296" t="s">
        <v>297</v>
      </c>
      <c r="N173" s="296" t="s">
        <v>297</v>
      </c>
      <c r="O173" s="296" t="s">
        <v>297</v>
      </c>
      <c r="P173" s="296" t="s">
        <v>297</v>
      </c>
      <c r="Q173" s="296" t="s">
        <v>297</v>
      </c>
      <c r="R173" s="296" t="s">
        <v>297</v>
      </c>
      <c r="S173" s="296" t="s">
        <v>297</v>
      </c>
      <c r="T173" s="296" t="s">
        <v>297</v>
      </c>
      <c r="U173" s="296" t="s">
        <v>297</v>
      </c>
      <c r="V173" s="296" t="s">
        <v>297</v>
      </c>
      <c r="W173" s="296" t="s">
        <v>297</v>
      </c>
      <c r="X173" s="296" t="s">
        <v>297</v>
      </c>
      <c r="Y173" s="296" t="s">
        <v>297</v>
      </c>
      <c r="Z173" s="296" t="s">
        <v>297</v>
      </c>
      <c r="AA173" s="296" t="s">
        <v>297</v>
      </c>
      <c r="AB173" s="296" t="s">
        <v>297</v>
      </c>
      <c r="AC173" s="296" t="s">
        <v>297</v>
      </c>
      <c r="AD173" s="296" t="s">
        <v>297</v>
      </c>
      <c r="AE173" s="296" t="s">
        <v>297</v>
      </c>
      <c r="AF173" s="185" t="s">
        <v>297</v>
      </c>
      <c r="AG173" s="185" t="s">
        <v>297</v>
      </c>
      <c r="AH173" s="185" t="s">
        <v>297</v>
      </c>
      <c r="AI173" s="185" t="s">
        <v>297</v>
      </c>
      <c r="AJ173" s="185" t="s">
        <v>297</v>
      </c>
      <c r="AK173" s="185" t="s">
        <v>297</v>
      </c>
      <c r="AL173" s="185">
        <v>0.3</v>
      </c>
      <c r="AM173" s="185">
        <v>0.30502793296089387</v>
      </c>
      <c r="AN173" s="185">
        <v>0</v>
      </c>
      <c r="AO173" s="185">
        <v>0.2960893854748603</v>
      </c>
      <c r="AP173" s="185">
        <v>0</v>
      </c>
      <c r="AQ173" s="185">
        <v>0.24022346368715083</v>
      </c>
      <c r="AR173" s="185">
        <v>1.9888268156424582</v>
      </c>
      <c r="AS173" s="185">
        <v>0</v>
      </c>
      <c r="AT173" s="185">
        <v>2.6025992737430168</v>
      </c>
      <c r="AU173" s="185">
        <v>2.6569089664804468</v>
      </c>
      <c r="AV173" s="185">
        <v>3.3074134301675979</v>
      </c>
      <c r="AW173" s="296" t="s">
        <v>297</v>
      </c>
      <c r="AX173" s="304"/>
    </row>
    <row r="174" spans="1:50" ht="14.25" customHeight="1" x14ac:dyDescent="0.15">
      <c r="A174" s="186" t="s">
        <v>203</v>
      </c>
      <c r="B174" s="295" t="s">
        <v>297</v>
      </c>
      <c r="C174" s="295" t="s">
        <v>297</v>
      </c>
      <c r="D174" s="295" t="s">
        <v>297</v>
      </c>
      <c r="E174" s="295" t="s">
        <v>297</v>
      </c>
      <c r="F174" s="295" t="s">
        <v>297</v>
      </c>
      <c r="G174" s="295" t="s">
        <v>297</v>
      </c>
      <c r="H174" s="295" t="s">
        <v>297</v>
      </c>
      <c r="I174" s="295" t="s">
        <v>297</v>
      </c>
      <c r="J174" s="295" t="s">
        <v>297</v>
      </c>
      <c r="K174" s="295" t="s">
        <v>297</v>
      </c>
      <c r="L174" s="295" t="s">
        <v>297</v>
      </c>
      <c r="M174" s="295" t="s">
        <v>297</v>
      </c>
      <c r="N174" s="295" t="s">
        <v>297</v>
      </c>
      <c r="O174" s="295" t="s">
        <v>297</v>
      </c>
      <c r="P174" s="295" t="s">
        <v>297</v>
      </c>
      <c r="Q174" s="295" t="s">
        <v>297</v>
      </c>
      <c r="R174" s="295" t="s">
        <v>297</v>
      </c>
      <c r="S174" s="295" t="s">
        <v>297</v>
      </c>
      <c r="T174" s="295" t="s">
        <v>297</v>
      </c>
      <c r="U174" s="295">
        <v>0</v>
      </c>
      <c r="V174" s="295">
        <v>3.4106412005457026E-2</v>
      </c>
      <c r="W174" s="295">
        <v>0.82326614595354664</v>
      </c>
      <c r="X174" s="295">
        <v>0.59538736858025854</v>
      </c>
      <c r="Y174" s="295">
        <v>9.0822386318984218</v>
      </c>
      <c r="Z174" s="295">
        <v>12.190028619147467</v>
      </c>
      <c r="AA174" s="295">
        <v>26.239504454859954</v>
      </c>
      <c r="AB174" s="295">
        <v>9.9898599206211376</v>
      </c>
      <c r="AC174" s="295">
        <v>9.7003127619020031</v>
      </c>
      <c r="AD174" s="295">
        <v>19.372326847451408</v>
      </c>
      <c r="AE174" s="295">
        <v>112.1</v>
      </c>
      <c r="AF174" s="183">
        <v>30.934686195374589</v>
      </c>
      <c r="AG174" s="183">
        <v>234.64959633109211</v>
      </c>
      <c r="AH174" s="183">
        <v>175.99067960441056</v>
      </c>
      <c r="AI174" s="183">
        <v>403.39226269321108</v>
      </c>
      <c r="AJ174" s="183">
        <v>447.08085076763234</v>
      </c>
      <c r="AK174" s="183">
        <v>397.53803629278354</v>
      </c>
      <c r="AL174" s="183">
        <v>337.97621238909409</v>
      </c>
      <c r="AM174" s="183">
        <v>163.49023189619015</v>
      </c>
      <c r="AN174" s="183">
        <v>282.01573941645091</v>
      </c>
      <c r="AO174" s="183">
        <v>799.20173071431395</v>
      </c>
      <c r="AP174" s="183">
        <v>335.25624244285285</v>
      </c>
      <c r="AQ174" s="183">
        <v>181.85762793368983</v>
      </c>
      <c r="AR174" s="183">
        <v>351.65320179756321</v>
      </c>
      <c r="AS174" s="183">
        <v>389.88020129342505</v>
      </c>
      <c r="AT174" s="183">
        <v>368.58871082239813</v>
      </c>
      <c r="AU174" s="183">
        <v>349.31487447585874</v>
      </c>
      <c r="AV174" s="183">
        <v>354.97622294372252</v>
      </c>
      <c r="AW174" s="295">
        <v>505.65793344155998</v>
      </c>
      <c r="AX174" s="304"/>
    </row>
    <row r="175" spans="1:50" ht="14.25" customHeight="1" x14ac:dyDescent="0.15">
      <c r="A175" s="186" t="s">
        <v>204</v>
      </c>
      <c r="B175" s="296" t="s">
        <v>297</v>
      </c>
      <c r="C175" s="296" t="s">
        <v>297</v>
      </c>
      <c r="D175" s="296" t="s">
        <v>297</v>
      </c>
      <c r="E175" s="296" t="s">
        <v>297</v>
      </c>
      <c r="F175" s="296" t="s">
        <v>297</v>
      </c>
      <c r="G175" s="296" t="s">
        <v>297</v>
      </c>
      <c r="H175" s="296" t="s">
        <v>297</v>
      </c>
      <c r="I175" s="296" t="s">
        <v>297</v>
      </c>
      <c r="J175" s="296" t="s">
        <v>297</v>
      </c>
      <c r="K175" s="296" t="s">
        <v>297</v>
      </c>
      <c r="L175" s="296" t="s">
        <v>297</v>
      </c>
      <c r="M175" s="296" t="s">
        <v>297</v>
      </c>
      <c r="N175" s="296" t="s">
        <v>297</v>
      </c>
      <c r="O175" s="296" t="s">
        <v>297</v>
      </c>
      <c r="P175" s="296" t="s">
        <v>297</v>
      </c>
      <c r="Q175" s="296" t="s">
        <v>297</v>
      </c>
      <c r="R175" s="296" t="s">
        <v>297</v>
      </c>
      <c r="S175" s="296">
        <v>7.7</v>
      </c>
      <c r="T175" s="296">
        <v>2.8</v>
      </c>
      <c r="U175" s="296">
        <v>-2.1</v>
      </c>
      <c r="V175" s="296">
        <v>-1.4</v>
      </c>
      <c r="W175" s="296">
        <v>5.5</v>
      </c>
      <c r="X175" s="296">
        <v>10.7</v>
      </c>
      <c r="Y175" s="296">
        <v>-12.5</v>
      </c>
      <c r="Z175" s="296">
        <v>6.8</v>
      </c>
      <c r="AA175" s="296">
        <v>22.6</v>
      </c>
      <c r="AB175" s="296">
        <v>4.4000000000000004</v>
      </c>
      <c r="AC175" s="296">
        <v>-4</v>
      </c>
      <c r="AD175" s="296">
        <v>23.5</v>
      </c>
      <c r="AE175" s="296">
        <v>32.4</v>
      </c>
      <c r="AF175" s="185">
        <v>82.2</v>
      </c>
      <c r="AG175" s="185">
        <v>219.91957044523886</v>
      </c>
      <c r="AH175" s="185">
        <v>288.50063293494514</v>
      </c>
      <c r="AI175" s="185">
        <v>172.9</v>
      </c>
      <c r="AJ175" s="185">
        <v>-201.37992318350493</v>
      </c>
      <c r="AK175" s="185">
        <v>-378.55401274631822</v>
      </c>
      <c r="AL175" s="185">
        <v>-126.2019077706567</v>
      </c>
      <c r="AM175" s="185">
        <v>-434.18119207039183</v>
      </c>
      <c r="AN175" s="185">
        <v>-592.97038916848578</v>
      </c>
      <c r="AO175" s="185">
        <v>-126.51608462266439</v>
      </c>
      <c r="AP175" s="185">
        <v>21.545452796979422</v>
      </c>
      <c r="AQ175" s="185">
        <v>147.65699791556884</v>
      </c>
      <c r="AR175" s="185">
        <v>198.00331665517174</v>
      </c>
      <c r="AS175" s="185">
        <v>331.85168584005623</v>
      </c>
      <c r="AT175" s="185">
        <v>356.51121407318425</v>
      </c>
      <c r="AU175" s="185">
        <v>262.91899207740761</v>
      </c>
      <c r="AV175" s="185">
        <v>563.07675096226774</v>
      </c>
      <c r="AW175" s="296">
        <v>538.95688941232584</v>
      </c>
      <c r="AX175" s="304"/>
    </row>
    <row r="176" spans="1:50" ht="14.25" customHeight="1" x14ac:dyDescent="0.15">
      <c r="A176" s="186" t="s">
        <v>426</v>
      </c>
      <c r="B176" s="295">
        <v>0</v>
      </c>
      <c r="C176" s="295">
        <v>0</v>
      </c>
      <c r="D176" s="295">
        <v>0</v>
      </c>
      <c r="E176" s="295">
        <v>0</v>
      </c>
      <c r="F176" s="295">
        <v>0</v>
      </c>
      <c r="G176" s="295">
        <v>0</v>
      </c>
      <c r="H176" s="295">
        <v>0</v>
      </c>
      <c r="I176" s="295">
        <v>0</v>
      </c>
      <c r="J176" s="295">
        <v>0</v>
      </c>
      <c r="K176" s="295">
        <v>0</v>
      </c>
      <c r="L176" s="295">
        <v>0</v>
      </c>
      <c r="M176" s="295">
        <v>0</v>
      </c>
      <c r="N176" s="295">
        <v>0</v>
      </c>
      <c r="O176" s="295">
        <v>0</v>
      </c>
      <c r="P176" s="295">
        <v>0</v>
      </c>
      <c r="Q176" s="295">
        <v>0</v>
      </c>
      <c r="R176" s="295">
        <v>0</v>
      </c>
      <c r="S176" s="295">
        <v>0</v>
      </c>
      <c r="T176" s="295">
        <v>0.125481010540405</v>
      </c>
      <c r="U176" s="295">
        <v>0.4861214847973106</v>
      </c>
      <c r="V176" s="295">
        <v>0.23488652044980771</v>
      </c>
      <c r="W176" s="295">
        <v>0.64491556513063109</v>
      </c>
      <c r="X176" s="295">
        <v>0.29594222848981999</v>
      </c>
      <c r="Y176" s="295">
        <v>0.39454701417029414</v>
      </c>
      <c r="Z176" s="295">
        <v>0</v>
      </c>
      <c r="AA176" s="295">
        <v>7.8601972221735553E-2</v>
      </c>
      <c r="AB176" s="295">
        <v>0.39733724491584499</v>
      </c>
      <c r="AC176" s="295">
        <v>1.726239947411449E-4</v>
      </c>
      <c r="AD176" s="295">
        <v>2.2115806560766869E-2</v>
      </c>
      <c r="AE176" s="295">
        <v>1.0622941947483959E-3</v>
      </c>
      <c r="AF176" s="183">
        <v>0.11933574404723456</v>
      </c>
      <c r="AG176" s="183">
        <v>0.4</v>
      </c>
      <c r="AH176" s="183">
        <v>2.0774062175607515</v>
      </c>
      <c r="AI176" s="183">
        <v>3.5280022793380623</v>
      </c>
      <c r="AJ176" s="183">
        <v>2.5341136338798922</v>
      </c>
      <c r="AK176" s="183">
        <v>2.5725744112198501</v>
      </c>
      <c r="AL176" s="183">
        <v>3.96417192631993</v>
      </c>
      <c r="AM176" s="183">
        <v>3.4464900142430777</v>
      </c>
      <c r="AN176" s="183">
        <v>3.8666589201681623</v>
      </c>
      <c r="AO176" s="183">
        <v>4.3100604671742628</v>
      </c>
      <c r="AP176" s="183">
        <v>4.1729951080661687</v>
      </c>
      <c r="AQ176" s="183">
        <v>4.5639451982940633</v>
      </c>
      <c r="AR176" s="183">
        <v>4.8860652876385187</v>
      </c>
      <c r="AS176" s="183">
        <v>5.437577657190416</v>
      </c>
      <c r="AT176" s="183">
        <v>5.640321252707766</v>
      </c>
      <c r="AU176" s="183">
        <v>5.8719093185495268</v>
      </c>
      <c r="AV176" s="183">
        <v>5.923837250128317</v>
      </c>
      <c r="AW176" s="295">
        <v>6.3821005039821941</v>
      </c>
      <c r="AX176" s="304"/>
    </row>
    <row r="177" spans="1:50" ht="14.25" customHeight="1" x14ac:dyDescent="0.15">
      <c r="A177" s="186" t="s">
        <v>427</v>
      </c>
      <c r="B177" s="296" t="s">
        <v>297</v>
      </c>
      <c r="C177" s="296" t="s">
        <v>297</v>
      </c>
      <c r="D177" s="296" t="s">
        <v>297</v>
      </c>
      <c r="E177" s="296" t="s">
        <v>297</v>
      </c>
      <c r="F177" s="296" t="s">
        <v>297</v>
      </c>
      <c r="G177" s="296" t="s">
        <v>297</v>
      </c>
      <c r="H177" s="296" t="s">
        <v>297</v>
      </c>
      <c r="I177" s="296" t="s">
        <v>297</v>
      </c>
      <c r="J177" s="296" t="s">
        <v>297</v>
      </c>
      <c r="K177" s="296" t="s">
        <v>297</v>
      </c>
      <c r="L177" s="296" t="s">
        <v>297</v>
      </c>
      <c r="M177" s="296" t="s">
        <v>297</v>
      </c>
      <c r="N177" s="296" t="s">
        <v>297</v>
      </c>
      <c r="O177" s="296" t="s">
        <v>297</v>
      </c>
      <c r="P177" s="296" t="s">
        <v>297</v>
      </c>
      <c r="Q177" s="296" t="s">
        <v>297</v>
      </c>
      <c r="R177" s="296" t="s">
        <v>297</v>
      </c>
      <c r="S177" s="296" t="s">
        <v>297</v>
      </c>
      <c r="T177" s="296" t="s">
        <v>297</v>
      </c>
      <c r="U177" s="296" t="s">
        <v>297</v>
      </c>
      <c r="V177" s="296" t="s">
        <v>297</v>
      </c>
      <c r="W177" s="296" t="s">
        <v>297</v>
      </c>
      <c r="X177" s="296" t="s">
        <v>297</v>
      </c>
      <c r="Y177" s="296" t="s">
        <v>297</v>
      </c>
      <c r="Z177" s="296" t="s">
        <v>297</v>
      </c>
      <c r="AA177" s="296" t="s">
        <v>297</v>
      </c>
      <c r="AB177" s="296" t="s">
        <v>297</v>
      </c>
      <c r="AC177" s="296" t="s">
        <v>297</v>
      </c>
      <c r="AD177" s="296" t="s">
        <v>297</v>
      </c>
      <c r="AE177" s="296" t="s">
        <v>297</v>
      </c>
      <c r="AF177" s="185" t="s">
        <v>297</v>
      </c>
      <c r="AG177" s="185" t="s">
        <v>297</v>
      </c>
      <c r="AH177" s="185" t="s">
        <v>297</v>
      </c>
      <c r="AI177" s="185" t="s">
        <v>297</v>
      </c>
      <c r="AJ177" s="185" t="s">
        <v>297</v>
      </c>
      <c r="AK177" s="185" t="s">
        <v>297</v>
      </c>
      <c r="AL177" s="185" t="s">
        <v>297</v>
      </c>
      <c r="AM177" s="185" t="s">
        <v>297</v>
      </c>
      <c r="AN177" s="185" t="s">
        <v>297</v>
      </c>
      <c r="AO177" s="185" t="s">
        <v>297</v>
      </c>
      <c r="AP177" s="185" t="s">
        <v>297</v>
      </c>
      <c r="AQ177" s="185" t="s">
        <v>297</v>
      </c>
      <c r="AR177" s="185" t="s">
        <v>297</v>
      </c>
      <c r="AS177" s="185" t="s">
        <v>297</v>
      </c>
      <c r="AT177" s="185" t="s">
        <v>297</v>
      </c>
      <c r="AU177" s="185" t="s">
        <v>297</v>
      </c>
      <c r="AV177" s="185" t="s">
        <v>297</v>
      </c>
      <c r="AW177" s="296" t="s">
        <v>297</v>
      </c>
      <c r="AX177" s="304"/>
    </row>
    <row r="178" spans="1:50" ht="14.25" customHeight="1" x14ac:dyDescent="0.15">
      <c r="A178" s="186" t="s">
        <v>86</v>
      </c>
      <c r="B178" s="295">
        <v>193.6537838555233</v>
      </c>
      <c r="C178" s="295">
        <v>240.34999979100002</v>
      </c>
      <c r="D178" s="295">
        <v>172.49999984999999</v>
      </c>
      <c r="E178" s="295">
        <v>272.54999976300002</v>
      </c>
      <c r="F178" s="295">
        <v>335.3513564599445</v>
      </c>
      <c r="G178" s="295">
        <v>315.56044513425002</v>
      </c>
      <c r="H178" s="295">
        <v>308.54377377571586</v>
      </c>
      <c r="I178" s="295">
        <v>192.64387476476961</v>
      </c>
      <c r="J178" s="295">
        <v>393.45189147251494</v>
      </c>
      <c r="K178" s="295">
        <v>315.9079025419191</v>
      </c>
      <c r="L178" s="295">
        <v>595.46229914172773</v>
      </c>
      <c r="M178" s="295">
        <v>806.6456364149019</v>
      </c>
      <c r="N178" s="295">
        <v>997.71409332147266</v>
      </c>
      <c r="O178" s="295">
        <v>900.41922433543971</v>
      </c>
      <c r="P178" s="295">
        <v>814.63748995481637</v>
      </c>
      <c r="Q178" s="295">
        <v>344.56706232561731</v>
      </c>
      <c r="R178" s="295">
        <v>483.04287157068825</v>
      </c>
      <c r="S178" s="295">
        <v>584.84735534367769</v>
      </c>
      <c r="T178" s="295">
        <v>426.71836463718228</v>
      </c>
      <c r="U178" s="295">
        <v>567.04969460775658</v>
      </c>
      <c r="V178" s="295">
        <v>655.07457182876965</v>
      </c>
      <c r="W178" s="295">
        <v>637.60019966184416</v>
      </c>
      <c r="X178" s="295">
        <v>616.8995325865983</v>
      </c>
      <c r="Y178" s="295">
        <v>444.79462162764787</v>
      </c>
      <c r="Z178" s="295">
        <v>589.94649611722855</v>
      </c>
      <c r="AA178" s="295">
        <v>756.41197257921931</v>
      </c>
      <c r="AB178" s="295">
        <v>578.2044046739868</v>
      </c>
      <c r="AC178" s="295">
        <v>441.6</v>
      </c>
      <c r="AD178" s="295">
        <v>630.86769823376255</v>
      </c>
      <c r="AE178" s="295">
        <v>736.77141625582806</v>
      </c>
      <c r="AF178" s="183">
        <v>1061.1112065616226</v>
      </c>
      <c r="AG178" s="183">
        <v>937.92511093418727</v>
      </c>
      <c r="AH178" s="183">
        <v>1090.1366645204048</v>
      </c>
      <c r="AI178" s="183">
        <v>743.5380223030977</v>
      </c>
      <c r="AJ178" s="183">
        <v>594.93175036988737</v>
      </c>
      <c r="AK178" s="183">
        <v>738.93149533753376</v>
      </c>
      <c r="AL178" s="183">
        <v>741.07644032896803</v>
      </c>
      <c r="AM178" s="183">
        <v>1051.4096984670555</v>
      </c>
      <c r="AN178" s="183">
        <v>1741.8943141325981</v>
      </c>
      <c r="AO178" s="183">
        <v>2245.9880739175273</v>
      </c>
      <c r="AP178" s="183">
        <v>2861.8949392464233</v>
      </c>
      <c r="AQ178" s="183">
        <v>1700.301383341709</v>
      </c>
      <c r="AR178" s="183">
        <v>1896.6250886248595</v>
      </c>
      <c r="AS178" s="183">
        <v>2268.0839563952973</v>
      </c>
      <c r="AT178" s="183">
        <v>3057.2332046212532</v>
      </c>
      <c r="AU178" s="183">
        <v>3312.1341197037773</v>
      </c>
      <c r="AV178" s="183">
        <v>4444.3245682151801</v>
      </c>
      <c r="AW178" s="295">
        <v>4543.8824027584096</v>
      </c>
      <c r="AX178" s="304"/>
    </row>
    <row r="179" spans="1:50" ht="14.25" customHeight="1" x14ac:dyDescent="0.15">
      <c r="A179" s="186" t="s">
        <v>428</v>
      </c>
      <c r="B179" s="296" t="s">
        <v>297</v>
      </c>
      <c r="C179" s="296" t="s">
        <v>297</v>
      </c>
      <c r="D179" s="296" t="s">
        <v>297</v>
      </c>
      <c r="E179" s="296" t="s">
        <v>297</v>
      </c>
      <c r="F179" s="296" t="s">
        <v>297</v>
      </c>
      <c r="G179" s="296" t="s">
        <v>297</v>
      </c>
      <c r="H179" s="296" t="s">
        <v>297</v>
      </c>
      <c r="I179" s="296" t="s">
        <v>297</v>
      </c>
      <c r="J179" s="296" t="s">
        <v>297</v>
      </c>
      <c r="K179" s="296" t="s">
        <v>297</v>
      </c>
      <c r="L179" s="296" t="s">
        <v>297</v>
      </c>
      <c r="M179" s="296" t="s">
        <v>297</v>
      </c>
      <c r="N179" s="296" t="s">
        <v>297</v>
      </c>
      <c r="O179" s="296" t="s">
        <v>297</v>
      </c>
      <c r="P179" s="296" t="s">
        <v>297</v>
      </c>
      <c r="Q179" s="296" t="s">
        <v>297</v>
      </c>
      <c r="R179" s="296" t="s">
        <v>297</v>
      </c>
      <c r="S179" s="296" t="s">
        <v>297</v>
      </c>
      <c r="T179" s="296" t="s">
        <v>297</v>
      </c>
      <c r="U179" s="296" t="s">
        <v>297</v>
      </c>
      <c r="V179" s="296" t="s">
        <v>297</v>
      </c>
      <c r="W179" s="296" t="s">
        <v>297</v>
      </c>
      <c r="X179" s="296" t="s">
        <v>297</v>
      </c>
      <c r="Y179" s="296" t="s">
        <v>297</v>
      </c>
      <c r="Z179" s="296" t="s">
        <v>297</v>
      </c>
      <c r="AA179" s="296" t="s">
        <v>297</v>
      </c>
      <c r="AB179" s="296" t="s">
        <v>297</v>
      </c>
      <c r="AC179" s="296" t="s">
        <v>297</v>
      </c>
      <c r="AD179" s="296" t="s">
        <v>297</v>
      </c>
      <c r="AE179" s="296" t="s">
        <v>297</v>
      </c>
      <c r="AF179" s="185" t="s">
        <v>297</v>
      </c>
      <c r="AG179" s="185" t="s">
        <v>297</v>
      </c>
      <c r="AH179" s="185" t="s">
        <v>297</v>
      </c>
      <c r="AI179" s="185" t="s">
        <v>297</v>
      </c>
      <c r="AJ179" s="185" t="s">
        <v>297</v>
      </c>
      <c r="AK179" s="185" t="s">
        <v>297</v>
      </c>
      <c r="AL179" s="185" t="s">
        <v>297</v>
      </c>
      <c r="AM179" s="185" t="s">
        <v>297</v>
      </c>
      <c r="AN179" s="185" t="s">
        <v>297</v>
      </c>
      <c r="AO179" s="185" t="s">
        <v>297</v>
      </c>
      <c r="AP179" s="185">
        <v>2.98</v>
      </c>
      <c r="AQ179" s="185">
        <v>3.9923999999999999</v>
      </c>
      <c r="AR179" s="185">
        <v>182.35</v>
      </c>
      <c r="AS179" s="185">
        <v>0.02</v>
      </c>
      <c r="AT179" s="185">
        <v>0.25</v>
      </c>
      <c r="AU179" s="185" t="s">
        <v>297</v>
      </c>
      <c r="AV179" s="185" t="s">
        <v>297</v>
      </c>
      <c r="AW179" s="296" t="s">
        <v>297</v>
      </c>
      <c r="AX179" s="304"/>
    </row>
    <row r="180" spans="1:50" ht="14.25" customHeight="1" x14ac:dyDescent="0.15">
      <c r="A180" s="186" t="s">
        <v>72</v>
      </c>
      <c r="B180" s="295">
        <v>0</v>
      </c>
      <c r="C180" s="295">
        <v>2.9366360473129265</v>
      </c>
      <c r="D180" s="295">
        <v>53.831334687008336</v>
      </c>
      <c r="E180" s="295">
        <v>60.576719815503068</v>
      </c>
      <c r="F180" s="295">
        <v>22.824283965170196</v>
      </c>
      <c r="G180" s="295">
        <v>69.716764953600205</v>
      </c>
      <c r="H180" s="295">
        <v>101.73758125979631</v>
      </c>
      <c r="I180" s="295">
        <v>138.23499838111948</v>
      </c>
      <c r="J180" s="295">
        <v>123.69399241073978</v>
      </c>
      <c r="K180" s="295">
        <v>105.25112164571956</v>
      </c>
      <c r="L180" s="295">
        <v>129.24857941101359</v>
      </c>
      <c r="M180" s="295">
        <v>135.5667463098217</v>
      </c>
      <c r="N180" s="295">
        <v>146.42263158424245</v>
      </c>
      <c r="O180" s="295">
        <v>296.21492704412236</v>
      </c>
      <c r="P180" s="295">
        <v>371.24743452610994</v>
      </c>
      <c r="Q180" s="295">
        <v>351.5480087870618</v>
      </c>
      <c r="R180" s="295">
        <v>494.68526554491638</v>
      </c>
      <c r="S180" s="295">
        <v>560.7193431354541</v>
      </c>
      <c r="T180" s="295">
        <v>338.50131181324491</v>
      </c>
      <c r="U180" s="295">
        <v>421.73381089717617</v>
      </c>
      <c r="V180" s="295">
        <v>942.40679208257677</v>
      </c>
      <c r="W180" s="295">
        <v>1893.390173627068</v>
      </c>
      <c r="X180" s="295">
        <v>2494.863759772873</v>
      </c>
      <c r="Y180" s="295">
        <v>2351.5089256475922</v>
      </c>
      <c r="Z180" s="295" t="s">
        <v>297</v>
      </c>
      <c r="AA180" s="295" t="s">
        <v>297</v>
      </c>
      <c r="AB180" s="295" t="s">
        <v>297</v>
      </c>
      <c r="AC180" s="295" t="s">
        <v>297</v>
      </c>
      <c r="AD180" s="295" t="s">
        <v>297</v>
      </c>
      <c r="AE180" s="295" t="s">
        <v>297</v>
      </c>
      <c r="AF180" s="183" t="s">
        <v>297</v>
      </c>
      <c r="AG180" s="183" t="s">
        <v>297</v>
      </c>
      <c r="AH180" s="183" t="s">
        <v>297</v>
      </c>
      <c r="AI180" s="183" t="s">
        <v>297</v>
      </c>
      <c r="AJ180" s="183" t="s">
        <v>297</v>
      </c>
      <c r="AK180" s="183" t="s">
        <v>297</v>
      </c>
      <c r="AL180" s="183" t="s">
        <v>297</v>
      </c>
      <c r="AM180" s="183" t="s">
        <v>297</v>
      </c>
      <c r="AN180" s="183">
        <v>39910.38220365603</v>
      </c>
      <c r="AO180" s="183">
        <v>37704.781062605398</v>
      </c>
      <c r="AP180" s="183">
        <v>33676.978574339155</v>
      </c>
      <c r="AQ180" s="183">
        <v>35666.006656588048</v>
      </c>
      <c r="AR180" s="183">
        <v>37827.515738269954</v>
      </c>
      <c r="AS180" s="183">
        <v>44723.782252362653</v>
      </c>
      <c r="AT180" s="183">
        <v>44169.937511173717</v>
      </c>
      <c r="AU180" s="183">
        <v>29630.320958345947</v>
      </c>
      <c r="AV180" s="183">
        <v>37943.237829725789</v>
      </c>
      <c r="AW180" s="295">
        <v>36860.256119061261</v>
      </c>
      <c r="AX180" s="304"/>
    </row>
    <row r="181" spans="1:50" ht="14.25" customHeight="1" x14ac:dyDescent="0.15">
      <c r="A181" s="186" t="s">
        <v>429</v>
      </c>
      <c r="B181" s="296">
        <v>0</v>
      </c>
      <c r="C181" s="296">
        <v>0</v>
      </c>
      <c r="D181" s="296">
        <v>0</v>
      </c>
      <c r="E181" s="296">
        <v>0</v>
      </c>
      <c r="F181" s="296">
        <v>0</v>
      </c>
      <c r="G181" s="296">
        <v>0</v>
      </c>
      <c r="H181" s="296">
        <v>0</v>
      </c>
      <c r="I181" s="296">
        <v>0.33466241930000001</v>
      </c>
      <c r="J181" s="296">
        <v>0.1753129524</v>
      </c>
      <c r="K181" s="296">
        <v>3.9433213300000006E-2</v>
      </c>
      <c r="L181" s="296">
        <v>0.18822702690000001</v>
      </c>
      <c r="M181" s="296">
        <v>0.24934688899999999</v>
      </c>
      <c r="N181" s="296">
        <v>0</v>
      </c>
      <c r="O181" s="296">
        <v>0.44151748120000001</v>
      </c>
      <c r="P181" s="296">
        <v>0.50130987910000002</v>
      </c>
      <c r="Q181" s="296">
        <v>0.29989709999999997</v>
      </c>
      <c r="R181" s="296">
        <v>2.1529133859999998</v>
      </c>
      <c r="S181" s="296">
        <v>1.9186281214000001</v>
      </c>
      <c r="T181" s="296">
        <v>5.7663047556000002</v>
      </c>
      <c r="U181" s="296">
        <v>0.67567401150000006</v>
      </c>
      <c r="V181" s="296">
        <v>1.0620289441999999</v>
      </c>
      <c r="W181" s="296">
        <v>1.4315333997999999</v>
      </c>
      <c r="X181" s="296">
        <v>2.034818907</v>
      </c>
      <c r="Y181" s="296">
        <v>2.0319983265000001</v>
      </c>
      <c r="Z181" s="296">
        <v>2.0530792822000001</v>
      </c>
      <c r="AA181" s="296">
        <v>2.0999951705000002</v>
      </c>
      <c r="AB181" s="296">
        <v>3</v>
      </c>
      <c r="AC181" s="296">
        <v>2.4</v>
      </c>
      <c r="AD181" s="296">
        <v>2.4</v>
      </c>
      <c r="AE181" s="296">
        <v>3.12</v>
      </c>
      <c r="AF181" s="185">
        <v>2.83</v>
      </c>
      <c r="AG181" s="185">
        <v>2.83</v>
      </c>
      <c r="AH181" s="185">
        <v>2.83</v>
      </c>
      <c r="AI181" s="185">
        <v>6</v>
      </c>
      <c r="AJ181" s="185">
        <v>7.2</v>
      </c>
      <c r="AK181" s="185">
        <v>9</v>
      </c>
      <c r="AL181" s="185">
        <v>10</v>
      </c>
      <c r="AM181" s="185">
        <v>15</v>
      </c>
      <c r="AN181" s="185">
        <v>6.1648215034426403</v>
      </c>
      <c r="AO181" s="185">
        <v>16.532261427730358</v>
      </c>
      <c r="AP181" s="185">
        <v>16.5</v>
      </c>
      <c r="AQ181" s="185">
        <v>14.5324523493868</v>
      </c>
      <c r="AR181" s="185">
        <v>27.08944145100164</v>
      </c>
      <c r="AS181" s="185">
        <v>22.896711389455518</v>
      </c>
      <c r="AT181" s="185">
        <v>26.30841766901132</v>
      </c>
      <c r="AU181" s="185">
        <v>16.85841766901132</v>
      </c>
      <c r="AV181" s="185" t="s">
        <v>297</v>
      </c>
      <c r="AW181" s="296" t="s">
        <v>297</v>
      </c>
      <c r="AX181" s="304"/>
    </row>
    <row r="182" spans="1:50" ht="14.25" customHeight="1" x14ac:dyDescent="0.15">
      <c r="A182" s="186" t="s">
        <v>430</v>
      </c>
      <c r="B182" s="295" t="s">
        <v>297</v>
      </c>
      <c r="C182" s="295" t="s">
        <v>297</v>
      </c>
      <c r="D182" s="295" t="s">
        <v>297</v>
      </c>
      <c r="E182" s="295" t="s">
        <v>297</v>
      </c>
      <c r="F182" s="295" t="s">
        <v>297</v>
      </c>
      <c r="G182" s="295">
        <v>0</v>
      </c>
      <c r="H182" s="295">
        <v>0</v>
      </c>
      <c r="I182" s="295">
        <v>0</v>
      </c>
      <c r="J182" s="295">
        <v>0</v>
      </c>
      <c r="K182" s="295">
        <v>0</v>
      </c>
      <c r="L182" s="295">
        <v>0</v>
      </c>
      <c r="M182" s="295">
        <v>0</v>
      </c>
      <c r="N182" s="295">
        <v>0</v>
      </c>
      <c r="O182" s="295">
        <v>0</v>
      </c>
      <c r="P182" s="295">
        <v>0</v>
      </c>
      <c r="Q182" s="295">
        <v>0</v>
      </c>
      <c r="R182" s="295">
        <v>0</v>
      </c>
      <c r="S182" s="295">
        <v>0</v>
      </c>
      <c r="T182" s="295">
        <v>0</v>
      </c>
      <c r="U182" s="295">
        <v>0</v>
      </c>
      <c r="V182" s="295">
        <v>0</v>
      </c>
      <c r="W182" s="295">
        <v>0</v>
      </c>
      <c r="X182" s="295">
        <v>0</v>
      </c>
      <c r="Y182" s="295">
        <v>0</v>
      </c>
      <c r="Z182" s="295">
        <v>0</v>
      </c>
      <c r="AA182" s="295">
        <v>0</v>
      </c>
      <c r="AB182" s="295">
        <v>0</v>
      </c>
      <c r="AC182" s="295">
        <v>0.13351851851851851</v>
      </c>
      <c r="AD182" s="295">
        <v>0.16071851851851851</v>
      </c>
      <c r="AE182" s="295">
        <v>0.13351851851851851</v>
      </c>
      <c r="AF182" s="183">
        <v>5.9025925925925919E-2</v>
      </c>
      <c r="AG182" s="183">
        <v>5.9026296296296292E-2</v>
      </c>
      <c r="AH182" s="183">
        <v>2.3228148148148147E-2</v>
      </c>
      <c r="AI182" s="183">
        <v>2.3228148148148147E-2</v>
      </c>
      <c r="AJ182" s="183">
        <v>2.3678888888888888E-2</v>
      </c>
      <c r="AK182" s="183">
        <v>2.3678888888888888E-2</v>
      </c>
      <c r="AL182" s="183">
        <v>4.7382592592592594E-2</v>
      </c>
      <c r="AM182" s="183">
        <v>2.3703703703703699E-2</v>
      </c>
      <c r="AN182" s="183">
        <v>2.39437037037037E-2</v>
      </c>
      <c r="AO182" s="183">
        <v>0</v>
      </c>
      <c r="AP182" s="183">
        <v>0</v>
      </c>
      <c r="AQ182" s="183">
        <v>4.1491725925925919E-2</v>
      </c>
      <c r="AR182" s="183">
        <v>3.3105081481481481E-2</v>
      </c>
      <c r="AS182" s="183">
        <v>0</v>
      </c>
      <c r="AT182" s="183">
        <v>0.5421111111111111</v>
      </c>
      <c r="AU182" s="183">
        <v>7.8222222222222221E-2</v>
      </c>
      <c r="AV182" s="183">
        <v>3.911111111111111E-2</v>
      </c>
      <c r="AW182" s="295" t="s">
        <v>297</v>
      </c>
      <c r="AX182" s="304"/>
    </row>
    <row r="183" spans="1:50" ht="14.25" customHeight="1" x14ac:dyDescent="0.15">
      <c r="A183" s="186" t="s">
        <v>431</v>
      </c>
      <c r="B183" s="296" t="s">
        <v>297</v>
      </c>
      <c r="C183" s="296">
        <v>0</v>
      </c>
      <c r="D183" s="296">
        <v>0</v>
      </c>
      <c r="E183" s="296">
        <v>0</v>
      </c>
      <c r="F183" s="296">
        <v>0</v>
      </c>
      <c r="G183" s="296">
        <v>0</v>
      </c>
      <c r="H183" s="296">
        <v>0</v>
      </c>
      <c r="I183" s="296">
        <v>0</v>
      </c>
      <c r="J183" s="296">
        <v>0</v>
      </c>
      <c r="K183" s="296">
        <v>0</v>
      </c>
      <c r="L183" s="296">
        <v>0</v>
      </c>
      <c r="M183" s="296">
        <v>0</v>
      </c>
      <c r="N183" s="296">
        <v>0</v>
      </c>
      <c r="O183" s="296">
        <v>0</v>
      </c>
      <c r="P183" s="296">
        <v>0</v>
      </c>
      <c r="Q183" s="296">
        <v>0</v>
      </c>
      <c r="R183" s="296">
        <v>0</v>
      </c>
      <c r="S183" s="296">
        <v>0</v>
      </c>
      <c r="T183" s="296">
        <v>0</v>
      </c>
      <c r="U183" s="296">
        <v>0</v>
      </c>
      <c r="V183" s="296">
        <v>0</v>
      </c>
      <c r="W183" s="296">
        <v>0</v>
      </c>
      <c r="X183" s="296">
        <v>0</v>
      </c>
      <c r="Y183" s="296">
        <v>0</v>
      </c>
      <c r="Z183" s="296">
        <v>0</v>
      </c>
      <c r="AA183" s="296">
        <v>0</v>
      </c>
      <c r="AB183" s="296">
        <v>0</v>
      </c>
      <c r="AC183" s="296">
        <v>0</v>
      </c>
      <c r="AD183" s="296">
        <v>0</v>
      </c>
      <c r="AE183" s="296">
        <v>1.6296296296296295E-2</v>
      </c>
      <c r="AF183" s="185">
        <v>3.1555555555555552E-2</v>
      </c>
      <c r="AG183" s="185">
        <v>4.3370370370370365E-2</v>
      </c>
      <c r="AH183" s="185">
        <v>5.7377777777777771E-2</v>
      </c>
      <c r="AI183" s="185">
        <v>0</v>
      </c>
      <c r="AJ183" s="185">
        <v>0</v>
      </c>
      <c r="AK183" s="185">
        <v>0</v>
      </c>
      <c r="AL183" s="185">
        <v>0</v>
      </c>
      <c r="AM183" s="185">
        <v>0</v>
      </c>
      <c r="AN183" s="185">
        <v>0</v>
      </c>
      <c r="AO183" s="185">
        <v>4</v>
      </c>
      <c r="AP183" s="185">
        <v>1.8875662962962962</v>
      </c>
      <c r="AQ183" s="185">
        <v>2.35</v>
      </c>
      <c r="AR183" s="185">
        <v>13.747777777777776</v>
      </c>
      <c r="AS183" s="185">
        <v>24.263000000000002</v>
      </c>
      <c r="AT183" s="185">
        <v>21</v>
      </c>
      <c r="AU183" s="185">
        <v>31.097777777777775</v>
      </c>
      <c r="AV183" s="185">
        <v>26.072854257559925</v>
      </c>
      <c r="AW183" s="296" t="s">
        <v>297</v>
      </c>
      <c r="AX183" s="304"/>
    </row>
    <row r="184" spans="1:50" ht="14.25" customHeight="1" x14ac:dyDescent="0.15">
      <c r="A184" s="186" t="s">
        <v>432</v>
      </c>
      <c r="B184" s="295" t="s">
        <v>297</v>
      </c>
      <c r="C184" s="295" t="s">
        <v>297</v>
      </c>
      <c r="D184" s="295" t="s">
        <v>297</v>
      </c>
      <c r="E184" s="295">
        <v>0</v>
      </c>
      <c r="F184" s="295">
        <v>0</v>
      </c>
      <c r="G184" s="295">
        <v>0</v>
      </c>
      <c r="H184" s="295">
        <v>0</v>
      </c>
      <c r="I184" s="295">
        <v>0</v>
      </c>
      <c r="J184" s="295">
        <v>0</v>
      </c>
      <c r="K184" s="295">
        <v>0</v>
      </c>
      <c r="L184" s="295">
        <v>0</v>
      </c>
      <c r="M184" s="295">
        <v>0</v>
      </c>
      <c r="N184" s="295">
        <v>0</v>
      </c>
      <c r="O184" s="295">
        <v>0</v>
      </c>
      <c r="P184" s="295">
        <v>0</v>
      </c>
      <c r="Q184" s="295">
        <v>0</v>
      </c>
      <c r="R184" s="295">
        <v>0.49999999999999994</v>
      </c>
      <c r="S184" s="295">
        <v>0</v>
      </c>
      <c r="T184" s="295">
        <v>0</v>
      </c>
      <c r="U184" s="295">
        <v>0</v>
      </c>
      <c r="V184" s="295">
        <v>0</v>
      </c>
      <c r="W184" s="295">
        <v>0</v>
      </c>
      <c r="X184" s="295">
        <v>0</v>
      </c>
      <c r="Y184" s="295">
        <v>5.1851851851851843E-2</v>
      </c>
      <c r="Z184" s="295">
        <v>0</v>
      </c>
      <c r="AA184" s="295">
        <v>0</v>
      </c>
      <c r="AB184" s="295">
        <v>0</v>
      </c>
      <c r="AC184" s="295">
        <v>0</v>
      </c>
      <c r="AD184" s="295">
        <v>0</v>
      </c>
      <c r="AE184" s="295">
        <v>0</v>
      </c>
      <c r="AF184" s="183">
        <v>2.2222222222222221E-4</v>
      </c>
      <c r="AG184" s="183">
        <v>2.2222222222222221E-4</v>
      </c>
      <c r="AH184" s="183">
        <v>3.3333333333333331E-3</v>
      </c>
      <c r="AI184" s="183">
        <v>3.3333333333333331E-3</v>
      </c>
      <c r="AJ184" s="183">
        <v>4.4444444444444441E-4</v>
      </c>
      <c r="AK184" s="183">
        <v>5.5555555555555556E-4</v>
      </c>
      <c r="AL184" s="183">
        <v>5.5555555555555556E-4</v>
      </c>
      <c r="AM184" s="183">
        <v>5.5555555555555556E-4</v>
      </c>
      <c r="AN184" s="183">
        <v>0</v>
      </c>
      <c r="AO184" s="183">
        <v>0</v>
      </c>
      <c r="AP184" s="183">
        <v>0</v>
      </c>
      <c r="AQ184" s="183">
        <v>0</v>
      </c>
      <c r="AR184" s="183">
        <v>5.7944222222222229E-3</v>
      </c>
      <c r="AS184" s="183">
        <v>0</v>
      </c>
      <c r="AT184" s="183">
        <v>0</v>
      </c>
      <c r="AU184" s="183">
        <v>0</v>
      </c>
      <c r="AV184" s="183">
        <v>2.7138074074074072E-3</v>
      </c>
      <c r="AW184" s="295" t="s">
        <v>297</v>
      </c>
      <c r="AX184" s="304"/>
    </row>
    <row r="185" spans="1:50" ht="14.25" customHeight="1" x14ac:dyDescent="0.15">
      <c r="A185" s="186" t="s">
        <v>433</v>
      </c>
      <c r="B185" s="296" t="s">
        <v>297</v>
      </c>
      <c r="C185" s="296" t="s">
        <v>297</v>
      </c>
      <c r="D185" s="296">
        <v>0</v>
      </c>
      <c r="E185" s="296">
        <v>0</v>
      </c>
      <c r="F185" s="296">
        <v>0</v>
      </c>
      <c r="G185" s="296">
        <v>0</v>
      </c>
      <c r="H185" s="296">
        <v>0</v>
      </c>
      <c r="I185" s="296">
        <v>0</v>
      </c>
      <c r="J185" s="296">
        <v>0</v>
      </c>
      <c r="K185" s="296">
        <v>0</v>
      </c>
      <c r="L185" s="296">
        <v>0</v>
      </c>
      <c r="M185" s="296">
        <v>0</v>
      </c>
      <c r="N185" s="296">
        <v>0</v>
      </c>
      <c r="O185" s="296">
        <v>0</v>
      </c>
      <c r="P185" s="296">
        <v>0</v>
      </c>
      <c r="Q185" s="296">
        <v>0</v>
      </c>
      <c r="R185" s="296">
        <v>0</v>
      </c>
      <c r="S185" s="296">
        <v>0</v>
      </c>
      <c r="T185" s="296" t="s">
        <v>297</v>
      </c>
      <c r="U185" s="296" t="s">
        <v>297</v>
      </c>
      <c r="V185" s="296" t="s">
        <v>297</v>
      </c>
      <c r="W185" s="296" t="s">
        <v>297</v>
      </c>
      <c r="X185" s="296" t="s">
        <v>297</v>
      </c>
      <c r="Y185" s="296" t="s">
        <v>297</v>
      </c>
      <c r="Z185" s="296">
        <v>0</v>
      </c>
      <c r="AA185" s="296">
        <v>0</v>
      </c>
      <c r="AB185" s="296" t="s">
        <v>297</v>
      </c>
      <c r="AC185" s="296" t="s">
        <v>297</v>
      </c>
      <c r="AD185" s="296" t="s">
        <v>297</v>
      </c>
      <c r="AE185" s="296" t="s">
        <v>297</v>
      </c>
      <c r="AF185" s="185">
        <v>6.9999999999999999E-4</v>
      </c>
      <c r="AG185" s="185">
        <v>12.677717811016985</v>
      </c>
      <c r="AH185" s="185">
        <v>12.929326679474228</v>
      </c>
      <c r="AI185" s="185">
        <v>39.283094472672062</v>
      </c>
      <c r="AJ185" s="185">
        <v>1.356418643532002</v>
      </c>
      <c r="AK185" s="185">
        <v>6.5</v>
      </c>
      <c r="AL185" s="185">
        <v>2.6877705330036354</v>
      </c>
      <c r="AM185" s="185">
        <v>3.3522642546440102</v>
      </c>
      <c r="AN185" s="185">
        <v>2.5030644826477975</v>
      </c>
      <c r="AO185" s="185">
        <v>8.3062844263282098</v>
      </c>
      <c r="AP185" s="185">
        <v>4.5700910728999551</v>
      </c>
      <c r="AQ185" s="185">
        <v>2.4177322489070542E-2</v>
      </c>
      <c r="AR185" s="185">
        <v>6.063737057220709E-2</v>
      </c>
      <c r="AS185" s="185">
        <v>0.65220666314064024</v>
      </c>
      <c r="AT185" s="185">
        <v>0.11059115823524129</v>
      </c>
      <c r="AU185" s="185">
        <v>6.4887431346713582E-3</v>
      </c>
      <c r="AV185" s="185">
        <v>1.13441328614212E-4</v>
      </c>
      <c r="AW185" s="296">
        <v>0</v>
      </c>
      <c r="AX185" s="304"/>
    </row>
    <row r="186" spans="1:50" ht="14.25" customHeight="1" x14ac:dyDescent="0.15">
      <c r="A186" s="186" t="s">
        <v>434</v>
      </c>
      <c r="B186" s="295" t="s">
        <v>297</v>
      </c>
      <c r="C186" s="295" t="s">
        <v>297</v>
      </c>
      <c r="D186" s="295" t="s">
        <v>297</v>
      </c>
      <c r="E186" s="295" t="s">
        <v>297</v>
      </c>
      <c r="F186" s="295" t="s">
        <v>297</v>
      </c>
      <c r="G186" s="295" t="s">
        <v>297</v>
      </c>
      <c r="H186" s="295" t="s">
        <v>297</v>
      </c>
      <c r="I186" s="295" t="s">
        <v>297</v>
      </c>
      <c r="J186" s="295" t="s">
        <v>297</v>
      </c>
      <c r="K186" s="295" t="s">
        <v>297</v>
      </c>
      <c r="L186" s="295" t="s">
        <v>297</v>
      </c>
      <c r="M186" s="295" t="s">
        <v>297</v>
      </c>
      <c r="N186" s="295" t="s">
        <v>297</v>
      </c>
      <c r="O186" s="295" t="s">
        <v>297</v>
      </c>
      <c r="P186" s="295" t="s">
        <v>297</v>
      </c>
      <c r="Q186" s="295" t="s">
        <v>297</v>
      </c>
      <c r="R186" s="295" t="s">
        <v>297</v>
      </c>
      <c r="S186" s="295" t="s">
        <v>297</v>
      </c>
      <c r="T186" s="295" t="s">
        <v>297</v>
      </c>
      <c r="U186" s="295" t="s">
        <v>297</v>
      </c>
      <c r="V186" s="295" t="s">
        <v>297</v>
      </c>
      <c r="W186" s="295" t="s">
        <v>297</v>
      </c>
      <c r="X186" s="295" t="s">
        <v>297</v>
      </c>
      <c r="Y186" s="295" t="s">
        <v>297</v>
      </c>
      <c r="Z186" s="295" t="s">
        <v>297</v>
      </c>
      <c r="AA186" s="295" t="s">
        <v>297</v>
      </c>
      <c r="AB186" s="295" t="s">
        <v>297</v>
      </c>
      <c r="AC186" s="295" t="s">
        <v>297</v>
      </c>
      <c r="AD186" s="295" t="s">
        <v>297</v>
      </c>
      <c r="AE186" s="295" t="s">
        <v>297</v>
      </c>
      <c r="AF186" s="183" t="s">
        <v>297</v>
      </c>
      <c r="AG186" s="183" t="s">
        <v>297</v>
      </c>
      <c r="AH186" s="183" t="s">
        <v>297</v>
      </c>
      <c r="AI186" s="183" t="s">
        <v>297</v>
      </c>
      <c r="AJ186" s="183" t="s">
        <v>297</v>
      </c>
      <c r="AK186" s="183" t="s">
        <v>297</v>
      </c>
      <c r="AL186" s="183" t="s">
        <v>297</v>
      </c>
      <c r="AM186" s="183">
        <v>0.15258184</v>
      </c>
      <c r="AN186" s="183">
        <v>4.2351390000000003E-2</v>
      </c>
      <c r="AO186" s="183">
        <v>0</v>
      </c>
      <c r="AP186" s="183">
        <v>0</v>
      </c>
      <c r="AQ186" s="183">
        <v>0</v>
      </c>
      <c r="AR186" s="183">
        <v>0</v>
      </c>
      <c r="AS186" s="183">
        <v>4.1978646000000001E-3</v>
      </c>
      <c r="AT186" s="183">
        <v>0</v>
      </c>
      <c r="AU186" s="183">
        <v>0</v>
      </c>
      <c r="AV186" s="183">
        <v>0</v>
      </c>
      <c r="AW186" s="295">
        <v>0</v>
      </c>
      <c r="AX186" s="304"/>
    </row>
    <row r="187" spans="1:50" ht="14.25" customHeight="1" x14ac:dyDescent="0.15">
      <c r="A187" s="186" t="s">
        <v>205</v>
      </c>
      <c r="B187" s="296">
        <v>155.19417538828543</v>
      </c>
      <c r="C187" s="296">
        <v>181.54870895703073</v>
      </c>
      <c r="D187" s="296">
        <v>172.70800780905245</v>
      </c>
      <c r="E187" s="296">
        <v>154.65964144919855</v>
      </c>
      <c r="F187" s="296">
        <v>179.63515793412373</v>
      </c>
      <c r="G187" s="296">
        <v>103.85335952636441</v>
      </c>
      <c r="H187" s="296">
        <v>129.9060197645729</v>
      </c>
      <c r="I187" s="296">
        <v>732.85868671994763</v>
      </c>
      <c r="J187" s="296">
        <v>696.59982150447149</v>
      </c>
      <c r="K187" s="296">
        <v>773.16744196432774</v>
      </c>
      <c r="L187" s="296">
        <v>890.41262806699876</v>
      </c>
      <c r="M187" s="296">
        <v>1198.6062223800816</v>
      </c>
      <c r="N187" s="296">
        <v>2169.6752320568562</v>
      </c>
      <c r="O187" s="296">
        <v>2997.8341355491489</v>
      </c>
      <c r="P187" s="296">
        <v>3276.2595785290364</v>
      </c>
      <c r="Q187" s="296">
        <v>3690.0127227034918</v>
      </c>
      <c r="R187" s="296">
        <v>2545.8498890921605</v>
      </c>
      <c r="S187" s="296">
        <v>1101.4406824498908</v>
      </c>
      <c r="T187" s="296">
        <v>1596.828667743845</v>
      </c>
      <c r="U187" s="296">
        <v>4472.8604966148096</v>
      </c>
      <c r="V187" s="296">
        <v>7243.1294251934341</v>
      </c>
      <c r="W187" s="296">
        <v>6092.1415925829679</v>
      </c>
      <c r="X187" s="296">
        <v>6630.6468783400187</v>
      </c>
      <c r="Y187" s="296">
        <v>9182.6405758692272</v>
      </c>
      <c r="Z187" s="296">
        <v>10654.786035390911</v>
      </c>
      <c r="AA187" s="296">
        <v>12037.889339079424</v>
      </c>
      <c r="AB187" s="296">
        <v>9407.5730151221942</v>
      </c>
      <c r="AC187" s="296">
        <v>9992.8008866740802</v>
      </c>
      <c r="AD187" s="296">
        <v>15513.648367381764</v>
      </c>
      <c r="AE187" s="296">
        <v>19193.389215564075</v>
      </c>
      <c r="AF187" s="185">
        <v>23910.155397402617</v>
      </c>
      <c r="AG187" s="185">
        <v>30489.654575689012</v>
      </c>
      <c r="AH187" s="185">
        <v>39364.618438466357</v>
      </c>
      <c r="AI187" s="185">
        <v>38299.824086451372</v>
      </c>
      <c r="AJ187" s="185">
        <v>24286.337172097999</v>
      </c>
      <c r="AK187" s="185">
        <v>34324.387876940986</v>
      </c>
      <c r="AL187" s="185">
        <v>34047.5</v>
      </c>
      <c r="AM187" s="185">
        <v>32755.946315442186</v>
      </c>
      <c r="AN187" s="185">
        <v>33888.211619312322</v>
      </c>
      <c r="AO187" s="185">
        <v>35130.049277828672</v>
      </c>
      <c r="AP187" s="185">
        <v>25346.875465021909</v>
      </c>
      <c r="AQ187" s="185">
        <v>24172.461220007142</v>
      </c>
      <c r="AR187" s="185">
        <v>29162.03814932235</v>
      </c>
      <c r="AS187" s="185">
        <v>33097.237389609545</v>
      </c>
      <c r="AT187" s="185">
        <v>32261.577272836003</v>
      </c>
      <c r="AU187" s="185">
        <v>30876.199097318502</v>
      </c>
      <c r="AV187" s="185">
        <v>45172.176644610678</v>
      </c>
      <c r="AW187" s="296">
        <v>38415.096453221064</v>
      </c>
      <c r="AX187" s="304"/>
    </row>
    <row r="188" spans="1:50" ht="14.25" customHeight="1" x14ac:dyDescent="0.15">
      <c r="A188" s="186" t="s">
        <v>61</v>
      </c>
      <c r="B188" s="295" t="s">
        <v>297</v>
      </c>
      <c r="C188" s="295" t="s">
        <v>297</v>
      </c>
      <c r="D188" s="295">
        <v>0</v>
      </c>
      <c r="E188" s="295">
        <v>0</v>
      </c>
      <c r="F188" s="295">
        <v>0</v>
      </c>
      <c r="G188" s="295">
        <v>0</v>
      </c>
      <c r="H188" s="295">
        <v>0</v>
      </c>
      <c r="I188" s="295">
        <v>0</v>
      </c>
      <c r="J188" s="295">
        <v>1039.9488684438259</v>
      </c>
      <c r="K188" s="295">
        <v>1057.5893207717911</v>
      </c>
      <c r="L188" s="295">
        <v>1074.8333926845398</v>
      </c>
      <c r="M188" s="295">
        <v>1561.4953445649228</v>
      </c>
      <c r="N188" s="295">
        <v>2185.500410745316</v>
      </c>
      <c r="O188" s="295">
        <v>3219.4355224492583</v>
      </c>
      <c r="P188" s="295">
        <v>3057.597383743142</v>
      </c>
      <c r="Q188" s="295">
        <v>2828.9071920047577</v>
      </c>
      <c r="R188" s="295">
        <v>2391.9246392645182</v>
      </c>
      <c r="S188" s="295">
        <v>2104.2251618110563</v>
      </c>
      <c r="T188" s="295">
        <v>5094.623098006914</v>
      </c>
      <c r="U188" s="295">
        <v>5379.1331019216668</v>
      </c>
      <c r="V188" s="295">
        <v>5590.8434539871569</v>
      </c>
      <c r="W188" s="295">
        <v>7900.421517625261</v>
      </c>
      <c r="X188" s="295">
        <v>9569.9582274665172</v>
      </c>
      <c r="Y188" s="295">
        <v>18025.769145437771</v>
      </c>
      <c r="Z188" s="295">
        <v>23212.6</v>
      </c>
      <c r="AA188" s="295">
        <v>24830.572462815795</v>
      </c>
      <c r="AB188" s="295">
        <v>16911.554263072758</v>
      </c>
      <c r="AC188" s="295">
        <v>11567.651795504773</v>
      </c>
      <c r="AD188" s="295">
        <v>31304.147497048318</v>
      </c>
      <c r="AE188" s="295">
        <v>38143.893066688193</v>
      </c>
      <c r="AF188" s="183">
        <v>59937.073852400026</v>
      </c>
      <c r="AG188" s="183">
        <v>53182.577799989886</v>
      </c>
      <c r="AH188" s="183">
        <v>43937.166888117361</v>
      </c>
      <c r="AI188" s="183">
        <v>4048.1644357217569</v>
      </c>
      <c r="AJ188" s="183">
        <v>46029.520229997201</v>
      </c>
      <c r="AK188" s="183">
        <v>69778.696552189373</v>
      </c>
      <c r="AL188" s="183">
        <v>45121.636122613221</v>
      </c>
      <c r="AM188" s="183">
        <v>60215.703423353945</v>
      </c>
      <c r="AN188" s="183">
        <v>57712.096089182152</v>
      </c>
      <c r="AO188" s="183">
        <v>87315.205889308374</v>
      </c>
      <c r="AP188" s="183">
        <v>81076.130911962464</v>
      </c>
      <c r="AQ188" s="183">
        <v>81848.565233695481</v>
      </c>
      <c r="AR188" s="183">
        <v>96340.875419947799</v>
      </c>
      <c r="AS188" s="183">
        <v>100785.64201148816</v>
      </c>
      <c r="AT188" s="183">
        <v>100956.23019154942</v>
      </c>
      <c r="AU188" s="183">
        <v>73957.219930985171</v>
      </c>
      <c r="AV188" s="183">
        <v>104489.09745938423</v>
      </c>
      <c r="AW188" s="295">
        <v>102748.19147350086</v>
      </c>
      <c r="AX188" s="304"/>
    </row>
    <row r="189" spans="1:50" ht="14.25" customHeight="1" x14ac:dyDescent="0.15">
      <c r="A189" s="186" t="s">
        <v>435</v>
      </c>
      <c r="B189" s="296" t="s">
        <v>297</v>
      </c>
      <c r="C189" s="296" t="s">
        <v>297</v>
      </c>
      <c r="D189" s="296">
        <v>0</v>
      </c>
      <c r="E189" s="296">
        <v>0</v>
      </c>
      <c r="F189" s="296">
        <v>0</v>
      </c>
      <c r="G189" s="296">
        <v>0</v>
      </c>
      <c r="H189" s="296">
        <v>0</v>
      </c>
      <c r="I189" s="296">
        <v>0</v>
      </c>
      <c r="J189" s="296">
        <v>0</v>
      </c>
      <c r="K189" s="296">
        <v>0</v>
      </c>
      <c r="L189" s="296">
        <v>0</v>
      </c>
      <c r="M189" s="296">
        <v>0</v>
      </c>
      <c r="N189" s="296">
        <v>0</v>
      </c>
      <c r="O189" s="296">
        <v>0</v>
      </c>
      <c r="P189" s="296">
        <v>0</v>
      </c>
      <c r="Q189" s="296">
        <v>0</v>
      </c>
      <c r="R189" s="296">
        <v>0</v>
      </c>
      <c r="S189" s="296">
        <v>0</v>
      </c>
      <c r="T189" s="296">
        <v>0</v>
      </c>
      <c r="U189" s="296">
        <v>0</v>
      </c>
      <c r="V189" s="296">
        <v>0</v>
      </c>
      <c r="W189" s="296">
        <v>0</v>
      </c>
      <c r="X189" s="296">
        <v>0</v>
      </c>
      <c r="Y189" s="296">
        <v>0</v>
      </c>
      <c r="Z189" s="296">
        <v>0</v>
      </c>
      <c r="AA189" s="296">
        <v>0</v>
      </c>
      <c r="AB189" s="296">
        <v>0</v>
      </c>
      <c r="AC189" s="296">
        <v>0</v>
      </c>
      <c r="AD189" s="296">
        <v>0</v>
      </c>
      <c r="AE189" s="296">
        <v>0</v>
      </c>
      <c r="AF189" s="185">
        <v>0</v>
      </c>
      <c r="AG189" s="185">
        <v>0</v>
      </c>
      <c r="AH189" s="185">
        <v>0</v>
      </c>
      <c r="AI189" s="185">
        <v>0</v>
      </c>
      <c r="AJ189" s="185">
        <v>0</v>
      </c>
      <c r="AK189" s="185">
        <v>0</v>
      </c>
      <c r="AL189" s="185" t="s">
        <v>297</v>
      </c>
      <c r="AM189" s="185" t="s">
        <v>297</v>
      </c>
      <c r="AN189" s="185" t="s">
        <v>297</v>
      </c>
      <c r="AO189" s="185" t="s">
        <v>297</v>
      </c>
      <c r="AP189" s="185" t="s">
        <v>297</v>
      </c>
      <c r="AQ189" s="185" t="s">
        <v>297</v>
      </c>
      <c r="AR189" s="185" t="s">
        <v>297</v>
      </c>
      <c r="AS189" s="185" t="s">
        <v>297</v>
      </c>
      <c r="AT189" s="185" t="s">
        <v>297</v>
      </c>
      <c r="AU189" s="185" t="s">
        <v>297</v>
      </c>
      <c r="AV189" s="185" t="s">
        <v>297</v>
      </c>
      <c r="AW189" s="296" t="s">
        <v>297</v>
      </c>
      <c r="AX189" s="304"/>
    </row>
    <row r="190" spans="1:50" ht="14.25" customHeight="1" x14ac:dyDescent="0.15">
      <c r="A190" s="186" t="s">
        <v>436</v>
      </c>
      <c r="B190" s="295" t="s">
        <v>297</v>
      </c>
      <c r="C190" s="295" t="s">
        <v>297</v>
      </c>
      <c r="D190" s="295" t="s">
        <v>297</v>
      </c>
      <c r="E190" s="295" t="s">
        <v>297</v>
      </c>
      <c r="F190" s="295" t="s">
        <v>297</v>
      </c>
      <c r="G190" s="295" t="s">
        <v>297</v>
      </c>
      <c r="H190" s="295" t="s">
        <v>297</v>
      </c>
      <c r="I190" s="295" t="s">
        <v>297</v>
      </c>
      <c r="J190" s="295" t="s">
        <v>297</v>
      </c>
      <c r="K190" s="295" t="s">
        <v>297</v>
      </c>
      <c r="L190" s="295" t="s">
        <v>297</v>
      </c>
      <c r="M190" s="295" t="s">
        <v>297</v>
      </c>
      <c r="N190" s="295" t="s">
        <v>297</v>
      </c>
      <c r="O190" s="295" t="s">
        <v>297</v>
      </c>
      <c r="P190" s="295" t="s">
        <v>297</v>
      </c>
      <c r="Q190" s="295" t="s">
        <v>297</v>
      </c>
      <c r="R190" s="295" t="s">
        <v>297</v>
      </c>
      <c r="S190" s="295" t="s">
        <v>297</v>
      </c>
      <c r="T190" s="295" t="s">
        <v>297</v>
      </c>
      <c r="U190" s="295" t="s">
        <v>297</v>
      </c>
      <c r="V190" s="295" t="s">
        <v>297</v>
      </c>
      <c r="W190" s="295" t="s">
        <v>297</v>
      </c>
      <c r="X190" s="295" t="s">
        <v>297</v>
      </c>
      <c r="Y190" s="295" t="s">
        <v>297</v>
      </c>
      <c r="Z190" s="295" t="s">
        <v>297</v>
      </c>
      <c r="AA190" s="295" t="s">
        <v>297</v>
      </c>
      <c r="AB190" s="295" t="s">
        <v>297</v>
      </c>
      <c r="AC190" s="295" t="s">
        <v>297</v>
      </c>
      <c r="AD190" s="295" t="s">
        <v>297</v>
      </c>
      <c r="AE190" s="295" t="s">
        <v>297</v>
      </c>
      <c r="AF190" s="183" t="s">
        <v>297</v>
      </c>
      <c r="AG190" s="183" t="s">
        <v>297</v>
      </c>
      <c r="AH190" s="183" t="s">
        <v>297</v>
      </c>
      <c r="AI190" s="183" t="s">
        <v>297</v>
      </c>
      <c r="AJ190" s="183" t="s">
        <v>297</v>
      </c>
      <c r="AK190" s="183" t="s">
        <v>297</v>
      </c>
      <c r="AL190" s="183" t="s">
        <v>297</v>
      </c>
      <c r="AM190" s="183" t="s">
        <v>297</v>
      </c>
      <c r="AN190" s="183" t="s">
        <v>297</v>
      </c>
      <c r="AO190" s="183" t="s">
        <v>297</v>
      </c>
      <c r="AP190" s="183" t="s">
        <v>297</v>
      </c>
      <c r="AQ190" s="183" t="s">
        <v>297</v>
      </c>
      <c r="AR190" s="183" t="s">
        <v>297</v>
      </c>
      <c r="AS190" s="183" t="s">
        <v>297</v>
      </c>
      <c r="AT190" s="183" t="s">
        <v>297</v>
      </c>
      <c r="AU190" s="183" t="s">
        <v>297</v>
      </c>
      <c r="AV190" s="183" t="s">
        <v>297</v>
      </c>
      <c r="AW190" s="295" t="s">
        <v>297</v>
      </c>
      <c r="AX190" s="304"/>
    </row>
    <row r="191" spans="1:50" ht="14.25" customHeight="1" x14ac:dyDescent="0.15">
      <c r="A191" s="186" t="s">
        <v>437</v>
      </c>
      <c r="B191" s="296" t="s">
        <v>297</v>
      </c>
      <c r="C191" s="296" t="s">
        <v>297</v>
      </c>
      <c r="D191" s="296" t="s">
        <v>297</v>
      </c>
      <c r="E191" s="296" t="s">
        <v>297</v>
      </c>
      <c r="F191" s="296" t="s">
        <v>297</v>
      </c>
      <c r="G191" s="296" t="s">
        <v>297</v>
      </c>
      <c r="H191" s="296" t="s">
        <v>297</v>
      </c>
      <c r="I191" s="296" t="s">
        <v>297</v>
      </c>
      <c r="J191" s="296" t="s">
        <v>297</v>
      </c>
      <c r="K191" s="296" t="s">
        <v>297</v>
      </c>
      <c r="L191" s="296" t="s">
        <v>297</v>
      </c>
      <c r="M191" s="296" t="s">
        <v>297</v>
      </c>
      <c r="N191" s="296" t="s">
        <v>297</v>
      </c>
      <c r="O191" s="296" t="s">
        <v>297</v>
      </c>
      <c r="P191" s="296" t="s">
        <v>297</v>
      </c>
      <c r="Q191" s="296" t="s">
        <v>297</v>
      </c>
      <c r="R191" s="296" t="s">
        <v>297</v>
      </c>
      <c r="S191" s="296" t="s">
        <v>297</v>
      </c>
      <c r="T191" s="296" t="s">
        <v>297</v>
      </c>
      <c r="U191" s="296" t="s">
        <v>297</v>
      </c>
      <c r="V191" s="296" t="s">
        <v>297</v>
      </c>
      <c r="W191" s="296" t="s">
        <v>297</v>
      </c>
      <c r="X191" s="296" t="s">
        <v>297</v>
      </c>
      <c r="Y191" s="296" t="s">
        <v>297</v>
      </c>
      <c r="Z191" s="296" t="s">
        <v>297</v>
      </c>
      <c r="AA191" s="296" t="s">
        <v>297</v>
      </c>
      <c r="AB191" s="296" t="s">
        <v>297</v>
      </c>
      <c r="AC191" s="296" t="s">
        <v>297</v>
      </c>
      <c r="AD191" s="296">
        <v>0</v>
      </c>
      <c r="AE191" s="296" t="s">
        <v>297</v>
      </c>
      <c r="AF191" s="185">
        <v>0</v>
      </c>
      <c r="AG191" s="185">
        <v>0</v>
      </c>
      <c r="AH191" s="185">
        <v>0</v>
      </c>
      <c r="AI191" s="185">
        <v>0</v>
      </c>
      <c r="AJ191" s="185">
        <v>0</v>
      </c>
      <c r="AK191" s="185">
        <v>0</v>
      </c>
      <c r="AL191" s="185">
        <v>0</v>
      </c>
      <c r="AM191" s="185">
        <v>0</v>
      </c>
      <c r="AN191" s="185">
        <v>0</v>
      </c>
      <c r="AO191" s="185">
        <v>0</v>
      </c>
      <c r="AP191" s="185">
        <v>0</v>
      </c>
      <c r="AQ191" s="185">
        <v>0</v>
      </c>
      <c r="AR191" s="185">
        <v>0</v>
      </c>
      <c r="AS191" s="185">
        <v>0</v>
      </c>
      <c r="AT191" s="185">
        <v>0</v>
      </c>
      <c r="AU191" s="185">
        <v>0</v>
      </c>
      <c r="AV191" s="185">
        <v>0</v>
      </c>
      <c r="AW191" s="296">
        <v>0</v>
      </c>
      <c r="AX191" s="304"/>
    </row>
    <row r="192" spans="1:50" ht="14.25" customHeight="1" x14ac:dyDescent="0.15">
      <c r="A192" s="186" t="s">
        <v>438</v>
      </c>
      <c r="B192" s="295" t="s">
        <v>297</v>
      </c>
      <c r="C192" s="295">
        <v>0.11937768409999999</v>
      </c>
      <c r="D192" s="295">
        <v>0.12063878239999999</v>
      </c>
      <c r="E192" s="295">
        <v>0.12966720909999999</v>
      </c>
      <c r="F192" s="295">
        <v>0</v>
      </c>
      <c r="G192" s="295">
        <v>0.1220019297</v>
      </c>
      <c r="H192" s="295">
        <v>0</v>
      </c>
      <c r="I192" s="295">
        <v>0</v>
      </c>
      <c r="J192" s="295">
        <v>0</v>
      </c>
      <c r="K192" s="295">
        <v>0</v>
      </c>
      <c r="L192" s="295">
        <v>0</v>
      </c>
      <c r="M192" s="295">
        <v>0</v>
      </c>
      <c r="N192" s="295">
        <v>0</v>
      </c>
      <c r="O192" s="295">
        <v>0</v>
      </c>
      <c r="P192" s="295">
        <v>0</v>
      </c>
      <c r="Q192" s="295">
        <v>0</v>
      </c>
      <c r="R192" s="295">
        <v>0</v>
      </c>
      <c r="S192" s="295">
        <v>0</v>
      </c>
      <c r="T192" s="295">
        <v>0</v>
      </c>
      <c r="U192" s="295">
        <v>0</v>
      </c>
      <c r="V192" s="295" t="s">
        <v>297</v>
      </c>
      <c r="W192" s="295" t="s">
        <v>297</v>
      </c>
      <c r="X192" s="295" t="s">
        <v>297</v>
      </c>
      <c r="Y192" s="295" t="s">
        <v>297</v>
      </c>
      <c r="Z192" s="295" t="s">
        <v>297</v>
      </c>
      <c r="AA192" s="295" t="s">
        <v>297</v>
      </c>
      <c r="AB192" s="295">
        <v>0</v>
      </c>
      <c r="AC192" s="295">
        <v>0</v>
      </c>
      <c r="AD192" s="295">
        <v>0</v>
      </c>
      <c r="AE192" s="295">
        <v>0</v>
      </c>
      <c r="AF192" s="183">
        <v>0</v>
      </c>
      <c r="AG192" s="183">
        <v>0</v>
      </c>
      <c r="AH192" s="183">
        <v>0</v>
      </c>
      <c r="AI192" s="183">
        <v>0</v>
      </c>
      <c r="AJ192" s="183">
        <v>0</v>
      </c>
      <c r="AK192" s="183" t="s">
        <v>297</v>
      </c>
      <c r="AL192" s="183">
        <v>0</v>
      </c>
      <c r="AM192" s="183" t="s">
        <v>297</v>
      </c>
      <c r="AN192" s="183" t="s">
        <v>297</v>
      </c>
      <c r="AO192" s="183">
        <v>0</v>
      </c>
      <c r="AP192" s="183">
        <v>0</v>
      </c>
      <c r="AQ192" s="183">
        <v>0</v>
      </c>
      <c r="AR192" s="183">
        <v>0</v>
      </c>
      <c r="AS192" s="183">
        <v>0</v>
      </c>
      <c r="AT192" s="183">
        <v>0</v>
      </c>
      <c r="AU192" s="183">
        <v>0</v>
      </c>
      <c r="AV192" s="183" t="s">
        <v>297</v>
      </c>
      <c r="AW192" s="295" t="s">
        <v>297</v>
      </c>
      <c r="AX192" s="304"/>
    </row>
    <row r="193" spans="1:50" ht="14.25" customHeight="1" x14ac:dyDescent="0.15">
      <c r="A193" s="186" t="s">
        <v>216</v>
      </c>
      <c r="B193" s="296">
        <v>8.9306439628839982</v>
      </c>
      <c r="C193" s="296">
        <v>13.676401587263051</v>
      </c>
      <c r="D193" s="296">
        <v>14.019537110957831</v>
      </c>
      <c r="E193" s="296">
        <v>12.83771680005332</v>
      </c>
      <c r="F193" s="296">
        <v>19.735243543635782</v>
      </c>
      <c r="G193" s="296">
        <v>3.9151551994738578</v>
      </c>
      <c r="H193" s="296">
        <v>16.977496401658399</v>
      </c>
      <c r="I193" s="296">
        <v>21.565108588714129</v>
      </c>
      <c r="J193" s="296">
        <v>15.869485150969057</v>
      </c>
      <c r="K193" s="296">
        <v>4.8782185647020198</v>
      </c>
      <c r="L193" s="296">
        <v>4.8436198147197302</v>
      </c>
      <c r="M193" s="296">
        <v>6.38519323334073</v>
      </c>
      <c r="N193" s="296">
        <v>2.1423873230258232</v>
      </c>
      <c r="O193" s="296">
        <v>11.6337903365947</v>
      </c>
      <c r="P193" s="296">
        <v>5.1700496381685692</v>
      </c>
      <c r="Q193" s="296">
        <v>1.4326110441330251</v>
      </c>
      <c r="R193" s="296">
        <v>1.3063032818349198</v>
      </c>
      <c r="S193" s="296" t="s">
        <v>297</v>
      </c>
      <c r="T193" s="296" t="s">
        <v>297</v>
      </c>
      <c r="U193" s="296" t="s">
        <v>297</v>
      </c>
      <c r="V193" s="296" t="s">
        <v>297</v>
      </c>
      <c r="W193" s="296" t="s">
        <v>297</v>
      </c>
      <c r="X193" s="296" t="s">
        <v>297</v>
      </c>
      <c r="Y193" s="296" t="s">
        <v>297</v>
      </c>
      <c r="Z193" s="296" t="s">
        <v>297</v>
      </c>
      <c r="AA193" s="296" t="s">
        <v>297</v>
      </c>
      <c r="AB193" s="296">
        <v>83.993016827347404</v>
      </c>
      <c r="AC193" s="296">
        <v>64.989854935614503</v>
      </c>
      <c r="AD193" s="296">
        <v>134.99037900822142</v>
      </c>
      <c r="AE193" s="296">
        <v>124.7065985684914</v>
      </c>
      <c r="AF193" s="185">
        <v>249</v>
      </c>
      <c r="AG193" s="185">
        <v>168.62456292265099</v>
      </c>
      <c r="AH193" s="185">
        <v>624.96657979580698</v>
      </c>
      <c r="AI193" s="185">
        <v>361.49871395177138</v>
      </c>
      <c r="AJ193" s="185">
        <v>623.81020386666705</v>
      </c>
      <c r="AK193" s="185">
        <v>1547.3852820149282</v>
      </c>
      <c r="AL193" s="185">
        <v>1089.4998043686771</v>
      </c>
      <c r="AM193" s="185">
        <v>2076.613066952496</v>
      </c>
      <c r="AN193" s="185">
        <v>1218.1631192442442</v>
      </c>
      <c r="AO193" s="185">
        <v>2075.0391540508672</v>
      </c>
      <c r="AP193" s="185">
        <v>-5.7150128422639224</v>
      </c>
      <c r="AQ193" s="185">
        <v>774.01113466110507</v>
      </c>
      <c r="AR193" s="185">
        <v>2383.090085826821</v>
      </c>
      <c r="AS193" s="185">
        <v>2424.9247534933102</v>
      </c>
      <c r="AT193" s="185">
        <v>2483.7867010503619</v>
      </c>
      <c r="AU193" s="185">
        <v>3008.3327354281851</v>
      </c>
      <c r="AV193" s="185">
        <v>4863.6456222163388</v>
      </c>
      <c r="AW193" s="296">
        <v>3812.7555758976496</v>
      </c>
      <c r="AX193" s="304"/>
    </row>
    <row r="194" spans="1:50" ht="14.25" customHeight="1" x14ac:dyDescent="0.15">
      <c r="A194" s="186" t="s">
        <v>439</v>
      </c>
      <c r="B194" s="295" t="s">
        <v>297</v>
      </c>
      <c r="C194" s="295" t="s">
        <v>297</v>
      </c>
      <c r="D194" s="295" t="s">
        <v>297</v>
      </c>
      <c r="E194" s="295" t="s">
        <v>297</v>
      </c>
      <c r="F194" s="295" t="s">
        <v>297</v>
      </c>
      <c r="G194" s="295" t="s">
        <v>297</v>
      </c>
      <c r="H194" s="295" t="s">
        <v>297</v>
      </c>
      <c r="I194" s="295" t="s">
        <v>297</v>
      </c>
      <c r="J194" s="295" t="s">
        <v>297</v>
      </c>
      <c r="K194" s="295" t="s">
        <v>297</v>
      </c>
      <c r="L194" s="295" t="s">
        <v>297</v>
      </c>
      <c r="M194" s="295" t="s">
        <v>297</v>
      </c>
      <c r="N194" s="295" t="s">
        <v>297</v>
      </c>
      <c r="O194" s="295" t="s">
        <v>297</v>
      </c>
      <c r="P194" s="295" t="s">
        <v>297</v>
      </c>
      <c r="Q194" s="295" t="s">
        <v>297</v>
      </c>
      <c r="R194" s="295" t="s">
        <v>297</v>
      </c>
      <c r="S194" s="295" t="s">
        <v>297</v>
      </c>
      <c r="T194" s="295" t="s">
        <v>297</v>
      </c>
      <c r="U194" s="295" t="s">
        <v>297</v>
      </c>
      <c r="V194" s="295" t="s">
        <v>297</v>
      </c>
      <c r="W194" s="295" t="s">
        <v>297</v>
      </c>
      <c r="X194" s="295" t="s">
        <v>297</v>
      </c>
      <c r="Y194" s="295" t="s">
        <v>297</v>
      </c>
      <c r="Z194" s="295" t="s">
        <v>297</v>
      </c>
      <c r="AA194" s="295" t="s">
        <v>297</v>
      </c>
      <c r="AB194" s="295" t="s">
        <v>297</v>
      </c>
      <c r="AC194" s="295" t="s">
        <v>297</v>
      </c>
      <c r="AD194" s="295" t="s">
        <v>297</v>
      </c>
      <c r="AE194" s="295" t="s">
        <v>297</v>
      </c>
      <c r="AF194" s="183" t="s">
        <v>297</v>
      </c>
      <c r="AG194" s="183" t="s">
        <v>297</v>
      </c>
      <c r="AH194" s="183" t="s">
        <v>297</v>
      </c>
      <c r="AI194" s="183" t="s">
        <v>297</v>
      </c>
      <c r="AJ194" s="183">
        <v>0</v>
      </c>
      <c r="AK194" s="183">
        <v>0</v>
      </c>
      <c r="AL194" s="183">
        <v>0</v>
      </c>
      <c r="AM194" s="183">
        <v>0</v>
      </c>
      <c r="AN194" s="183">
        <v>0</v>
      </c>
      <c r="AO194" s="183">
        <v>0</v>
      </c>
      <c r="AP194" s="183">
        <v>0</v>
      </c>
      <c r="AQ194" s="183">
        <v>0</v>
      </c>
      <c r="AR194" s="183">
        <v>0</v>
      </c>
      <c r="AS194" s="183">
        <v>0</v>
      </c>
      <c r="AT194" s="183">
        <v>0</v>
      </c>
      <c r="AU194" s="183">
        <v>0</v>
      </c>
      <c r="AV194" s="183">
        <v>0</v>
      </c>
      <c r="AW194" s="295">
        <v>0</v>
      </c>
      <c r="AX194" s="304"/>
    </row>
    <row r="195" spans="1:50" ht="14.25" customHeight="1" x14ac:dyDescent="0.15">
      <c r="A195" s="186" t="s">
        <v>440</v>
      </c>
      <c r="B195" s="296">
        <v>1.8664298759577175E-2</v>
      </c>
      <c r="C195" s="296">
        <v>0</v>
      </c>
      <c r="D195" s="296">
        <v>0</v>
      </c>
      <c r="E195" s="296">
        <v>0</v>
      </c>
      <c r="F195" s="296">
        <v>0</v>
      </c>
      <c r="G195" s="296">
        <v>0</v>
      </c>
      <c r="H195" s="296">
        <v>2.2080623879522188E-2</v>
      </c>
      <c r="I195" s="296">
        <v>1.8258934365123367E-2</v>
      </c>
      <c r="J195" s="296">
        <v>0</v>
      </c>
      <c r="K195" s="296">
        <v>0</v>
      </c>
      <c r="L195" s="296">
        <v>0</v>
      </c>
      <c r="M195" s="296">
        <v>0</v>
      </c>
      <c r="N195" s="296">
        <v>0</v>
      </c>
      <c r="O195" s="296">
        <v>0</v>
      </c>
      <c r="P195" s="296">
        <v>0</v>
      </c>
      <c r="Q195" s="296">
        <v>0</v>
      </c>
      <c r="R195" s="296">
        <v>0</v>
      </c>
      <c r="S195" s="296">
        <v>0</v>
      </c>
      <c r="T195" s="296">
        <v>0</v>
      </c>
      <c r="U195" s="296">
        <v>5.306151088150961</v>
      </c>
      <c r="V195" s="296">
        <v>7.1902460546066225</v>
      </c>
      <c r="W195" s="296">
        <v>4.4941629908302243</v>
      </c>
      <c r="X195" s="296">
        <v>4.135903157410131</v>
      </c>
      <c r="Y195" s="296">
        <v>11.92639856903587</v>
      </c>
      <c r="Z195" s="296">
        <v>7.1148490911004441</v>
      </c>
      <c r="AA195" s="296">
        <v>2.3922569936509768</v>
      </c>
      <c r="AB195" s="296">
        <v>0.78372720897695702</v>
      </c>
      <c r="AC195" s="296">
        <v>0.50020669456244504</v>
      </c>
      <c r="AD195" s="296">
        <v>0.53285285647758851</v>
      </c>
      <c r="AE195" s="296">
        <v>5.7723885128712089</v>
      </c>
      <c r="AF195" s="185">
        <v>7.1293321572178323</v>
      </c>
      <c r="AG195" s="185">
        <v>6.1367587025297228</v>
      </c>
      <c r="AH195" s="185">
        <v>4.6256665891568121</v>
      </c>
      <c r="AI195" s="185">
        <v>9.5672636852053632</v>
      </c>
      <c r="AJ195" s="185">
        <v>1.0886820325112778</v>
      </c>
      <c r="AK195" s="185">
        <v>33.19561533759083</v>
      </c>
      <c r="AL195" s="185">
        <v>292.10000000000002</v>
      </c>
      <c r="AM195" s="185">
        <v>123.50253096632572</v>
      </c>
      <c r="AN195" s="185">
        <v>127.21410781798355</v>
      </c>
      <c r="AO195" s="185">
        <v>149.06065297012617</v>
      </c>
      <c r="AP195" s="185">
        <v>170.19859441779812</v>
      </c>
      <c r="AQ195" s="185">
        <v>114.79810226361961</v>
      </c>
      <c r="AR195" s="185">
        <v>115.00598253167433</v>
      </c>
      <c r="AS195" s="185">
        <v>89.192701206281072</v>
      </c>
      <c r="AT195" s="185">
        <v>102.33123913228548</v>
      </c>
      <c r="AU195" s="185">
        <v>124.58086096260608</v>
      </c>
      <c r="AV195" s="185" t="s">
        <v>297</v>
      </c>
      <c r="AW195" s="296" t="s">
        <v>297</v>
      </c>
      <c r="AX195" s="304"/>
    </row>
    <row r="196" spans="1:50" ht="14.25" customHeight="1" x14ac:dyDescent="0.15">
      <c r="A196" s="186" t="s">
        <v>441</v>
      </c>
      <c r="B196" s="295">
        <v>0</v>
      </c>
      <c r="C196" s="295">
        <v>0</v>
      </c>
      <c r="D196" s="295">
        <v>0</v>
      </c>
      <c r="E196" s="295">
        <v>0.85093794414967783</v>
      </c>
      <c r="F196" s="295">
        <v>1.5974034048322974</v>
      </c>
      <c r="G196" s="295">
        <v>2.0975382860136809</v>
      </c>
      <c r="H196" s="295">
        <v>1.3505884382086104</v>
      </c>
      <c r="I196" s="295">
        <v>2.7126750109037623</v>
      </c>
      <c r="J196" s="295">
        <v>0</v>
      </c>
      <c r="K196" s="295">
        <v>0.36770428341490619</v>
      </c>
      <c r="L196" s="295">
        <v>0</v>
      </c>
      <c r="M196" s="295">
        <v>0</v>
      </c>
      <c r="N196" s="295">
        <v>0</v>
      </c>
      <c r="O196" s="295">
        <v>0</v>
      </c>
      <c r="P196" s="295">
        <v>1.8635262452929152E-2</v>
      </c>
      <c r="Q196" s="295">
        <v>0</v>
      </c>
      <c r="R196" s="295">
        <v>2.4687322136124755E-2</v>
      </c>
      <c r="S196" s="295">
        <v>2.250191054313456E-3</v>
      </c>
      <c r="T196" s="295">
        <v>7.2927670043569539E-4</v>
      </c>
      <c r="U196" s="295">
        <v>0</v>
      </c>
      <c r="V196" s="295" t="s">
        <v>297</v>
      </c>
      <c r="W196" s="295" t="s">
        <v>297</v>
      </c>
      <c r="X196" s="295" t="s">
        <v>297</v>
      </c>
      <c r="Y196" s="295" t="s">
        <v>297</v>
      </c>
      <c r="Z196" s="295" t="s">
        <v>297</v>
      </c>
      <c r="AA196" s="295" t="s">
        <v>297</v>
      </c>
      <c r="AB196" s="295" t="s">
        <v>297</v>
      </c>
      <c r="AC196" s="295" t="s">
        <v>297</v>
      </c>
      <c r="AD196" s="295">
        <v>0.47598144756750965</v>
      </c>
      <c r="AE196" s="295">
        <v>0</v>
      </c>
      <c r="AF196" s="183">
        <v>0</v>
      </c>
      <c r="AG196" s="183">
        <v>0</v>
      </c>
      <c r="AH196" s="183" t="s">
        <v>297</v>
      </c>
      <c r="AI196" s="183">
        <v>2.7339300244100897E-3</v>
      </c>
      <c r="AJ196" s="183">
        <v>2.3647272478845028E-5</v>
      </c>
      <c r="AK196" s="183">
        <v>0</v>
      </c>
      <c r="AL196" s="183" t="s">
        <v>297</v>
      </c>
      <c r="AM196" s="183">
        <v>0</v>
      </c>
      <c r="AN196" s="183">
        <v>1.144380210835759</v>
      </c>
      <c r="AO196" s="183" t="s">
        <v>297</v>
      </c>
      <c r="AP196" s="183">
        <v>5.8368938395029824E-2</v>
      </c>
      <c r="AQ196" s="183">
        <v>0.52690742619239295</v>
      </c>
      <c r="AR196" s="183">
        <v>0.21864809866642845</v>
      </c>
      <c r="AS196" s="183">
        <v>6.5990368707385352E-2</v>
      </c>
      <c r="AT196" s="183">
        <v>0.1308790924129016</v>
      </c>
      <c r="AU196" s="183">
        <v>9.8717126071999478E-2</v>
      </c>
      <c r="AV196" s="183">
        <v>0.15347851182546363</v>
      </c>
      <c r="AW196" s="295">
        <v>0.2071047757702644</v>
      </c>
      <c r="AX196" s="304"/>
    </row>
    <row r="197" spans="1:50" ht="14.25" customHeight="1" x14ac:dyDescent="0.15">
      <c r="A197" s="186" t="s">
        <v>442</v>
      </c>
      <c r="B197" s="296">
        <v>0</v>
      </c>
      <c r="C197" s="296">
        <v>0</v>
      </c>
      <c r="D197" s="296">
        <v>0</v>
      </c>
      <c r="E197" s="296">
        <v>0</v>
      </c>
      <c r="F197" s="296">
        <v>0</v>
      </c>
      <c r="G197" s="296">
        <v>0</v>
      </c>
      <c r="H197" s="296">
        <v>0</v>
      </c>
      <c r="I197" s="296">
        <v>0</v>
      </c>
      <c r="J197" s="296">
        <v>0</v>
      </c>
      <c r="K197" s="296">
        <v>0</v>
      </c>
      <c r="L197" s="296">
        <v>0</v>
      </c>
      <c r="M197" s="296">
        <v>0</v>
      </c>
      <c r="N197" s="296">
        <v>0</v>
      </c>
      <c r="O197" s="296">
        <v>0</v>
      </c>
      <c r="P197" s="296">
        <v>0</v>
      </c>
      <c r="Q197" s="296">
        <v>0</v>
      </c>
      <c r="R197" s="296">
        <v>0</v>
      </c>
      <c r="S197" s="296">
        <v>0</v>
      </c>
      <c r="T197" s="296">
        <v>0</v>
      </c>
      <c r="U197" s="296">
        <v>0</v>
      </c>
      <c r="V197" s="296">
        <v>0</v>
      </c>
      <c r="W197" s="296" t="s">
        <v>297</v>
      </c>
      <c r="X197" s="296" t="s">
        <v>297</v>
      </c>
      <c r="Y197" s="296" t="s">
        <v>297</v>
      </c>
      <c r="Z197" s="296" t="s">
        <v>297</v>
      </c>
      <c r="AA197" s="296" t="s">
        <v>297</v>
      </c>
      <c r="AB197" s="296" t="s">
        <v>297</v>
      </c>
      <c r="AC197" s="296" t="s">
        <v>297</v>
      </c>
      <c r="AD197" s="296" t="s">
        <v>297</v>
      </c>
      <c r="AE197" s="296" t="s">
        <v>297</v>
      </c>
      <c r="AF197" s="185" t="s">
        <v>297</v>
      </c>
      <c r="AG197" s="185" t="s">
        <v>297</v>
      </c>
      <c r="AH197" s="185" t="s">
        <v>297</v>
      </c>
      <c r="AI197" s="185" t="s">
        <v>297</v>
      </c>
      <c r="AJ197" s="185" t="s">
        <v>297</v>
      </c>
      <c r="AK197" s="185" t="s">
        <v>297</v>
      </c>
      <c r="AL197" s="185">
        <v>-3</v>
      </c>
      <c r="AM197" s="185">
        <v>233.98233077704302</v>
      </c>
      <c r="AN197" s="185">
        <v>134.79887954735801</v>
      </c>
      <c r="AO197" s="185">
        <v>33.333127170924001</v>
      </c>
      <c r="AP197" s="185">
        <v>125.37637644172928</v>
      </c>
      <c r="AQ197" s="185">
        <v>50.523918620484096</v>
      </c>
      <c r="AR197" s="185">
        <v>9.9040706036126291</v>
      </c>
      <c r="AS197" s="185">
        <v>68.402825790719604</v>
      </c>
      <c r="AT197" s="185">
        <v>71.858131724753306</v>
      </c>
      <c r="AU197" s="185">
        <v>57.182149960515133</v>
      </c>
      <c r="AV197" s="185">
        <v>74.291869802612609</v>
      </c>
      <c r="AW197" s="296">
        <v>85.236642146124709</v>
      </c>
      <c r="AX197" s="304"/>
    </row>
    <row r="198" spans="1:50" ht="14.25" customHeight="1" x14ac:dyDescent="0.15">
      <c r="A198" s="186" t="s">
        <v>443</v>
      </c>
      <c r="B198" s="295" t="s">
        <v>297</v>
      </c>
      <c r="C198" s="295">
        <v>2.3322255316476603</v>
      </c>
      <c r="D198" s="295">
        <v>4.6625480933967784</v>
      </c>
      <c r="E198" s="295">
        <v>0</v>
      </c>
      <c r="F198" s="295">
        <v>12.30125783387461</v>
      </c>
      <c r="G198" s="295">
        <v>12.347076345710907</v>
      </c>
      <c r="H198" s="295">
        <v>14.175660082878311</v>
      </c>
      <c r="I198" s="295">
        <v>15.236482937655671</v>
      </c>
      <c r="J198" s="295">
        <v>27.991946214692263</v>
      </c>
      <c r="K198" s="295">
        <v>47.629264131961605</v>
      </c>
      <c r="L198" s="295">
        <v>16.776596649351816</v>
      </c>
      <c r="M198" s="295">
        <v>3.778198743748916</v>
      </c>
      <c r="N198" s="295">
        <v>0</v>
      </c>
      <c r="O198" s="295">
        <v>0</v>
      </c>
      <c r="P198" s="295">
        <v>0</v>
      </c>
      <c r="Q198" s="295">
        <v>1.1385199240986721</v>
      </c>
      <c r="R198" s="295">
        <v>5.4076220432699911</v>
      </c>
      <c r="S198" s="295">
        <v>11.306674706968685</v>
      </c>
      <c r="T198" s="295">
        <v>0.99627228121445244</v>
      </c>
      <c r="U198" s="295">
        <v>0.9885778072520387</v>
      </c>
      <c r="V198" s="295">
        <v>1.0573618821041502</v>
      </c>
      <c r="W198" s="295">
        <v>2.0546362009776651</v>
      </c>
      <c r="X198" s="295">
        <v>1.8084681521223183</v>
      </c>
      <c r="Y198" s="295">
        <v>1.7563503040681465</v>
      </c>
      <c r="Z198" s="295">
        <v>2.5290311703091737</v>
      </c>
      <c r="AA198" s="295">
        <v>2.9182524531559757</v>
      </c>
      <c r="AB198" s="295">
        <v>3.4753295046786623</v>
      </c>
      <c r="AC198" s="295">
        <v>6.3303010409828531</v>
      </c>
      <c r="AD198" s="295">
        <v>9.3134560036219245</v>
      </c>
      <c r="AE198" s="295">
        <v>12.043678407022771</v>
      </c>
      <c r="AF198" s="183">
        <v>12.717416437581925</v>
      </c>
      <c r="AG198" s="183">
        <v>6.6114460660017667</v>
      </c>
      <c r="AH198" s="183">
        <v>6.3214167257402787</v>
      </c>
      <c r="AI198" s="183">
        <v>7.4666738808443087</v>
      </c>
      <c r="AJ198" s="183">
        <v>4.0732443391161066</v>
      </c>
      <c r="AK198" s="183">
        <v>6.7067206930278047</v>
      </c>
      <c r="AL198" s="183">
        <v>6.3930292303503293</v>
      </c>
      <c r="AM198" s="183">
        <v>5.3780938712138475</v>
      </c>
      <c r="AN198" s="183">
        <v>22.343159330936295</v>
      </c>
      <c r="AO198" s="183">
        <v>14.608214175269117</v>
      </c>
      <c r="AP198" s="183">
        <v>39.864907920728989</v>
      </c>
      <c r="AQ198" s="183">
        <v>32.541394453841548</v>
      </c>
      <c r="AR198" s="183">
        <v>28.312512270477487</v>
      </c>
      <c r="AS198" s="183">
        <v>27.466438304410211</v>
      </c>
      <c r="AT198" s="183">
        <v>35.543489373303231</v>
      </c>
      <c r="AU198" s="183">
        <v>21.832210807655525</v>
      </c>
      <c r="AV198" s="183">
        <v>28.127012906457963</v>
      </c>
      <c r="AW198" s="295" t="s">
        <v>297</v>
      </c>
      <c r="AX198" s="304"/>
    </row>
    <row r="199" spans="1:50" ht="14.25" customHeight="1" x14ac:dyDescent="0.15">
      <c r="A199" s="186" t="s">
        <v>206</v>
      </c>
      <c r="B199" s="296">
        <v>1</v>
      </c>
      <c r="C199" s="296">
        <v>1</v>
      </c>
      <c r="D199" s="296">
        <v>6</v>
      </c>
      <c r="E199" s="296">
        <v>66</v>
      </c>
      <c r="F199" s="296">
        <v>34</v>
      </c>
      <c r="G199" s="296">
        <v>51</v>
      </c>
      <c r="H199" s="296">
        <v>52</v>
      </c>
      <c r="I199" s="296">
        <v>10</v>
      </c>
      <c r="J199" s="296">
        <v>21</v>
      </c>
      <c r="K199" s="296" t="s">
        <v>297</v>
      </c>
      <c r="L199" s="296" t="s">
        <v>297</v>
      </c>
      <c r="M199" s="296" t="s">
        <v>297</v>
      </c>
      <c r="N199" s="296" t="s">
        <v>297</v>
      </c>
      <c r="O199" s="296" t="s">
        <v>297</v>
      </c>
      <c r="P199" s="296" t="s">
        <v>297</v>
      </c>
      <c r="Q199" s="296" t="s">
        <v>297</v>
      </c>
      <c r="R199" s="296" t="s">
        <v>297</v>
      </c>
      <c r="S199" s="296">
        <v>10</v>
      </c>
      <c r="T199" s="296">
        <v>10</v>
      </c>
      <c r="U199" s="296">
        <v>10</v>
      </c>
      <c r="V199" s="296">
        <v>41</v>
      </c>
      <c r="W199" s="296">
        <v>32</v>
      </c>
      <c r="X199" s="296">
        <v>61</v>
      </c>
      <c r="Y199" s="296">
        <v>101</v>
      </c>
      <c r="Z199" s="296">
        <v>146</v>
      </c>
      <c r="AA199" s="296">
        <v>368</v>
      </c>
      <c r="AB199" s="296">
        <v>361</v>
      </c>
      <c r="AC199" s="296">
        <v>293</v>
      </c>
      <c r="AD199" s="296">
        <v>203</v>
      </c>
      <c r="AE199" s="296">
        <v>244</v>
      </c>
      <c r="AF199" s="185">
        <v>201</v>
      </c>
      <c r="AG199" s="185">
        <v>129</v>
      </c>
      <c r="AH199" s="185">
        <v>108</v>
      </c>
      <c r="AI199" s="185">
        <v>327</v>
      </c>
      <c r="AJ199" s="185">
        <v>182</v>
      </c>
      <c r="AK199" s="185">
        <v>681</v>
      </c>
      <c r="AL199" s="185">
        <v>220</v>
      </c>
      <c r="AM199" s="185">
        <v>96</v>
      </c>
      <c r="AN199" s="185">
        <v>274</v>
      </c>
      <c r="AO199" s="185">
        <v>309</v>
      </c>
      <c r="AP199" s="185">
        <v>221</v>
      </c>
      <c r="AQ199" s="185">
        <v>202</v>
      </c>
      <c r="AR199" s="185">
        <v>291</v>
      </c>
      <c r="AS199" s="185">
        <v>961</v>
      </c>
      <c r="AT199" s="185">
        <v>820</v>
      </c>
      <c r="AU199" s="185">
        <v>1101</v>
      </c>
      <c r="AV199" s="185">
        <v>1567</v>
      </c>
      <c r="AW199" s="296">
        <v>2219</v>
      </c>
      <c r="AX199" s="304"/>
    </row>
    <row r="200" spans="1:50" ht="14.25" customHeight="1" x14ac:dyDescent="0.15">
      <c r="A200" s="186" t="s">
        <v>444</v>
      </c>
      <c r="B200" s="295" t="s">
        <v>297</v>
      </c>
      <c r="C200" s="295" t="s">
        <v>297</v>
      </c>
      <c r="D200" s="295" t="s">
        <v>297</v>
      </c>
      <c r="E200" s="295" t="s">
        <v>297</v>
      </c>
      <c r="F200" s="295" t="s">
        <v>297</v>
      </c>
      <c r="G200" s="295" t="s">
        <v>297</v>
      </c>
      <c r="H200" s="295" t="s">
        <v>297</v>
      </c>
      <c r="I200" s="295" t="s">
        <v>297</v>
      </c>
      <c r="J200" s="295" t="s">
        <v>297</v>
      </c>
      <c r="K200" s="295" t="s">
        <v>297</v>
      </c>
      <c r="L200" s="295" t="s">
        <v>297</v>
      </c>
      <c r="M200" s="295" t="s">
        <v>297</v>
      </c>
      <c r="N200" s="295" t="s">
        <v>297</v>
      </c>
      <c r="O200" s="295" t="s">
        <v>297</v>
      </c>
      <c r="P200" s="295" t="s">
        <v>297</v>
      </c>
      <c r="Q200" s="295" t="s">
        <v>297</v>
      </c>
      <c r="R200" s="295" t="s">
        <v>297</v>
      </c>
      <c r="S200" s="295" t="s">
        <v>297</v>
      </c>
      <c r="T200" s="295" t="s">
        <v>297</v>
      </c>
      <c r="U200" s="295" t="s">
        <v>297</v>
      </c>
      <c r="V200" s="295" t="s">
        <v>297</v>
      </c>
      <c r="W200" s="295" t="s">
        <v>297</v>
      </c>
      <c r="X200" s="295" t="s">
        <v>297</v>
      </c>
      <c r="Y200" s="295" t="s">
        <v>297</v>
      </c>
      <c r="Z200" s="295" t="s">
        <v>297</v>
      </c>
      <c r="AA200" s="295" t="s">
        <v>297</v>
      </c>
      <c r="AB200" s="295" t="s">
        <v>297</v>
      </c>
      <c r="AC200" s="295" t="s">
        <v>297</v>
      </c>
      <c r="AD200" s="295" t="s">
        <v>297</v>
      </c>
      <c r="AE200" s="295" t="s">
        <v>297</v>
      </c>
      <c r="AF200" s="183" t="s">
        <v>297</v>
      </c>
      <c r="AG200" s="183" t="s">
        <v>297</v>
      </c>
      <c r="AH200" s="183" t="s">
        <v>297</v>
      </c>
      <c r="AI200" s="183" t="s">
        <v>297</v>
      </c>
      <c r="AJ200" s="183" t="s">
        <v>297</v>
      </c>
      <c r="AK200" s="183" t="s">
        <v>297</v>
      </c>
      <c r="AL200" s="183" t="s">
        <v>297</v>
      </c>
      <c r="AM200" s="183" t="s">
        <v>297</v>
      </c>
      <c r="AN200" s="183" t="s">
        <v>297</v>
      </c>
      <c r="AO200" s="183" t="s">
        <v>297</v>
      </c>
      <c r="AP200" s="183" t="s">
        <v>297</v>
      </c>
      <c r="AQ200" s="183" t="s">
        <v>297</v>
      </c>
      <c r="AR200" s="183" t="s">
        <v>297</v>
      </c>
      <c r="AS200" s="183" t="s">
        <v>297</v>
      </c>
      <c r="AT200" s="183" t="s">
        <v>297</v>
      </c>
      <c r="AU200" s="183" t="s">
        <v>297</v>
      </c>
      <c r="AV200" s="183" t="s">
        <v>297</v>
      </c>
      <c r="AW200" s="295" t="s">
        <v>297</v>
      </c>
      <c r="AX200" s="304"/>
    </row>
    <row r="201" spans="1:50" ht="14.25" customHeight="1" x14ac:dyDescent="0.15">
      <c r="A201" s="186" t="s">
        <v>445</v>
      </c>
      <c r="B201" s="296" t="s">
        <v>297</v>
      </c>
      <c r="C201" s="296" t="s">
        <v>297</v>
      </c>
      <c r="D201" s="296" t="s">
        <v>297</v>
      </c>
      <c r="E201" s="296" t="s">
        <v>297</v>
      </c>
      <c r="F201" s="296" t="s">
        <v>297</v>
      </c>
      <c r="G201" s="296" t="s">
        <v>297</v>
      </c>
      <c r="H201" s="296" t="s">
        <v>297</v>
      </c>
      <c r="I201" s="296" t="s">
        <v>297</v>
      </c>
      <c r="J201" s="296" t="s">
        <v>297</v>
      </c>
      <c r="K201" s="296" t="s">
        <v>297</v>
      </c>
      <c r="L201" s="296" t="s">
        <v>297</v>
      </c>
      <c r="M201" s="296" t="s">
        <v>297</v>
      </c>
      <c r="N201" s="296" t="s">
        <v>297</v>
      </c>
      <c r="O201" s="296" t="s">
        <v>297</v>
      </c>
      <c r="P201" s="296" t="s">
        <v>297</v>
      </c>
      <c r="Q201" s="296" t="s">
        <v>297</v>
      </c>
      <c r="R201" s="296" t="s">
        <v>297</v>
      </c>
      <c r="S201" s="296" t="s">
        <v>297</v>
      </c>
      <c r="T201" s="296" t="s">
        <v>297</v>
      </c>
      <c r="U201" s="296" t="s">
        <v>297</v>
      </c>
      <c r="V201" s="296" t="s">
        <v>297</v>
      </c>
      <c r="W201" s="296" t="s">
        <v>297</v>
      </c>
      <c r="X201" s="296" t="s">
        <v>297</v>
      </c>
      <c r="Y201" s="296" t="s">
        <v>297</v>
      </c>
      <c r="Z201" s="296" t="s">
        <v>297</v>
      </c>
      <c r="AA201" s="296" t="s">
        <v>297</v>
      </c>
      <c r="AB201" s="296" t="s">
        <v>297</v>
      </c>
      <c r="AC201" s="296" t="s">
        <v>297</v>
      </c>
      <c r="AD201" s="296" t="s">
        <v>297</v>
      </c>
      <c r="AE201" s="296" t="s">
        <v>297</v>
      </c>
      <c r="AF201" s="185" t="s">
        <v>297</v>
      </c>
      <c r="AG201" s="185" t="s">
        <v>297</v>
      </c>
      <c r="AH201" s="185" t="s">
        <v>297</v>
      </c>
      <c r="AI201" s="185" t="s">
        <v>297</v>
      </c>
      <c r="AJ201" s="185" t="s">
        <v>297</v>
      </c>
      <c r="AK201" s="185" t="s">
        <v>297</v>
      </c>
      <c r="AL201" s="185" t="s">
        <v>297</v>
      </c>
      <c r="AM201" s="185" t="s">
        <v>297</v>
      </c>
      <c r="AN201" s="185" t="s">
        <v>297</v>
      </c>
      <c r="AO201" s="185" t="s">
        <v>297</v>
      </c>
      <c r="AP201" s="185" t="s">
        <v>297</v>
      </c>
      <c r="AQ201" s="185" t="s">
        <v>297</v>
      </c>
      <c r="AR201" s="185" t="s">
        <v>297</v>
      </c>
      <c r="AS201" s="185" t="s">
        <v>297</v>
      </c>
      <c r="AT201" s="185" t="s">
        <v>297</v>
      </c>
      <c r="AU201" s="185" t="s">
        <v>297</v>
      </c>
      <c r="AV201" s="185" t="s">
        <v>297</v>
      </c>
      <c r="AW201" s="296" t="s">
        <v>297</v>
      </c>
      <c r="AX201" s="304"/>
    </row>
    <row r="202" spans="1:50" ht="14.25" customHeight="1" x14ac:dyDescent="0.15">
      <c r="A202" s="186" t="s">
        <v>446</v>
      </c>
      <c r="B202" s="295" t="s">
        <v>297</v>
      </c>
      <c r="C202" s="295" t="s">
        <v>297</v>
      </c>
      <c r="D202" s="295" t="s">
        <v>297</v>
      </c>
      <c r="E202" s="295" t="s">
        <v>297</v>
      </c>
      <c r="F202" s="295" t="s">
        <v>297</v>
      </c>
      <c r="G202" s="295" t="s">
        <v>297</v>
      </c>
      <c r="H202" s="295" t="s">
        <v>297</v>
      </c>
      <c r="I202" s="295" t="s">
        <v>297</v>
      </c>
      <c r="J202" s="295" t="s">
        <v>297</v>
      </c>
      <c r="K202" s="295" t="s">
        <v>297</v>
      </c>
      <c r="L202" s="295" t="s">
        <v>297</v>
      </c>
      <c r="M202" s="295" t="s">
        <v>297</v>
      </c>
      <c r="N202" s="295" t="s">
        <v>297</v>
      </c>
      <c r="O202" s="295" t="s">
        <v>297</v>
      </c>
      <c r="P202" s="295" t="s">
        <v>297</v>
      </c>
      <c r="Q202" s="295" t="s">
        <v>297</v>
      </c>
      <c r="R202" s="295" t="s">
        <v>297</v>
      </c>
      <c r="S202" s="295" t="s">
        <v>297</v>
      </c>
      <c r="T202" s="295" t="s">
        <v>297</v>
      </c>
      <c r="U202" s="295" t="s">
        <v>297</v>
      </c>
      <c r="V202" s="295" t="s">
        <v>297</v>
      </c>
      <c r="W202" s="295" t="s">
        <v>297</v>
      </c>
      <c r="X202" s="295" t="s">
        <v>297</v>
      </c>
      <c r="Y202" s="295" t="s">
        <v>297</v>
      </c>
      <c r="Z202" s="295" t="s">
        <v>297</v>
      </c>
      <c r="AA202" s="295" t="s">
        <v>297</v>
      </c>
      <c r="AB202" s="295" t="s">
        <v>297</v>
      </c>
      <c r="AC202" s="295" t="s">
        <v>297</v>
      </c>
      <c r="AD202" s="295" t="s">
        <v>297</v>
      </c>
      <c r="AE202" s="295">
        <v>1.5443987049113719E-2</v>
      </c>
      <c r="AF202" s="183">
        <v>2.1382642385488367E-2</v>
      </c>
      <c r="AG202" s="183" t="s">
        <v>297</v>
      </c>
      <c r="AH202" s="183">
        <v>2.2592771568252134E-2</v>
      </c>
      <c r="AI202" s="183" t="s">
        <v>297</v>
      </c>
      <c r="AJ202" s="183" t="s">
        <v>297</v>
      </c>
      <c r="AK202" s="183" t="s">
        <v>297</v>
      </c>
      <c r="AL202" s="183" t="s">
        <v>297</v>
      </c>
      <c r="AM202" s="183" t="s">
        <v>297</v>
      </c>
      <c r="AN202" s="183">
        <v>0</v>
      </c>
      <c r="AO202" s="183">
        <v>0</v>
      </c>
      <c r="AP202" s="183">
        <v>0</v>
      </c>
      <c r="AQ202" s="183">
        <v>0</v>
      </c>
      <c r="AR202" s="183">
        <v>0</v>
      </c>
      <c r="AS202" s="183">
        <v>0</v>
      </c>
      <c r="AT202" s="183">
        <v>0</v>
      </c>
      <c r="AU202" s="183">
        <v>0</v>
      </c>
      <c r="AV202" s="183">
        <v>0</v>
      </c>
      <c r="AW202" s="295" t="s">
        <v>297</v>
      </c>
      <c r="AX202" s="304"/>
    </row>
    <row r="203" spans="1:50" ht="14.25" customHeight="1" x14ac:dyDescent="0.15">
      <c r="A203" s="186" t="s">
        <v>447</v>
      </c>
      <c r="B203" s="296" t="s">
        <v>297</v>
      </c>
      <c r="C203" s="296" t="s">
        <v>297</v>
      </c>
      <c r="D203" s="296" t="s">
        <v>297</v>
      </c>
      <c r="E203" s="296" t="s">
        <v>297</v>
      </c>
      <c r="F203" s="296" t="s">
        <v>297</v>
      </c>
      <c r="G203" s="296">
        <v>0</v>
      </c>
      <c r="H203" s="296">
        <v>0</v>
      </c>
      <c r="I203" s="296">
        <v>0</v>
      </c>
      <c r="J203" s="296">
        <v>0</v>
      </c>
      <c r="K203" s="296">
        <v>0</v>
      </c>
      <c r="L203" s="296">
        <v>1</v>
      </c>
      <c r="M203" s="296">
        <v>1</v>
      </c>
      <c r="N203" s="296">
        <v>0</v>
      </c>
      <c r="O203" s="296">
        <v>0</v>
      </c>
      <c r="P203" s="296">
        <v>0</v>
      </c>
      <c r="Q203" s="296">
        <v>0</v>
      </c>
      <c r="R203" s="296">
        <v>0</v>
      </c>
      <c r="S203" s="296">
        <v>0</v>
      </c>
      <c r="T203" s="296">
        <v>0</v>
      </c>
      <c r="U203" s="296">
        <v>0</v>
      </c>
      <c r="V203" s="296">
        <v>0</v>
      </c>
      <c r="W203" s="296">
        <v>0</v>
      </c>
      <c r="X203" s="296">
        <v>0</v>
      </c>
      <c r="Y203" s="296">
        <v>0</v>
      </c>
      <c r="Z203" s="296">
        <v>0</v>
      </c>
      <c r="AA203" s="296" t="s">
        <v>297</v>
      </c>
      <c r="AB203" s="296" t="s">
        <v>297</v>
      </c>
      <c r="AC203" s="296">
        <v>0</v>
      </c>
      <c r="AD203" s="296">
        <v>0</v>
      </c>
      <c r="AE203" s="296">
        <v>0</v>
      </c>
      <c r="AF203" s="185">
        <v>0</v>
      </c>
      <c r="AG203" s="185">
        <v>0</v>
      </c>
      <c r="AH203" s="185">
        <v>0</v>
      </c>
      <c r="AI203" s="185">
        <v>0</v>
      </c>
      <c r="AJ203" s="185">
        <v>0</v>
      </c>
      <c r="AK203" s="185">
        <v>36.807494836335195</v>
      </c>
      <c r="AL203" s="185">
        <v>-10.531217551091402</v>
      </c>
      <c r="AM203" s="185">
        <v>47.006751219199998</v>
      </c>
      <c r="AN203" s="185">
        <v>45.792216729562</v>
      </c>
      <c r="AO203" s="185">
        <v>0.57928027590880804</v>
      </c>
      <c r="AP203" s="185">
        <v>0.28261909839332688</v>
      </c>
      <c r="AQ203" s="185">
        <v>0.14539770495074988</v>
      </c>
      <c r="AR203" s="185">
        <v>0.30413225306923675</v>
      </c>
      <c r="AS203" s="185">
        <v>0.31820678117815099</v>
      </c>
      <c r="AT203" s="185">
        <v>0.32268628428272622</v>
      </c>
      <c r="AU203" s="185">
        <v>0.3280490536067634</v>
      </c>
      <c r="AV203" s="185">
        <v>0.34811224108126221</v>
      </c>
      <c r="AW203" s="296" t="s">
        <v>297</v>
      </c>
      <c r="AX203" s="304"/>
    </row>
    <row r="204" spans="1:50" ht="14.25" customHeight="1" x14ac:dyDescent="0.15">
      <c r="A204" s="186" t="s">
        <v>448</v>
      </c>
      <c r="B204" s="295" t="s">
        <v>297</v>
      </c>
      <c r="C204" s="295" t="s">
        <v>297</v>
      </c>
      <c r="D204" s="295" t="s">
        <v>297</v>
      </c>
      <c r="E204" s="295" t="s">
        <v>297</v>
      </c>
      <c r="F204" s="295" t="s">
        <v>297</v>
      </c>
      <c r="G204" s="295" t="s">
        <v>297</v>
      </c>
      <c r="H204" s="295" t="s">
        <v>297</v>
      </c>
      <c r="I204" s="295" t="s">
        <v>297</v>
      </c>
      <c r="J204" s="295" t="s">
        <v>297</v>
      </c>
      <c r="K204" s="295" t="s">
        <v>297</v>
      </c>
      <c r="L204" s="295" t="s">
        <v>297</v>
      </c>
      <c r="M204" s="295" t="s">
        <v>297</v>
      </c>
      <c r="N204" s="295" t="s">
        <v>297</v>
      </c>
      <c r="O204" s="295" t="s">
        <v>297</v>
      </c>
      <c r="P204" s="295" t="s">
        <v>297</v>
      </c>
      <c r="Q204" s="295" t="s">
        <v>297</v>
      </c>
      <c r="R204" s="295" t="s">
        <v>297</v>
      </c>
      <c r="S204" s="295" t="s">
        <v>297</v>
      </c>
      <c r="T204" s="295" t="s">
        <v>297</v>
      </c>
      <c r="U204" s="295" t="s">
        <v>297</v>
      </c>
      <c r="V204" s="295" t="s">
        <v>297</v>
      </c>
      <c r="W204" s="295">
        <v>0</v>
      </c>
      <c r="X204" s="295" t="s">
        <v>297</v>
      </c>
      <c r="Y204" s="295" t="s">
        <v>297</v>
      </c>
      <c r="Z204" s="295" t="s">
        <v>297</v>
      </c>
      <c r="AA204" s="295">
        <v>0</v>
      </c>
      <c r="AB204" s="295">
        <v>0</v>
      </c>
      <c r="AC204" s="295">
        <v>0</v>
      </c>
      <c r="AD204" s="295">
        <v>0</v>
      </c>
      <c r="AE204" s="295">
        <v>2</v>
      </c>
      <c r="AF204" s="183">
        <v>4</v>
      </c>
      <c r="AG204" s="183">
        <v>2</v>
      </c>
      <c r="AH204" s="183">
        <v>11</v>
      </c>
      <c r="AI204" s="183">
        <v>20</v>
      </c>
      <c r="AJ204" s="183">
        <v>63</v>
      </c>
      <c r="AK204" s="183">
        <v>19</v>
      </c>
      <c r="AL204" s="183">
        <v>48</v>
      </c>
      <c r="AM204" s="183">
        <v>1042</v>
      </c>
      <c r="AN204" s="183">
        <v>590</v>
      </c>
      <c r="AO204" s="183">
        <v>78</v>
      </c>
      <c r="AP204" s="183">
        <v>42</v>
      </c>
      <c r="AQ204" s="183">
        <v>27</v>
      </c>
      <c r="AR204" s="183">
        <v>30</v>
      </c>
      <c r="AS204" s="183">
        <v>90</v>
      </c>
      <c r="AT204" s="183">
        <v>90</v>
      </c>
      <c r="AU204" s="183">
        <v>55</v>
      </c>
      <c r="AV204" s="183">
        <v>98</v>
      </c>
      <c r="AW204" s="295">
        <v>20</v>
      </c>
      <c r="AX204" s="304"/>
    </row>
    <row r="205" spans="1:50" ht="14.25" customHeight="1" x14ac:dyDescent="0.15">
      <c r="A205" s="186" t="s">
        <v>70</v>
      </c>
      <c r="B205" s="296">
        <v>4232.4134848787244</v>
      </c>
      <c r="C205" s="296">
        <v>5042.1897441945093</v>
      </c>
      <c r="D205" s="296">
        <v>4851.5968865466484</v>
      </c>
      <c r="E205" s="296">
        <v>6096.2436376198211</v>
      </c>
      <c r="F205" s="296">
        <v>12276.029255367243</v>
      </c>
      <c r="G205" s="296">
        <v>11627.520830646126</v>
      </c>
      <c r="H205" s="296">
        <v>10858.950695035694</v>
      </c>
      <c r="I205" s="296">
        <v>8697.1047146497658</v>
      </c>
      <c r="J205" s="296">
        <v>9437.2400279303911</v>
      </c>
      <c r="K205" s="296">
        <v>10449.831628881393</v>
      </c>
      <c r="L205" s="296">
        <v>9966.2095164271032</v>
      </c>
      <c r="M205" s="296">
        <v>11543.921164944824</v>
      </c>
      <c r="N205" s="296">
        <v>18531.298508228632</v>
      </c>
      <c r="O205" s="296">
        <v>24556.289266800071</v>
      </c>
      <c r="P205" s="296">
        <v>26815.642628763297</v>
      </c>
      <c r="Q205" s="296">
        <v>28420.315487712094</v>
      </c>
      <c r="R205" s="296">
        <v>22896.715613889737</v>
      </c>
      <c r="S205" s="296">
        <v>24633.218453238904</v>
      </c>
      <c r="T205" s="296">
        <v>26046.049983979738</v>
      </c>
      <c r="U205" s="296">
        <v>33798.38439214955</v>
      </c>
      <c r="V205" s="296">
        <v>38923.936535044631</v>
      </c>
      <c r="W205" s="296">
        <v>43592.622685665563</v>
      </c>
      <c r="X205" s="296">
        <v>48171.144328139773</v>
      </c>
      <c r="Y205" s="296">
        <v>45633.437366604616</v>
      </c>
      <c r="Z205" s="296">
        <v>50241.2</v>
      </c>
      <c r="AA205" s="296">
        <v>62706.729194191619</v>
      </c>
      <c r="AB205" s="296">
        <v>62117.6224970482</v>
      </c>
      <c r="AC205" s="296">
        <v>73842.067223092556</v>
      </c>
      <c r="AD205" s="296">
        <v>85385.259736225693</v>
      </c>
      <c r="AE205" s="296">
        <v>110134.81809786061</v>
      </c>
      <c r="AF205" s="185">
        <v>141842.82933660768</v>
      </c>
      <c r="AG205" s="185">
        <v>152827.8665118464</v>
      </c>
      <c r="AH205" s="185">
        <v>186804.80474306035</v>
      </c>
      <c r="AI205" s="185">
        <v>144951.53982468456</v>
      </c>
      <c r="AJ205" s="185">
        <v>108951.32930215368</v>
      </c>
      <c r="AK205" s="185">
        <v>134243.25883757166</v>
      </c>
      <c r="AL205" s="185">
        <v>157815.86347178646</v>
      </c>
      <c r="AM205" s="185">
        <v>127571.00671097117</v>
      </c>
      <c r="AN205" s="185">
        <v>120693.1457520354</v>
      </c>
      <c r="AO205" s="195">
        <v>111122.54999999999</v>
      </c>
      <c r="AP205" s="195">
        <v>85074.12</v>
      </c>
      <c r="AQ205" s="185">
        <v>68687.923905078831</v>
      </c>
      <c r="AR205" s="195">
        <v>105640.68</v>
      </c>
      <c r="AS205" s="185">
        <v>125432.47993271348</v>
      </c>
      <c r="AT205" s="185">
        <v>129547.10967963876</v>
      </c>
      <c r="AU205" s="185">
        <v>64716.641600900759</v>
      </c>
      <c r="AV205" s="185">
        <v>184909.51197574384</v>
      </c>
      <c r="AW205" s="296">
        <v>192442.31905181412</v>
      </c>
      <c r="AX205" s="304"/>
    </row>
    <row r="206" spans="1:50" ht="14.25" customHeight="1" x14ac:dyDescent="0.15">
      <c r="A206" s="186" t="s">
        <v>67</v>
      </c>
      <c r="B206" s="297">
        <f t="array" ref="B206:L206">(TRANSPOSE('DataF3-F4'!Y5:Y15)+TRANSPOSE('DataF3-F4'!Z5:Z15))*1000</f>
        <v>17997.057240265567</v>
      </c>
      <c r="C206" s="297">
        <v>21371.505472815363</v>
      </c>
      <c r="D206" s="297">
        <v>21371.505472815363</v>
      </c>
      <c r="E206" s="297">
        <v>28120.401937914947</v>
      </c>
      <c r="F206" s="297">
        <v>41618.194868114122</v>
      </c>
      <c r="G206" s="297">
        <v>41618.194868114122</v>
      </c>
      <c r="H206" s="297">
        <v>35994.114480531134</v>
      </c>
      <c r="I206" s="297">
        <v>31343</v>
      </c>
      <c r="J206" s="297">
        <v>35311</v>
      </c>
      <c r="K206" s="297">
        <v>39656</v>
      </c>
      <c r="L206" s="297">
        <v>39484</v>
      </c>
      <c r="M206" s="295">
        <v>40100</v>
      </c>
      <c r="N206" s="295">
        <v>48597</v>
      </c>
      <c r="O206" s="295">
        <v>59746</v>
      </c>
      <c r="P206" s="295">
        <v>61790</v>
      </c>
      <c r="Q206" s="295">
        <v>64200</v>
      </c>
      <c r="R206" s="295">
        <v>57470</v>
      </c>
      <c r="S206" s="295">
        <v>56340</v>
      </c>
      <c r="T206" s="295">
        <v>65580</v>
      </c>
      <c r="U206" s="295">
        <v>75040</v>
      </c>
      <c r="V206" s="295">
        <v>92820</v>
      </c>
      <c r="W206" s="295">
        <v>100310</v>
      </c>
      <c r="X206" s="295">
        <v>113220</v>
      </c>
      <c r="Y206" s="295">
        <v>100910</v>
      </c>
      <c r="Z206" s="295">
        <v>125991</v>
      </c>
      <c r="AA206" s="295">
        <v>144833</v>
      </c>
      <c r="AB206" s="295">
        <v>122258</v>
      </c>
      <c r="AC206" s="295">
        <v>139301</v>
      </c>
      <c r="AD206" s="295">
        <v>178206</v>
      </c>
      <c r="AE206" s="295">
        <v>240334</v>
      </c>
      <c r="AF206" s="183">
        <v>279061</v>
      </c>
      <c r="AG206" s="183">
        <v>306768</v>
      </c>
      <c r="AH206" s="183">
        <v>354311</v>
      </c>
      <c r="AI206" s="183">
        <v>397401</v>
      </c>
      <c r="AJ206" s="183">
        <v>354855</v>
      </c>
      <c r="AK206" s="183">
        <v>430359</v>
      </c>
      <c r="AL206" s="183">
        <v>459739</v>
      </c>
      <c r="AM206" s="183">
        <v>448870</v>
      </c>
      <c r="AN206" s="183">
        <v>459144</v>
      </c>
      <c r="AO206" s="183">
        <v>462484</v>
      </c>
      <c r="AP206" s="183">
        <v>433904</v>
      </c>
      <c r="AQ206" s="183">
        <v>441025</v>
      </c>
      <c r="AR206" s="183">
        <v>534656</v>
      </c>
      <c r="AS206" s="183">
        <v>558718</v>
      </c>
      <c r="AT206" s="269">
        <f>('DataF3-F4'!Y49+'DataF3-F4'!Z49)*1000</f>
        <v>563874</v>
      </c>
      <c r="AU206" s="269">
        <f>('DataF3-F4'!Y50+'DataF3-F4'!Z50)*1000</f>
        <v>476356</v>
      </c>
      <c r="AV206" s="269">
        <f>('DataF3-F4'!Y51+'DataF3-F4'!Z51)*1000</f>
        <v>573251</v>
      </c>
      <c r="AW206" s="269">
        <f>('DataF3-F4'!Y52+'DataF3-F4'!Z52)*1000</f>
        <v>592200</v>
      </c>
      <c r="AX206" s="304"/>
    </row>
    <row r="207" spans="1:50" ht="14.25" customHeight="1" x14ac:dyDescent="0.15">
      <c r="A207" s="186" t="s">
        <v>217</v>
      </c>
      <c r="B207" s="296" t="s">
        <v>297</v>
      </c>
      <c r="C207" s="296" t="s">
        <v>297</v>
      </c>
      <c r="D207" s="296" t="s">
        <v>297</v>
      </c>
      <c r="E207" s="296">
        <v>0</v>
      </c>
      <c r="F207" s="296">
        <v>0</v>
      </c>
      <c r="G207" s="296">
        <v>0</v>
      </c>
      <c r="H207" s="296">
        <v>0</v>
      </c>
      <c r="I207" s="296">
        <v>0</v>
      </c>
      <c r="J207" s="296">
        <v>0</v>
      </c>
      <c r="K207" s="296">
        <v>0</v>
      </c>
      <c r="L207" s="296">
        <v>0</v>
      </c>
      <c r="M207" s="296">
        <v>0</v>
      </c>
      <c r="N207" s="296">
        <v>0</v>
      </c>
      <c r="O207" s="296">
        <v>0</v>
      </c>
      <c r="P207" s="296">
        <v>0</v>
      </c>
      <c r="Q207" s="296">
        <v>0</v>
      </c>
      <c r="R207" s="296">
        <v>0</v>
      </c>
      <c r="S207" s="296">
        <v>0</v>
      </c>
      <c r="T207" s="296">
        <v>0.2</v>
      </c>
      <c r="U207" s="296">
        <v>0.5</v>
      </c>
      <c r="V207" s="296">
        <v>0.8</v>
      </c>
      <c r="W207" s="296">
        <v>0</v>
      </c>
      <c r="X207" s="296">
        <v>0</v>
      </c>
      <c r="Y207" s="296">
        <v>0</v>
      </c>
      <c r="Z207" s="296">
        <v>0</v>
      </c>
      <c r="AA207" s="296">
        <v>1.3404</v>
      </c>
      <c r="AB207" s="296">
        <v>0.308</v>
      </c>
      <c r="AC207" s="296">
        <v>7.40132105</v>
      </c>
      <c r="AD207" s="296">
        <v>3.2152280000000002</v>
      </c>
      <c r="AE207" s="296">
        <v>7.5035999999999996</v>
      </c>
      <c r="AF207" s="185">
        <v>3.2389999999999999</v>
      </c>
      <c r="AG207" s="185">
        <v>17.591567149999999</v>
      </c>
      <c r="AH207" s="185">
        <v>16.075487599999999</v>
      </c>
      <c r="AI207" s="185">
        <v>20.72688153</v>
      </c>
      <c r="AJ207" s="185">
        <v>19.617190000000001</v>
      </c>
      <c r="AK207" s="185">
        <v>20.921637736842118</v>
      </c>
      <c r="AL207" s="185">
        <v>29.71697360688788</v>
      </c>
      <c r="AM207" s="185">
        <v>758.9</v>
      </c>
      <c r="AN207" s="185">
        <v>1064.76583028608</v>
      </c>
      <c r="AO207" s="185">
        <v>492.45245104441727</v>
      </c>
      <c r="AP207" s="185">
        <v>446.25433809498691</v>
      </c>
      <c r="AQ207" s="185">
        <v>377.34545806538</v>
      </c>
      <c r="AR207" s="185">
        <v>782.79971515911598</v>
      </c>
      <c r="AS207" s="185">
        <v>735.94766724575993</v>
      </c>
      <c r="AT207" s="185">
        <v>459.87638430262797</v>
      </c>
      <c r="AU207" s="185">
        <v>-108.5329260255437</v>
      </c>
      <c r="AV207" s="185">
        <v>488.3134036341325</v>
      </c>
      <c r="AW207" s="296">
        <v>598.25295643725303</v>
      </c>
      <c r="AX207" s="304"/>
    </row>
    <row r="208" spans="1:50" ht="14.25" customHeight="1" x14ac:dyDescent="0.15">
      <c r="A208" s="186" t="s">
        <v>449</v>
      </c>
      <c r="B208" s="295" t="s">
        <v>297</v>
      </c>
      <c r="C208" s="295" t="s">
        <v>297</v>
      </c>
      <c r="D208" s="295" t="s">
        <v>297</v>
      </c>
      <c r="E208" s="295" t="s">
        <v>297</v>
      </c>
      <c r="F208" s="295" t="s">
        <v>297</v>
      </c>
      <c r="G208" s="295" t="s">
        <v>297</v>
      </c>
      <c r="H208" s="295" t="s">
        <v>297</v>
      </c>
      <c r="I208" s="295" t="s">
        <v>297</v>
      </c>
      <c r="J208" s="295" t="s">
        <v>297</v>
      </c>
      <c r="K208" s="295" t="s">
        <v>297</v>
      </c>
      <c r="L208" s="295" t="s">
        <v>297</v>
      </c>
      <c r="M208" s="295" t="s">
        <v>297</v>
      </c>
      <c r="N208" s="295" t="s">
        <v>297</v>
      </c>
      <c r="O208" s="295" t="s">
        <v>297</v>
      </c>
      <c r="P208" s="295" t="s">
        <v>297</v>
      </c>
      <c r="Q208" s="295" t="s">
        <v>297</v>
      </c>
      <c r="R208" s="295" t="s">
        <v>297</v>
      </c>
      <c r="S208" s="295" t="s">
        <v>297</v>
      </c>
      <c r="T208" s="295" t="s">
        <v>297</v>
      </c>
      <c r="U208" s="295" t="s">
        <v>297</v>
      </c>
      <c r="V208" s="295" t="s">
        <v>297</v>
      </c>
      <c r="W208" s="295" t="s">
        <v>297</v>
      </c>
      <c r="X208" s="295" t="s">
        <v>297</v>
      </c>
      <c r="Y208" s="295" t="s">
        <v>297</v>
      </c>
      <c r="Z208" s="295" t="s">
        <v>297</v>
      </c>
      <c r="AA208" s="295" t="s">
        <v>297</v>
      </c>
      <c r="AB208" s="295" t="s">
        <v>297</v>
      </c>
      <c r="AC208" s="295" t="s">
        <v>297</v>
      </c>
      <c r="AD208" s="295" t="s">
        <v>297</v>
      </c>
      <c r="AE208" s="295" t="s">
        <v>297</v>
      </c>
      <c r="AF208" s="183">
        <v>0</v>
      </c>
      <c r="AG208" s="183">
        <v>0</v>
      </c>
      <c r="AH208" s="183">
        <v>0</v>
      </c>
      <c r="AI208" s="183">
        <v>0</v>
      </c>
      <c r="AJ208" s="183">
        <v>0</v>
      </c>
      <c r="AK208" s="183">
        <v>0</v>
      </c>
      <c r="AL208" s="183">
        <v>0</v>
      </c>
      <c r="AM208" s="183">
        <v>0</v>
      </c>
      <c r="AN208" s="183">
        <v>0</v>
      </c>
      <c r="AO208" s="183">
        <v>0</v>
      </c>
      <c r="AP208" s="183">
        <v>0</v>
      </c>
      <c r="AQ208" s="183">
        <v>0</v>
      </c>
      <c r="AR208" s="183">
        <v>0</v>
      </c>
      <c r="AS208" s="183">
        <v>20.249155460000001</v>
      </c>
      <c r="AT208" s="183">
        <v>3.3800299634879201</v>
      </c>
      <c r="AU208" s="183">
        <v>0.45862668620420199</v>
      </c>
      <c r="AV208" s="183">
        <v>1.02</v>
      </c>
      <c r="AW208" s="295">
        <v>0.46612016148018631</v>
      </c>
      <c r="AX208" s="304"/>
    </row>
    <row r="209" spans="1:50" ht="14.25" customHeight="1" x14ac:dyDescent="0.15">
      <c r="A209" s="186" t="s">
        <v>450</v>
      </c>
      <c r="B209" s="296" t="s">
        <v>297</v>
      </c>
      <c r="C209" s="296" t="s">
        <v>297</v>
      </c>
      <c r="D209" s="296" t="s">
        <v>297</v>
      </c>
      <c r="E209" s="296" t="s">
        <v>297</v>
      </c>
      <c r="F209" s="296" t="s">
        <v>297</v>
      </c>
      <c r="G209" s="296" t="s">
        <v>297</v>
      </c>
      <c r="H209" s="296" t="s">
        <v>297</v>
      </c>
      <c r="I209" s="296">
        <v>0</v>
      </c>
      <c r="J209" s="296">
        <v>0</v>
      </c>
      <c r="K209" s="296">
        <v>0</v>
      </c>
      <c r="L209" s="296">
        <v>0</v>
      </c>
      <c r="M209" s="296">
        <v>0</v>
      </c>
      <c r="N209" s="296">
        <v>0</v>
      </c>
      <c r="O209" s="296">
        <v>0</v>
      </c>
      <c r="P209" s="296">
        <v>0</v>
      </c>
      <c r="Q209" s="296">
        <v>0</v>
      </c>
      <c r="R209" s="296">
        <v>0</v>
      </c>
      <c r="S209" s="296">
        <v>0</v>
      </c>
      <c r="T209" s="296">
        <v>0</v>
      </c>
      <c r="U209" s="296">
        <v>0</v>
      </c>
      <c r="V209" s="296">
        <v>0</v>
      </c>
      <c r="W209" s="296" t="s">
        <v>297</v>
      </c>
      <c r="X209" s="296" t="s">
        <v>297</v>
      </c>
      <c r="Y209" s="296" t="s">
        <v>297</v>
      </c>
      <c r="Z209" s="296" t="s">
        <v>297</v>
      </c>
      <c r="AA209" s="296" t="s">
        <v>297</v>
      </c>
      <c r="AB209" s="296" t="s">
        <v>297</v>
      </c>
      <c r="AC209" s="296">
        <v>0.28755267607466173</v>
      </c>
      <c r="AD209" s="296">
        <v>0.3529512728108582</v>
      </c>
      <c r="AE209" s="296">
        <v>0.37620091745156831</v>
      </c>
      <c r="AF209" s="185">
        <v>0.36621481333173606</v>
      </c>
      <c r="AG209" s="185">
        <v>0.37078339271469601</v>
      </c>
      <c r="AH209" s="185">
        <v>0.34076150266218175</v>
      </c>
      <c r="AI209" s="185">
        <v>1.3522693307487672</v>
      </c>
      <c r="AJ209" s="185">
        <v>1.3764089079049431</v>
      </c>
      <c r="AK209" s="185">
        <v>1.3</v>
      </c>
      <c r="AL209" s="185">
        <v>1.335283783830356</v>
      </c>
      <c r="AM209" s="185">
        <v>1.0763296348607607</v>
      </c>
      <c r="AN209" s="185">
        <v>1.06282008687387</v>
      </c>
      <c r="AO209" s="185">
        <v>4.2509885204375788</v>
      </c>
      <c r="AP209" s="185">
        <v>4.2840969439296632</v>
      </c>
      <c r="AQ209" s="185">
        <v>3.6448235271256788</v>
      </c>
      <c r="AR209" s="185">
        <v>1.5653129315963703</v>
      </c>
      <c r="AS209" s="185">
        <v>1.847177875692513</v>
      </c>
      <c r="AT209" s="185">
        <v>1.9970109601683494</v>
      </c>
      <c r="AU209" s="185">
        <v>1.5534008307865683</v>
      </c>
      <c r="AV209" s="185">
        <v>1.5633326973697781</v>
      </c>
      <c r="AW209" s="296" t="s">
        <v>297</v>
      </c>
      <c r="AX209" s="304"/>
    </row>
    <row r="210" spans="1:50" ht="14.25" customHeight="1" x14ac:dyDescent="0.15">
      <c r="A210" s="186" t="s">
        <v>451</v>
      </c>
      <c r="B210" s="295">
        <v>0</v>
      </c>
      <c r="C210" s="295">
        <v>0</v>
      </c>
      <c r="D210" s="295">
        <v>0</v>
      </c>
      <c r="E210" s="295">
        <v>0</v>
      </c>
      <c r="F210" s="295">
        <v>0</v>
      </c>
      <c r="G210" s="295">
        <v>0</v>
      </c>
      <c r="H210" s="295">
        <v>0</v>
      </c>
      <c r="I210" s="295">
        <v>0</v>
      </c>
      <c r="J210" s="295">
        <v>0</v>
      </c>
      <c r="K210" s="295">
        <v>0</v>
      </c>
      <c r="L210" s="295">
        <v>1</v>
      </c>
      <c r="M210" s="295">
        <v>5</v>
      </c>
      <c r="N210" s="295">
        <v>3</v>
      </c>
      <c r="O210" s="295">
        <v>68</v>
      </c>
      <c r="P210" s="295">
        <v>146</v>
      </c>
      <c r="Q210" s="295">
        <v>231</v>
      </c>
      <c r="R210" s="295">
        <v>161</v>
      </c>
      <c r="S210" s="295">
        <v>185</v>
      </c>
      <c r="T210" s="295">
        <v>347</v>
      </c>
      <c r="U210" s="295">
        <v>286</v>
      </c>
      <c r="V210" s="295">
        <v>265</v>
      </c>
      <c r="W210" s="295">
        <v>149</v>
      </c>
      <c r="X210" s="295">
        <v>246</v>
      </c>
      <c r="Y210" s="295">
        <v>537</v>
      </c>
      <c r="Z210" s="295">
        <v>387</v>
      </c>
      <c r="AA210" s="295">
        <v>296</v>
      </c>
      <c r="AB210" s="295">
        <v>767</v>
      </c>
      <c r="AC210" s="295">
        <v>286</v>
      </c>
      <c r="AD210" s="295">
        <v>791</v>
      </c>
      <c r="AE210" s="295">
        <v>725</v>
      </c>
      <c r="AF210" s="183">
        <v>1349</v>
      </c>
      <c r="AG210" s="183">
        <v>3209</v>
      </c>
      <c r="AH210" s="183">
        <v>3753</v>
      </c>
      <c r="AI210" s="183">
        <v>4015</v>
      </c>
      <c r="AJ210" s="183">
        <v>1069</v>
      </c>
      <c r="AK210" s="183">
        <v>754</v>
      </c>
      <c r="AL210" s="183">
        <v>1253</v>
      </c>
      <c r="AM210" s="183">
        <v>892</v>
      </c>
      <c r="AN210" s="183">
        <v>1348</v>
      </c>
      <c r="AO210" s="183">
        <v>1315</v>
      </c>
      <c r="AP210" s="183">
        <v>600</v>
      </c>
      <c r="AQ210" s="183">
        <v>418</v>
      </c>
      <c r="AR210" s="183" t="s">
        <v>297</v>
      </c>
      <c r="AS210" s="183" t="s">
        <v>297</v>
      </c>
      <c r="AT210" s="183" t="s">
        <v>297</v>
      </c>
      <c r="AU210" s="183" t="s">
        <v>297</v>
      </c>
      <c r="AV210" s="183" t="s">
        <v>297</v>
      </c>
      <c r="AW210" s="295" t="s">
        <v>297</v>
      </c>
      <c r="AX210" s="304"/>
    </row>
    <row r="211" spans="1:50" ht="14.25" customHeight="1" x14ac:dyDescent="0.15">
      <c r="A211" s="186" t="s">
        <v>452</v>
      </c>
      <c r="B211" s="296" t="s">
        <v>297</v>
      </c>
      <c r="C211" s="296" t="s">
        <v>297</v>
      </c>
      <c r="D211" s="296" t="s">
        <v>297</v>
      </c>
      <c r="E211" s="296" t="s">
        <v>297</v>
      </c>
      <c r="F211" s="296" t="s">
        <v>297</v>
      </c>
      <c r="G211" s="296" t="s">
        <v>297</v>
      </c>
      <c r="H211" s="296" t="s">
        <v>297</v>
      </c>
      <c r="I211" s="296" t="s">
        <v>297</v>
      </c>
      <c r="J211" s="296" t="s">
        <v>297</v>
      </c>
      <c r="K211" s="296" t="s">
        <v>297</v>
      </c>
      <c r="L211" s="296" t="s">
        <v>297</v>
      </c>
      <c r="M211" s="296" t="s">
        <v>297</v>
      </c>
      <c r="N211" s="296" t="s">
        <v>297</v>
      </c>
      <c r="O211" s="296" t="s">
        <v>297</v>
      </c>
      <c r="P211" s="296" t="s">
        <v>297</v>
      </c>
      <c r="Q211" s="296" t="s">
        <v>297</v>
      </c>
      <c r="R211" s="296" t="s">
        <v>297</v>
      </c>
      <c r="S211" s="296" t="s">
        <v>297</v>
      </c>
      <c r="T211" s="296" t="s">
        <v>297</v>
      </c>
      <c r="U211" s="296" t="s">
        <v>297</v>
      </c>
      <c r="V211" s="296" t="s">
        <v>297</v>
      </c>
      <c r="W211" s="296" t="s">
        <v>297</v>
      </c>
      <c r="X211" s="296" t="s">
        <v>297</v>
      </c>
      <c r="Y211" s="296" t="s">
        <v>297</v>
      </c>
      <c r="Z211" s="296" t="s">
        <v>297</v>
      </c>
      <c r="AA211" s="296" t="s">
        <v>297</v>
      </c>
      <c r="AB211" s="296" t="s">
        <v>297</v>
      </c>
      <c r="AC211" s="296" t="s">
        <v>297</v>
      </c>
      <c r="AD211" s="296" t="s">
        <v>297</v>
      </c>
      <c r="AE211" s="296" t="s">
        <v>297</v>
      </c>
      <c r="AF211" s="185" t="s">
        <v>297</v>
      </c>
      <c r="AG211" s="185" t="s">
        <v>297</v>
      </c>
      <c r="AH211" s="185" t="s">
        <v>297</v>
      </c>
      <c r="AI211" s="185" t="s">
        <v>297</v>
      </c>
      <c r="AJ211" s="185" t="s">
        <v>297</v>
      </c>
      <c r="AK211" s="185" t="s">
        <v>297</v>
      </c>
      <c r="AL211" s="185" t="s">
        <v>297</v>
      </c>
      <c r="AM211" s="185" t="s">
        <v>297</v>
      </c>
      <c r="AN211" s="185" t="s">
        <v>297</v>
      </c>
      <c r="AO211" s="185" t="s">
        <v>297</v>
      </c>
      <c r="AP211" s="185" t="s">
        <v>297</v>
      </c>
      <c r="AQ211" s="185" t="s">
        <v>297</v>
      </c>
      <c r="AR211" s="185" t="s">
        <v>297</v>
      </c>
      <c r="AS211" s="185" t="s">
        <v>297</v>
      </c>
      <c r="AT211" s="185" t="s">
        <v>297</v>
      </c>
      <c r="AU211" s="185" t="s">
        <v>297</v>
      </c>
      <c r="AV211" s="185" t="s">
        <v>297</v>
      </c>
      <c r="AW211" s="296" t="s">
        <v>297</v>
      </c>
      <c r="AX211" s="304"/>
    </row>
    <row r="212" spans="1:50" ht="14.25" customHeight="1" x14ac:dyDescent="0.15">
      <c r="A212" s="186" t="s">
        <v>453</v>
      </c>
      <c r="B212" s="295" t="s">
        <v>297</v>
      </c>
      <c r="C212" s="295" t="s">
        <v>297</v>
      </c>
      <c r="D212" s="295" t="s">
        <v>297</v>
      </c>
      <c r="E212" s="295" t="s">
        <v>297</v>
      </c>
      <c r="F212" s="295" t="s">
        <v>297</v>
      </c>
      <c r="G212" s="295" t="s">
        <v>297</v>
      </c>
      <c r="H212" s="295" t="s">
        <v>297</v>
      </c>
      <c r="I212" s="295" t="s">
        <v>297</v>
      </c>
      <c r="J212" s="295" t="s">
        <v>297</v>
      </c>
      <c r="K212" s="295" t="s">
        <v>297</v>
      </c>
      <c r="L212" s="295" t="s">
        <v>297</v>
      </c>
      <c r="M212" s="295" t="s">
        <v>297</v>
      </c>
      <c r="N212" s="295" t="s">
        <v>297</v>
      </c>
      <c r="O212" s="295" t="s">
        <v>297</v>
      </c>
      <c r="P212" s="295" t="s">
        <v>297</v>
      </c>
      <c r="Q212" s="295" t="s">
        <v>297</v>
      </c>
      <c r="R212" s="295" t="s">
        <v>297</v>
      </c>
      <c r="S212" s="295" t="s">
        <v>297</v>
      </c>
      <c r="T212" s="295" t="s">
        <v>297</v>
      </c>
      <c r="U212" s="295" t="s">
        <v>297</v>
      </c>
      <c r="V212" s="295">
        <v>11.9</v>
      </c>
      <c r="W212" s="295">
        <v>13.2</v>
      </c>
      <c r="X212" s="295">
        <v>18.600000000000001</v>
      </c>
      <c r="Y212" s="295">
        <v>12.981885144490501</v>
      </c>
      <c r="Z212" s="295">
        <v>13.4037784133647</v>
      </c>
      <c r="AA212" s="295">
        <v>27.5</v>
      </c>
      <c r="AB212" s="295">
        <v>37.276741277918696</v>
      </c>
      <c r="AC212" s="295">
        <v>40.790994423241898</v>
      </c>
      <c r="AD212" s="295">
        <v>5.9460270782226292</v>
      </c>
      <c r="AE212" s="295">
        <v>19.2721875578866</v>
      </c>
      <c r="AF212" s="183">
        <v>39.592178863159504</v>
      </c>
      <c r="AG212" s="183">
        <v>3.7304905547251299</v>
      </c>
      <c r="AH212" s="183">
        <v>6.8104878044117401</v>
      </c>
      <c r="AI212" s="183">
        <v>3.5075264135401398</v>
      </c>
      <c r="AJ212" s="183">
        <v>3.5864537487704897</v>
      </c>
      <c r="AK212" s="183">
        <v>11.074396640389301</v>
      </c>
      <c r="AL212" s="183">
        <v>6.66278858988069</v>
      </c>
      <c r="AM212" s="183">
        <v>7.1367481111430395</v>
      </c>
      <c r="AN212" s="183">
        <v>4.5296214430575601</v>
      </c>
      <c r="AO212" s="183">
        <v>6.72346455303291</v>
      </c>
      <c r="AP212" s="183">
        <v>4.2946911400660497</v>
      </c>
      <c r="AQ212" s="183">
        <v>5.7172714122558803</v>
      </c>
      <c r="AR212" s="183">
        <v>33.187963944726398</v>
      </c>
      <c r="AS212" s="183">
        <v>30.763459352513156</v>
      </c>
      <c r="AT212" s="183">
        <v>44.093912658616802</v>
      </c>
      <c r="AU212" s="183">
        <v>44.820290518677602</v>
      </c>
      <c r="AV212" s="183">
        <v>6.4387704003915793</v>
      </c>
      <c r="AW212" s="295">
        <v>51.053107288545306</v>
      </c>
      <c r="AX212" s="304"/>
    </row>
    <row r="213" spans="1:50" ht="14.25" customHeight="1" x14ac:dyDescent="0.15">
      <c r="A213" s="186" t="s">
        <v>454</v>
      </c>
      <c r="B213" s="296" t="s">
        <v>297</v>
      </c>
      <c r="C213" s="296" t="s">
        <v>297</v>
      </c>
      <c r="D213" s="296" t="s">
        <v>297</v>
      </c>
      <c r="E213" s="296" t="s">
        <v>297</v>
      </c>
      <c r="F213" s="296" t="s">
        <v>297</v>
      </c>
      <c r="G213" s="296" t="s">
        <v>297</v>
      </c>
      <c r="H213" s="296" t="s">
        <v>297</v>
      </c>
      <c r="I213" s="296" t="s">
        <v>297</v>
      </c>
      <c r="J213" s="296" t="s">
        <v>297</v>
      </c>
      <c r="K213" s="296" t="s">
        <v>297</v>
      </c>
      <c r="L213" s="296" t="s">
        <v>297</v>
      </c>
      <c r="M213" s="296" t="s">
        <v>297</v>
      </c>
      <c r="N213" s="296" t="s">
        <v>297</v>
      </c>
      <c r="O213" s="296" t="s">
        <v>297</v>
      </c>
      <c r="P213" s="296" t="s">
        <v>297</v>
      </c>
      <c r="Q213" s="296" t="s">
        <v>297</v>
      </c>
      <c r="R213" s="296" t="s">
        <v>297</v>
      </c>
      <c r="S213" s="296" t="s">
        <v>297</v>
      </c>
      <c r="T213" s="296" t="s">
        <v>297</v>
      </c>
      <c r="U213" s="296" t="s">
        <v>297</v>
      </c>
      <c r="V213" s="296" t="s">
        <v>297</v>
      </c>
      <c r="W213" s="296" t="s">
        <v>297</v>
      </c>
      <c r="X213" s="296" t="s">
        <v>297</v>
      </c>
      <c r="Y213" s="296" t="s">
        <v>297</v>
      </c>
      <c r="Z213" s="296" t="s">
        <v>297</v>
      </c>
      <c r="AA213" s="296" t="s">
        <v>297</v>
      </c>
      <c r="AB213" s="296" t="s">
        <v>297</v>
      </c>
      <c r="AC213" s="296" t="s">
        <v>297</v>
      </c>
      <c r="AD213" s="296" t="s">
        <v>297</v>
      </c>
      <c r="AE213" s="296" t="s">
        <v>297</v>
      </c>
      <c r="AF213" s="185" t="s">
        <v>297</v>
      </c>
      <c r="AG213" s="185" t="s">
        <v>297</v>
      </c>
      <c r="AH213" s="185" t="s">
        <v>297</v>
      </c>
      <c r="AI213" s="185" t="s">
        <v>297</v>
      </c>
      <c r="AJ213" s="185" t="s">
        <v>297</v>
      </c>
      <c r="AK213" s="185" t="s">
        <v>297</v>
      </c>
      <c r="AL213" s="185" t="s">
        <v>297</v>
      </c>
      <c r="AM213" s="185" t="s">
        <v>297</v>
      </c>
      <c r="AN213" s="185" t="s">
        <v>297</v>
      </c>
      <c r="AO213" s="185" t="s">
        <v>297</v>
      </c>
      <c r="AP213" s="185" t="s">
        <v>297</v>
      </c>
      <c r="AQ213" s="185" t="s">
        <v>297</v>
      </c>
      <c r="AR213" s="185" t="s">
        <v>297</v>
      </c>
      <c r="AS213" s="185" t="s">
        <v>297</v>
      </c>
      <c r="AT213" s="185" t="s">
        <v>297</v>
      </c>
      <c r="AU213" s="185" t="s">
        <v>297</v>
      </c>
      <c r="AV213" s="185" t="s">
        <v>297</v>
      </c>
      <c r="AW213" s="296" t="s">
        <v>297</v>
      </c>
      <c r="AX213" s="304"/>
    </row>
    <row r="214" spans="1:50" ht="14.25" customHeight="1" x14ac:dyDescent="0.15">
      <c r="A214" s="186" t="s">
        <v>455</v>
      </c>
      <c r="B214" s="295" t="s">
        <v>297</v>
      </c>
      <c r="C214" s="295" t="s">
        <v>297</v>
      </c>
      <c r="D214" s="295" t="s">
        <v>297</v>
      </c>
      <c r="E214" s="295" t="s">
        <v>297</v>
      </c>
      <c r="F214" s="295" t="s">
        <v>297</v>
      </c>
      <c r="G214" s="295" t="s">
        <v>297</v>
      </c>
      <c r="H214" s="295" t="s">
        <v>297</v>
      </c>
      <c r="I214" s="295" t="s">
        <v>297</v>
      </c>
      <c r="J214" s="295" t="s">
        <v>297</v>
      </c>
      <c r="K214" s="295" t="s">
        <v>297</v>
      </c>
      <c r="L214" s="295" t="s">
        <v>297</v>
      </c>
      <c r="M214" s="295" t="s">
        <v>297</v>
      </c>
      <c r="N214" s="295" t="s">
        <v>297</v>
      </c>
      <c r="O214" s="295" t="s">
        <v>297</v>
      </c>
      <c r="P214" s="295" t="s">
        <v>297</v>
      </c>
      <c r="Q214" s="295" t="s">
        <v>297</v>
      </c>
      <c r="R214" s="295" t="s">
        <v>297</v>
      </c>
      <c r="S214" s="295" t="s">
        <v>297</v>
      </c>
      <c r="T214" s="295" t="s">
        <v>297</v>
      </c>
      <c r="U214" s="295" t="s">
        <v>297</v>
      </c>
      <c r="V214" s="295" t="s">
        <v>297</v>
      </c>
      <c r="W214" s="295" t="s">
        <v>297</v>
      </c>
      <c r="X214" s="295" t="s">
        <v>297</v>
      </c>
      <c r="Y214" s="295" t="s">
        <v>297</v>
      </c>
      <c r="Z214" s="295" t="s">
        <v>297</v>
      </c>
      <c r="AA214" s="295" t="s">
        <v>297</v>
      </c>
      <c r="AB214" s="295" t="s">
        <v>297</v>
      </c>
      <c r="AC214" s="295" t="s">
        <v>297</v>
      </c>
      <c r="AD214" s="295" t="s">
        <v>297</v>
      </c>
      <c r="AE214" s="295" t="s">
        <v>297</v>
      </c>
      <c r="AF214" s="183" t="s">
        <v>297</v>
      </c>
      <c r="AG214" s="183" t="s">
        <v>297</v>
      </c>
      <c r="AH214" s="183" t="s">
        <v>297</v>
      </c>
      <c r="AI214" s="183" t="s">
        <v>297</v>
      </c>
      <c r="AJ214" s="183" t="s">
        <v>297</v>
      </c>
      <c r="AK214" s="183" t="s">
        <v>297</v>
      </c>
      <c r="AL214" s="183" t="s">
        <v>297</v>
      </c>
      <c r="AM214" s="183" t="s">
        <v>297</v>
      </c>
      <c r="AN214" s="183" t="s">
        <v>297</v>
      </c>
      <c r="AO214" s="183" t="s">
        <v>297</v>
      </c>
      <c r="AP214" s="183" t="s">
        <v>297</v>
      </c>
      <c r="AQ214" s="183" t="s">
        <v>297</v>
      </c>
      <c r="AR214" s="183" t="s">
        <v>297</v>
      </c>
      <c r="AS214" s="183" t="s">
        <v>297</v>
      </c>
      <c r="AT214" s="183" t="s">
        <v>297</v>
      </c>
      <c r="AU214" s="183" t="s">
        <v>297</v>
      </c>
      <c r="AV214" s="183" t="s">
        <v>297</v>
      </c>
      <c r="AW214" s="295" t="s">
        <v>297</v>
      </c>
      <c r="AX214" s="304"/>
    </row>
    <row r="215" spans="1:50" ht="14.25" customHeight="1" x14ac:dyDescent="0.15">
      <c r="A215" s="186" t="s">
        <v>456</v>
      </c>
      <c r="B215" s="296" t="s">
        <v>297</v>
      </c>
      <c r="C215" s="296" t="s">
        <v>297</v>
      </c>
      <c r="D215" s="296" t="s">
        <v>297</v>
      </c>
      <c r="E215" s="296" t="s">
        <v>297</v>
      </c>
      <c r="F215" s="296" t="s">
        <v>297</v>
      </c>
      <c r="G215" s="296" t="s">
        <v>297</v>
      </c>
      <c r="H215" s="296" t="s">
        <v>297</v>
      </c>
      <c r="I215" s="296" t="s">
        <v>297</v>
      </c>
      <c r="J215" s="296" t="s">
        <v>297</v>
      </c>
      <c r="K215" s="296" t="s">
        <v>297</v>
      </c>
      <c r="L215" s="296" t="s">
        <v>297</v>
      </c>
      <c r="M215" s="296" t="s">
        <v>297</v>
      </c>
      <c r="N215" s="296" t="s">
        <v>297</v>
      </c>
      <c r="O215" s="296" t="s">
        <v>297</v>
      </c>
      <c r="P215" s="296" t="s">
        <v>297</v>
      </c>
      <c r="Q215" s="296" t="s">
        <v>297</v>
      </c>
      <c r="R215" s="296" t="s">
        <v>297</v>
      </c>
      <c r="S215" s="296" t="s">
        <v>297</v>
      </c>
      <c r="T215" s="296" t="s">
        <v>297</v>
      </c>
      <c r="U215" s="296" t="s">
        <v>297</v>
      </c>
      <c r="V215" s="296" t="s">
        <v>297</v>
      </c>
      <c r="W215" s="296" t="s">
        <v>297</v>
      </c>
      <c r="X215" s="296" t="s">
        <v>297</v>
      </c>
      <c r="Y215" s="296" t="s">
        <v>297</v>
      </c>
      <c r="Z215" s="296" t="s">
        <v>297</v>
      </c>
      <c r="AA215" s="296" t="s">
        <v>297</v>
      </c>
      <c r="AB215" s="296" t="s">
        <v>297</v>
      </c>
      <c r="AC215" s="296" t="s">
        <v>297</v>
      </c>
      <c r="AD215" s="296" t="s">
        <v>297</v>
      </c>
      <c r="AE215" s="296" t="s">
        <v>297</v>
      </c>
      <c r="AF215" s="185">
        <v>0</v>
      </c>
      <c r="AG215" s="185">
        <v>0</v>
      </c>
      <c r="AH215" s="185">
        <v>0</v>
      </c>
      <c r="AI215" s="185">
        <v>0</v>
      </c>
      <c r="AJ215" s="185">
        <v>0</v>
      </c>
      <c r="AK215" s="185">
        <v>0</v>
      </c>
      <c r="AL215" s="185">
        <v>0</v>
      </c>
      <c r="AM215" s="185">
        <v>0</v>
      </c>
      <c r="AN215" s="185">
        <v>0</v>
      </c>
      <c r="AO215" s="185">
        <v>0</v>
      </c>
      <c r="AP215" s="185">
        <v>0</v>
      </c>
      <c r="AQ215" s="185" t="s">
        <v>297</v>
      </c>
      <c r="AR215" s="185" t="s">
        <v>297</v>
      </c>
      <c r="AS215" s="185" t="s">
        <v>297</v>
      </c>
      <c r="AT215" s="185" t="s">
        <v>297</v>
      </c>
      <c r="AU215" s="185" t="s">
        <v>297</v>
      </c>
      <c r="AV215" s="185" t="s">
        <v>297</v>
      </c>
      <c r="AW215" s="296" t="s">
        <v>297</v>
      </c>
      <c r="AX215" s="304"/>
    </row>
    <row r="216" spans="1:50" ht="14.25" customHeight="1" x14ac:dyDescent="0.15">
      <c r="A216" s="186" t="s">
        <v>457</v>
      </c>
      <c r="B216" s="295" t="s">
        <v>297</v>
      </c>
      <c r="C216" s="295" t="s">
        <v>297</v>
      </c>
      <c r="D216" s="295" t="s">
        <v>297</v>
      </c>
      <c r="E216" s="295" t="s">
        <v>297</v>
      </c>
      <c r="F216" s="295" t="s">
        <v>297</v>
      </c>
      <c r="G216" s="295" t="s">
        <v>297</v>
      </c>
      <c r="H216" s="295" t="s">
        <v>297</v>
      </c>
      <c r="I216" s="295" t="s">
        <v>297</v>
      </c>
      <c r="J216" s="295" t="s">
        <v>297</v>
      </c>
      <c r="K216" s="295" t="s">
        <v>297</v>
      </c>
      <c r="L216" s="295" t="s">
        <v>297</v>
      </c>
      <c r="M216" s="295" t="s">
        <v>297</v>
      </c>
      <c r="N216" s="295" t="s">
        <v>297</v>
      </c>
      <c r="O216" s="295" t="s">
        <v>297</v>
      </c>
      <c r="P216" s="295" t="s">
        <v>297</v>
      </c>
      <c r="Q216" s="295" t="s">
        <v>297</v>
      </c>
      <c r="R216" s="295" t="s">
        <v>297</v>
      </c>
      <c r="S216" s="295" t="s">
        <v>297</v>
      </c>
      <c r="T216" s="295" t="s">
        <v>297</v>
      </c>
      <c r="U216" s="295" t="s">
        <v>297</v>
      </c>
      <c r="V216" s="295" t="s">
        <v>297</v>
      </c>
      <c r="W216" s="295" t="s">
        <v>297</v>
      </c>
      <c r="X216" s="295" t="s">
        <v>297</v>
      </c>
      <c r="Y216" s="295" t="s">
        <v>297</v>
      </c>
      <c r="Z216" s="295" t="s">
        <v>297</v>
      </c>
      <c r="AA216" s="295" t="s">
        <v>297</v>
      </c>
      <c r="AB216" s="295" t="s">
        <v>297</v>
      </c>
      <c r="AC216" s="295" t="s">
        <v>297</v>
      </c>
      <c r="AD216" s="295" t="s">
        <v>297</v>
      </c>
      <c r="AE216" s="295" t="s">
        <v>297</v>
      </c>
      <c r="AF216" s="183" t="s">
        <v>297</v>
      </c>
      <c r="AG216" s="183" t="s">
        <v>297</v>
      </c>
      <c r="AH216" s="183" t="s">
        <v>297</v>
      </c>
      <c r="AI216" s="183" t="s">
        <v>297</v>
      </c>
      <c r="AJ216" s="183" t="s">
        <v>297</v>
      </c>
      <c r="AK216" s="183" t="s">
        <v>297</v>
      </c>
      <c r="AL216" s="183" t="s">
        <v>297</v>
      </c>
      <c r="AM216" s="183" t="s">
        <v>297</v>
      </c>
      <c r="AN216" s="183" t="s">
        <v>297</v>
      </c>
      <c r="AO216" s="183" t="s">
        <v>297</v>
      </c>
      <c r="AP216" s="183" t="s">
        <v>297</v>
      </c>
      <c r="AQ216" s="183" t="s">
        <v>297</v>
      </c>
      <c r="AR216" s="183" t="s">
        <v>297</v>
      </c>
      <c r="AS216" s="183" t="s">
        <v>297</v>
      </c>
      <c r="AT216" s="183" t="s">
        <v>297</v>
      </c>
      <c r="AU216" s="183" t="s">
        <v>297</v>
      </c>
      <c r="AV216" s="183" t="s">
        <v>297</v>
      </c>
      <c r="AW216" s="295" t="s">
        <v>297</v>
      </c>
      <c r="AX216" s="304"/>
    </row>
    <row r="217" spans="1:50" ht="14.25" customHeight="1" x14ac:dyDescent="0.15">
      <c r="A217" s="186" t="s">
        <v>458</v>
      </c>
      <c r="B217" s="296" t="s">
        <v>297</v>
      </c>
      <c r="C217" s="296" t="s">
        <v>297</v>
      </c>
      <c r="D217" s="296" t="s">
        <v>297</v>
      </c>
      <c r="E217" s="296">
        <v>0</v>
      </c>
      <c r="F217" s="296">
        <v>0</v>
      </c>
      <c r="G217" s="296">
        <v>0</v>
      </c>
      <c r="H217" s="296">
        <v>0</v>
      </c>
      <c r="I217" s="296">
        <v>0</v>
      </c>
      <c r="J217" s="296">
        <v>0</v>
      </c>
      <c r="K217" s="296">
        <v>0</v>
      </c>
      <c r="L217" s="296">
        <v>0</v>
      </c>
      <c r="M217" s="296">
        <v>0</v>
      </c>
      <c r="N217" s="296">
        <v>0</v>
      </c>
      <c r="O217" s="296">
        <v>0</v>
      </c>
      <c r="P217" s="296">
        <v>0</v>
      </c>
      <c r="Q217" s="296">
        <v>0</v>
      </c>
      <c r="R217" s="296">
        <v>0</v>
      </c>
      <c r="S217" s="296" t="s">
        <v>297</v>
      </c>
      <c r="T217" s="296" t="s">
        <v>297</v>
      </c>
      <c r="U217" s="296" t="s">
        <v>297</v>
      </c>
      <c r="V217" s="296" t="s">
        <v>297</v>
      </c>
      <c r="W217" s="296" t="s">
        <v>297</v>
      </c>
      <c r="X217" s="296">
        <v>2</v>
      </c>
      <c r="Y217" s="296" t="s">
        <v>297</v>
      </c>
      <c r="Z217" s="296" t="s">
        <v>297</v>
      </c>
      <c r="AA217" s="296" t="s">
        <v>297</v>
      </c>
      <c r="AB217" s="296" t="s">
        <v>297</v>
      </c>
      <c r="AC217" s="296" t="s">
        <v>297</v>
      </c>
      <c r="AD217" s="296" t="s">
        <v>297</v>
      </c>
      <c r="AE217" s="296">
        <v>0</v>
      </c>
      <c r="AF217" s="185" t="s">
        <v>297</v>
      </c>
      <c r="AG217" s="185" t="s">
        <v>297</v>
      </c>
      <c r="AH217" s="185" t="s">
        <v>297</v>
      </c>
      <c r="AI217" s="185" t="s">
        <v>297</v>
      </c>
      <c r="AJ217" s="185" t="s">
        <v>297</v>
      </c>
      <c r="AK217" s="185" t="s">
        <v>297</v>
      </c>
      <c r="AL217" s="185" t="s">
        <v>297</v>
      </c>
      <c r="AM217" s="185" t="s">
        <v>297</v>
      </c>
      <c r="AN217" s="185" t="s">
        <v>297</v>
      </c>
      <c r="AO217" s="185" t="s">
        <v>297</v>
      </c>
      <c r="AP217" s="185" t="s">
        <v>297</v>
      </c>
      <c r="AQ217" s="185">
        <v>61.374956583259596</v>
      </c>
      <c r="AR217" s="185">
        <v>57.34498348188437</v>
      </c>
      <c r="AS217" s="185">
        <v>0</v>
      </c>
      <c r="AT217" s="185">
        <v>2.86902384276735</v>
      </c>
      <c r="AU217" s="185">
        <v>1.1239687999999979</v>
      </c>
      <c r="AV217" s="185">
        <v>-2.9329363200995138</v>
      </c>
      <c r="AW217" s="296">
        <v>7.0681046765209699E-2</v>
      </c>
      <c r="AX217" s="304"/>
    </row>
    <row r="218" spans="1:50" ht="14.25" customHeight="1" x14ac:dyDescent="0.15">
      <c r="A218" s="184" t="s">
        <v>459</v>
      </c>
      <c r="B218" s="295" t="s">
        <v>297</v>
      </c>
      <c r="C218" s="295" t="s">
        <v>297</v>
      </c>
      <c r="D218" s="295">
        <v>28.296018580924002</v>
      </c>
      <c r="E218" s="295">
        <v>24.450819017001237</v>
      </c>
      <c r="F218" s="295">
        <v>34.386625836582773</v>
      </c>
      <c r="G218" s="295">
        <v>41.376712599456617</v>
      </c>
      <c r="H218" s="295">
        <v>48.585689065263978</v>
      </c>
      <c r="I218" s="295">
        <v>46.617018203280473</v>
      </c>
      <c r="J218" s="295">
        <v>38.62095612573372</v>
      </c>
      <c r="K218" s="295">
        <v>31.653032904512159</v>
      </c>
      <c r="L218" s="295">
        <v>24.229513491818349</v>
      </c>
      <c r="M218" s="295">
        <v>22.997613769295999</v>
      </c>
      <c r="N218" s="295">
        <v>17.766545006082534</v>
      </c>
      <c r="O218" s="295">
        <v>0.11063571696291602</v>
      </c>
      <c r="P218" s="295">
        <v>0.67853102741907867</v>
      </c>
      <c r="Q218" s="295">
        <v>0.86334305173939052</v>
      </c>
      <c r="R218" s="295">
        <v>7.9778903275082719E-2</v>
      </c>
      <c r="S218" s="295">
        <v>0.59792442927598055</v>
      </c>
      <c r="T218" s="295">
        <v>0.92125698794391331</v>
      </c>
      <c r="U218" s="295">
        <v>2.6549449065765951</v>
      </c>
      <c r="V218" s="295" t="s">
        <v>297</v>
      </c>
      <c r="W218" s="295" t="s">
        <v>297</v>
      </c>
      <c r="X218" s="295" t="s">
        <v>297</v>
      </c>
      <c r="Y218" s="295" t="s">
        <v>297</v>
      </c>
      <c r="Z218" s="295" t="s">
        <v>297</v>
      </c>
      <c r="AA218" s="295" t="s">
        <v>297</v>
      </c>
      <c r="AB218" s="295" t="s">
        <v>297</v>
      </c>
      <c r="AC218" s="295" t="s">
        <v>297</v>
      </c>
      <c r="AD218" s="295" t="s">
        <v>297</v>
      </c>
      <c r="AE218" s="295" t="s">
        <v>297</v>
      </c>
      <c r="AF218" s="183" t="s">
        <v>297</v>
      </c>
      <c r="AG218" s="183" t="s">
        <v>297</v>
      </c>
      <c r="AH218" s="183" t="s">
        <v>297</v>
      </c>
      <c r="AI218" s="183" t="s">
        <v>297</v>
      </c>
      <c r="AJ218" s="183">
        <v>0.7</v>
      </c>
      <c r="AK218" s="183">
        <v>0.46572866200000002</v>
      </c>
      <c r="AL218" s="183">
        <v>1.6585195409751199</v>
      </c>
      <c r="AM218" s="183">
        <v>2.04040716883897</v>
      </c>
      <c r="AN218" s="183">
        <v>1.4182845147800001</v>
      </c>
      <c r="AO218" s="183">
        <v>0.54474301999999997</v>
      </c>
      <c r="AP218" s="183">
        <v>0.47443353999999999</v>
      </c>
      <c r="AQ218" s="183">
        <v>0.37609943000000001</v>
      </c>
      <c r="AR218" s="183">
        <v>0.53025080000000002</v>
      </c>
      <c r="AS218" s="183">
        <v>4.2805259299999996</v>
      </c>
      <c r="AT218" s="183">
        <v>11.721861376974999</v>
      </c>
      <c r="AU218" s="183">
        <v>3.7587651000000002</v>
      </c>
      <c r="AV218" s="183" t="s">
        <v>297</v>
      </c>
      <c r="AW218" s="295" t="s">
        <v>297</v>
      </c>
      <c r="AX218" s="304"/>
    </row>
    <row r="219" spans="1:50" ht="13.5" customHeight="1" x14ac:dyDescent="0.15">
      <c r="A219" s="486"/>
      <c r="B219" s="486"/>
      <c r="C219" s="486"/>
      <c r="D219" s="486"/>
      <c r="E219" s="486"/>
      <c r="F219" s="486"/>
      <c r="G219" s="486"/>
      <c r="H219" s="486"/>
      <c r="I219" s="486"/>
      <c r="J219" s="486"/>
      <c r="K219" s="486"/>
      <c r="L219" s="486"/>
      <c r="M219" s="486"/>
      <c r="N219" s="486"/>
      <c r="O219" s="486"/>
      <c r="P219" s="486"/>
      <c r="Q219" s="486"/>
      <c r="R219" s="486"/>
      <c r="S219" s="486"/>
      <c r="T219" s="486"/>
      <c r="U219" s="486"/>
      <c r="V219" s="486"/>
      <c r="W219" s="486"/>
      <c r="X219" s="486"/>
      <c r="Y219" s="486"/>
      <c r="Z219" s="486"/>
      <c r="AA219" s="486"/>
      <c r="AB219" s="486"/>
      <c r="AC219" s="486"/>
      <c r="AD219" s="486"/>
      <c r="AE219" s="486"/>
      <c r="AF219" s="486"/>
      <c r="AG219" s="486"/>
    </row>
    <row r="220" spans="1:50" ht="14.25" customHeight="1" x14ac:dyDescent="0.15">
      <c r="A220" s="551" t="s">
        <v>460</v>
      </c>
      <c r="B220" s="551"/>
      <c r="C220" s="551"/>
      <c r="D220" s="551"/>
      <c r="E220" s="551"/>
      <c r="F220" s="551"/>
      <c r="G220" s="551"/>
      <c r="H220" s="551"/>
      <c r="I220" s="551"/>
      <c r="J220" s="486"/>
      <c r="K220" s="486"/>
      <c r="L220" s="486"/>
      <c r="M220" s="486"/>
      <c r="N220" s="486"/>
      <c r="O220" s="486"/>
      <c r="P220" s="486"/>
      <c r="Q220" s="486"/>
      <c r="R220" s="486"/>
      <c r="S220" s="486"/>
      <c r="T220" s="486"/>
      <c r="U220" s="486"/>
      <c r="V220" s="486"/>
      <c r="W220" s="486"/>
      <c r="X220" s="486"/>
      <c r="Y220" s="486"/>
      <c r="Z220" s="486"/>
      <c r="AA220" s="486"/>
      <c r="AB220" s="486"/>
      <c r="AC220" s="486"/>
      <c r="AD220" s="486"/>
      <c r="AE220" s="486"/>
      <c r="AF220" s="486"/>
      <c r="AG220" s="486"/>
    </row>
    <row r="221" spans="1:50" ht="14.25" customHeight="1" x14ac:dyDescent="0.15">
      <c r="A221" s="486" t="s">
        <v>461</v>
      </c>
      <c r="B221" s="486"/>
      <c r="C221" s="486"/>
      <c r="D221" s="486"/>
      <c r="E221" s="486"/>
      <c r="F221" s="486"/>
      <c r="G221" s="486"/>
      <c r="H221" s="486"/>
      <c r="I221" s="486"/>
      <c r="J221" s="486"/>
      <c r="K221" s="486"/>
      <c r="L221" s="486"/>
      <c r="M221" s="486"/>
      <c r="N221" s="486"/>
      <c r="O221" s="486"/>
      <c r="P221" s="486"/>
      <c r="Q221" s="486"/>
      <c r="R221" s="486"/>
      <c r="S221" s="486"/>
      <c r="T221" s="486"/>
      <c r="U221" s="486"/>
      <c r="V221" s="486"/>
      <c r="W221" s="486"/>
      <c r="X221" s="486"/>
      <c r="Y221" s="486"/>
      <c r="Z221" s="486"/>
      <c r="AA221" s="486"/>
      <c r="AB221" s="486"/>
      <c r="AC221" s="486"/>
      <c r="AD221" s="486"/>
      <c r="AE221" s="486"/>
      <c r="AF221" s="486"/>
      <c r="AG221" s="486"/>
    </row>
    <row r="222" spans="1:50" ht="14.25" customHeight="1" x14ac:dyDescent="0.15">
      <c r="A222" s="551" t="s">
        <v>462</v>
      </c>
      <c r="B222" s="551"/>
      <c r="C222" s="551"/>
      <c r="D222" s="551"/>
      <c r="E222" s="551"/>
      <c r="F222" s="551"/>
      <c r="G222" s="551"/>
      <c r="H222" s="551"/>
      <c r="I222" s="486"/>
      <c r="J222" s="486"/>
      <c r="K222" s="486"/>
      <c r="L222" s="486"/>
      <c r="M222" s="486"/>
      <c r="N222" s="486"/>
      <c r="O222" s="486"/>
      <c r="P222" s="486"/>
      <c r="Q222" s="486"/>
      <c r="R222" s="486"/>
      <c r="S222" s="486"/>
      <c r="T222" s="486"/>
      <c r="U222" s="486"/>
      <c r="V222" s="486"/>
      <c r="W222" s="486"/>
      <c r="X222" s="486"/>
      <c r="Y222" s="486"/>
      <c r="Z222" s="486"/>
      <c r="AA222" s="486"/>
      <c r="AB222" s="486"/>
      <c r="AC222" s="486"/>
      <c r="AD222" s="486"/>
      <c r="AE222" s="486"/>
      <c r="AF222" s="486"/>
      <c r="AG222" s="486"/>
    </row>
    <row r="223" spans="1:50" ht="14.25" customHeight="1" x14ac:dyDescent="0.15">
      <c r="A223" s="552" t="s">
        <v>463</v>
      </c>
      <c r="B223" s="552"/>
      <c r="C223" s="552"/>
      <c r="D223" s="552"/>
      <c r="E223" s="552"/>
      <c r="F223" s="552"/>
      <c r="G223" s="486"/>
      <c r="H223" s="486"/>
      <c r="I223" s="486"/>
      <c r="J223" s="486"/>
      <c r="K223" s="486"/>
      <c r="L223" s="486"/>
      <c r="M223" s="486"/>
      <c r="N223" s="486"/>
      <c r="O223" s="486"/>
      <c r="P223" s="486"/>
      <c r="Q223" s="486"/>
      <c r="R223" s="486"/>
      <c r="S223" s="486"/>
      <c r="T223" s="486"/>
      <c r="U223" s="486"/>
      <c r="V223" s="486"/>
      <c r="W223" s="486"/>
      <c r="X223" s="486"/>
      <c r="Y223" s="486"/>
      <c r="Z223" s="486"/>
      <c r="AA223" s="486"/>
      <c r="AB223" s="486"/>
      <c r="AC223" s="486"/>
      <c r="AD223" s="486"/>
      <c r="AE223" s="486"/>
      <c r="AF223" s="486"/>
      <c r="AG223" s="486"/>
    </row>
    <row r="224" spans="1:50" ht="14.25" customHeight="1" x14ac:dyDescent="0.15">
      <c r="A224" s="551" t="s">
        <v>464</v>
      </c>
      <c r="B224" s="551"/>
      <c r="C224" s="551"/>
      <c r="D224" s="551"/>
      <c r="E224" s="551"/>
      <c r="F224" s="486"/>
      <c r="G224" s="486"/>
      <c r="H224" s="486"/>
      <c r="I224" s="486"/>
      <c r="J224" s="486"/>
      <c r="K224" s="486"/>
      <c r="L224" s="486"/>
      <c r="M224" s="486"/>
      <c r="N224" s="486"/>
      <c r="O224" s="486"/>
      <c r="P224" s="486"/>
      <c r="Q224" s="486"/>
      <c r="R224" s="486"/>
      <c r="S224" s="486"/>
      <c r="T224" s="486"/>
      <c r="U224" s="486"/>
      <c r="V224" s="486"/>
      <c r="W224" s="486"/>
      <c r="X224" s="486"/>
      <c r="Y224" s="486"/>
      <c r="Z224" s="486"/>
      <c r="AA224" s="486"/>
      <c r="AB224" s="486"/>
      <c r="AC224" s="486"/>
      <c r="AD224" s="486"/>
      <c r="AE224" s="486"/>
      <c r="AF224" s="486"/>
      <c r="AG224" s="486"/>
    </row>
    <row r="226" spans="1:49" ht="14.5" customHeight="1" x14ac:dyDescent="0.15">
      <c r="A226" s="181" t="s">
        <v>465</v>
      </c>
      <c r="B226" s="182">
        <f t="shared" ref="B226:AE226" si="0">(SUM(B6:B218)-B74-B65)/1000</f>
        <v>25.757826513680804</v>
      </c>
      <c r="C226" s="182">
        <f t="shared" si="0"/>
        <v>30.593391984806296</v>
      </c>
      <c r="D226" s="182">
        <f t="shared" si="0"/>
        <v>30.562160577772943</v>
      </c>
      <c r="E226" s="182">
        <f t="shared" si="0"/>
        <v>38.898634056918148</v>
      </c>
      <c r="F226" s="182">
        <f t="shared" si="0"/>
        <v>63.271067497731629</v>
      </c>
      <c r="G226" s="182">
        <f t="shared" si="0"/>
        <v>62.131428982187643</v>
      </c>
      <c r="H226" s="182">
        <f t="shared" si="0"/>
        <v>53.699158434423317</v>
      </c>
      <c r="I226" s="182">
        <f t="shared" si="0"/>
        <v>48.654965736038733</v>
      </c>
      <c r="J226" s="182">
        <f t="shared" si="0"/>
        <v>53.536758471927122</v>
      </c>
      <c r="K226" s="182">
        <f t="shared" si="0"/>
        <v>62.138167815094739</v>
      </c>
      <c r="L226" s="182">
        <f t="shared" si="0"/>
        <v>60.430337587522345</v>
      </c>
      <c r="M226" s="182">
        <f t="shared" si="0"/>
        <v>64.922293362024902</v>
      </c>
      <c r="N226" s="182">
        <f t="shared" si="0"/>
        <v>83.224502563311745</v>
      </c>
      <c r="O226" s="182">
        <f t="shared" si="0"/>
        <v>109.04545667617768</v>
      </c>
      <c r="P226" s="182">
        <f t="shared" si="0"/>
        <v>115.32011553230866</v>
      </c>
      <c r="Q226" s="182">
        <f t="shared" si="0"/>
        <v>118.25858594057875</v>
      </c>
      <c r="R226" s="182">
        <f t="shared" si="0"/>
        <v>104.55249752691196</v>
      </c>
      <c r="S226" s="182">
        <f t="shared" si="0"/>
        <v>105.35573067403389</v>
      </c>
      <c r="T226" s="182">
        <f t="shared" si="0"/>
        <v>123.22392087585486</v>
      </c>
      <c r="U226" s="182">
        <f t="shared" si="0"/>
        <v>156.02392940594601</v>
      </c>
      <c r="V226" s="182">
        <f t="shared" si="0"/>
        <v>187.46382670258035</v>
      </c>
      <c r="W226" s="182">
        <f t="shared" si="0"/>
        <v>229.52345271534804</v>
      </c>
      <c r="X226" s="182">
        <f t="shared" si="0"/>
        <v>247.25989005809791</v>
      </c>
      <c r="Y226" s="182">
        <f t="shared" si="0"/>
        <v>243.77873511011109</v>
      </c>
      <c r="Z226" s="182">
        <f t="shared" si="0"/>
        <v>315.14467001729014</v>
      </c>
      <c r="AA226" s="182">
        <f t="shared" si="0"/>
        <v>366.24620939162338</v>
      </c>
      <c r="AB226" s="182">
        <f t="shared" si="0"/>
        <v>307.49303078928597</v>
      </c>
      <c r="AC226" s="182">
        <f t="shared" si="0"/>
        <v>353.25226144532957</v>
      </c>
      <c r="AD226" s="182">
        <f t="shared" si="0"/>
        <v>489.0283141126742</v>
      </c>
      <c r="AE226" s="182">
        <f t="shared" si="0"/>
        <v>739.50699670642496</v>
      </c>
      <c r="AF226" s="182" t="e">
        <f t="shared" ref="AF226:AV226" si="1">(SUM(AF6:AF218)-AF74-AF65)/1000</f>
        <v>#REF!</v>
      </c>
      <c r="AG226" s="182" t="e">
        <f t="shared" si="1"/>
        <v>#REF!</v>
      </c>
      <c r="AH226" s="182" t="e">
        <f t="shared" si="1"/>
        <v>#REF!</v>
      </c>
      <c r="AI226" s="182" t="e">
        <f t="shared" si="1"/>
        <v>#REF!</v>
      </c>
      <c r="AJ226" s="182" t="e">
        <f t="shared" si="1"/>
        <v>#REF!</v>
      </c>
      <c r="AK226" s="182" t="e">
        <f t="shared" si="1"/>
        <v>#REF!</v>
      </c>
      <c r="AL226" s="182" t="e">
        <f t="shared" si="1"/>
        <v>#REF!</v>
      </c>
      <c r="AM226" s="182" t="e">
        <f t="shared" si="1"/>
        <v>#REF!</v>
      </c>
      <c r="AN226" s="182" t="e">
        <f t="shared" si="1"/>
        <v>#REF!</v>
      </c>
      <c r="AO226" s="182" t="e">
        <f t="shared" si="1"/>
        <v>#REF!</v>
      </c>
      <c r="AP226" s="182" t="e">
        <f t="shared" si="1"/>
        <v>#REF!</v>
      </c>
      <c r="AQ226" s="182" t="e">
        <f t="shared" si="1"/>
        <v>#REF!</v>
      </c>
      <c r="AR226" s="182" t="e">
        <f t="shared" si="1"/>
        <v>#REF!</v>
      </c>
      <c r="AS226" s="182" t="e">
        <f t="shared" si="1"/>
        <v>#REF!</v>
      </c>
      <c r="AT226" s="182" t="e">
        <f t="shared" si="1"/>
        <v>#REF!</v>
      </c>
      <c r="AU226" s="182" t="e">
        <f t="shared" si="1"/>
        <v>#REF!</v>
      </c>
      <c r="AV226" s="182" t="e">
        <f t="shared" si="1"/>
        <v>#REF!</v>
      </c>
      <c r="AW226" s="182" t="e">
        <f t="shared" ref="AW226" si="2">(SUM(AW6:AW218)-AW74-AW65)/1000</f>
        <v>#REF!</v>
      </c>
    </row>
    <row r="227" spans="1:49" ht="14.5" customHeight="1" x14ac:dyDescent="0.15">
      <c r="A227" s="181" t="s">
        <v>466</v>
      </c>
      <c r="B227" s="182">
        <f t="shared" ref="B227:AU227" si="3">(B46+B142+B119)/1000</f>
        <v>1.289900900405363</v>
      </c>
      <c r="C227" s="182">
        <f t="shared" si="3"/>
        <v>1.7754452809600911</v>
      </c>
      <c r="D227" s="182">
        <f t="shared" si="3"/>
        <v>1.8052041293820502</v>
      </c>
      <c r="E227" s="182">
        <f t="shared" si="3"/>
        <v>1.6817996805822872</v>
      </c>
      <c r="F227" s="182">
        <f t="shared" si="3"/>
        <v>4.7205994769002944</v>
      </c>
      <c r="G227" s="182">
        <f t="shared" si="3"/>
        <v>4.0441348203583969</v>
      </c>
      <c r="H227" s="182">
        <f t="shared" si="3"/>
        <v>2.8257420617408755</v>
      </c>
      <c r="I227" s="182">
        <f t="shared" si="3"/>
        <v>2.4108293891132471</v>
      </c>
      <c r="J227" s="182">
        <f t="shared" si="3"/>
        <v>3.2192176163560777</v>
      </c>
      <c r="K227" s="182">
        <f t="shared" si="3"/>
        <v>3.8296560040091547</v>
      </c>
      <c r="L227" s="182">
        <f t="shared" si="3"/>
        <v>1.6859030369302197</v>
      </c>
      <c r="M227" s="182">
        <f t="shared" si="3"/>
        <v>3.3875841756485534</v>
      </c>
      <c r="N227" s="182">
        <f t="shared" si="3"/>
        <v>4.1587421979356805</v>
      </c>
      <c r="O227" s="182">
        <f t="shared" si="3"/>
        <v>5.1028123978884317</v>
      </c>
      <c r="P227" s="182">
        <f t="shared" si="3"/>
        <v>7.236946486422335</v>
      </c>
      <c r="Q227" s="182">
        <f t="shared" si="3"/>
        <v>4.9113208300813334</v>
      </c>
      <c r="R227" s="182">
        <f t="shared" si="3"/>
        <v>5.4593314099371364</v>
      </c>
      <c r="S227" s="182">
        <f t="shared" si="3"/>
        <v>5.7248827006845717</v>
      </c>
      <c r="T227" s="182">
        <f t="shared" si="3"/>
        <v>6.5880132197143038</v>
      </c>
      <c r="U227" s="182">
        <f t="shared" si="3"/>
        <v>8.8745188058023103</v>
      </c>
      <c r="V227" s="182">
        <f t="shared" si="3"/>
        <v>12.355357181112399</v>
      </c>
      <c r="W227" s="182">
        <f t="shared" si="3"/>
        <v>12.381979668729517</v>
      </c>
      <c r="X227" s="182">
        <f t="shared" si="3"/>
        <v>14.504732617455375</v>
      </c>
      <c r="Y227" s="182">
        <f t="shared" si="3"/>
        <v>23.787646735451077</v>
      </c>
      <c r="Z227" s="182">
        <f t="shared" si="3"/>
        <v>32.175909940230319</v>
      </c>
      <c r="AA227" s="182">
        <f t="shared" si="3"/>
        <v>36.649877624761473</v>
      </c>
      <c r="AB227" s="182">
        <f t="shared" si="3"/>
        <v>35.205647777203438</v>
      </c>
      <c r="AC227" s="182">
        <f t="shared" si="3"/>
        <v>50.49876617467217</v>
      </c>
      <c r="AD227" s="182">
        <f t="shared" si="3"/>
        <v>62.060306469487244</v>
      </c>
      <c r="AE227" s="182">
        <f t="shared" si="3"/>
        <v>135.30697245469096</v>
      </c>
      <c r="AF227" s="182">
        <f t="shared" si="3"/>
        <v>171.61584254740052</v>
      </c>
      <c r="AG227" s="182">
        <f t="shared" si="3"/>
        <v>208.23643771245452</v>
      </c>
      <c r="AH227" s="182">
        <f t="shared" si="3"/>
        <v>294.26558063135695</v>
      </c>
      <c r="AI227" s="182">
        <f t="shared" si="3"/>
        <v>271.30829199237576</v>
      </c>
      <c r="AJ227" s="182">
        <f t="shared" si="3"/>
        <v>242.25556084903783</v>
      </c>
      <c r="AK227" s="182">
        <f t="shared" si="3"/>
        <v>333.71014875789206</v>
      </c>
      <c r="AL227" s="182">
        <f t="shared" si="3"/>
        <v>385.57250804360882</v>
      </c>
      <c r="AM227" s="182">
        <f t="shared" si="3"/>
        <v>374.62512939839598</v>
      </c>
      <c r="AN227" s="182">
        <f t="shared" si="3"/>
        <v>410.01969699926849</v>
      </c>
      <c r="AO227" s="182">
        <f t="shared" si="3"/>
        <v>438.89768658198756</v>
      </c>
      <c r="AP227" s="182">
        <f t="shared" si="3"/>
        <v>414.88238681479106</v>
      </c>
      <c r="AQ227" s="182">
        <f t="shared" si="3"/>
        <v>449.73344574055903</v>
      </c>
      <c r="AR227" s="182">
        <f t="shared" si="3"/>
        <v>460.60474201105001</v>
      </c>
      <c r="AS227" s="182">
        <f t="shared" si="3"/>
        <v>547.62405634229867</v>
      </c>
      <c r="AT227" s="182">
        <f t="shared" si="3"/>
        <v>473.58351463127417</v>
      </c>
      <c r="AU227" s="182">
        <f t="shared" si="3"/>
        <v>408.05431742384343</v>
      </c>
      <c r="AV227" s="182">
        <f t="shared" ref="AV227:AW227" si="4">(AV46+AV142+AV119)/1000</f>
        <v>467.55054109772789</v>
      </c>
      <c r="AW227" s="182">
        <f t="shared" si="4"/>
        <v>490.61047750538086</v>
      </c>
    </row>
    <row r="228" spans="1:49" ht="14.5" customHeight="1" x14ac:dyDescent="0.15">
      <c r="A228" s="181" t="s">
        <v>467</v>
      </c>
      <c r="B228" s="292">
        <f t="shared" ref="B228:AE228" si="5">B227/B226</f>
        <v>5.0078018023774463E-2</v>
      </c>
      <c r="C228" s="292">
        <f t="shared" si="5"/>
        <v>5.803361986934423E-2</v>
      </c>
      <c r="D228" s="292">
        <f t="shared" si="5"/>
        <v>5.9066639768097014E-2</v>
      </c>
      <c r="E228" s="292">
        <f t="shared" si="5"/>
        <v>4.3235443129478683E-2</v>
      </c>
      <c r="F228" s="292">
        <f t="shared" si="5"/>
        <v>7.4609132793113306E-2</v>
      </c>
      <c r="G228" s="292">
        <f t="shared" si="5"/>
        <v>6.5090001736766809E-2</v>
      </c>
      <c r="H228" s="292">
        <f t="shared" si="5"/>
        <v>5.2621719671671077E-2</v>
      </c>
      <c r="I228" s="292">
        <f t="shared" si="5"/>
        <v>4.9549503378388891E-2</v>
      </c>
      <c r="J228" s="292">
        <f t="shared" si="5"/>
        <v>6.0130977448777129E-2</v>
      </c>
      <c r="K228" s="292">
        <f t="shared" si="5"/>
        <v>6.1631299065738568E-2</v>
      </c>
      <c r="L228" s="292">
        <f t="shared" si="5"/>
        <v>2.7898289240706226E-2</v>
      </c>
      <c r="M228" s="292">
        <f t="shared" si="5"/>
        <v>5.2179058998400363E-2</v>
      </c>
      <c r="N228" s="292">
        <f t="shared" si="5"/>
        <v>4.9970165874791285E-2</v>
      </c>
      <c r="O228" s="292">
        <f t="shared" si="5"/>
        <v>4.6795277432252744E-2</v>
      </c>
      <c r="P228" s="292">
        <f t="shared" si="5"/>
        <v>6.2755283005199516E-2</v>
      </c>
      <c r="Q228" s="292">
        <f t="shared" si="5"/>
        <v>4.1530353090380417E-2</v>
      </c>
      <c r="R228" s="292">
        <f t="shared" si="5"/>
        <v>5.2216174066352615E-2</v>
      </c>
      <c r="S228" s="292">
        <f t="shared" si="5"/>
        <v>5.4338598043585429E-2</v>
      </c>
      <c r="T228" s="292">
        <f t="shared" si="5"/>
        <v>5.3463752596799523E-2</v>
      </c>
      <c r="U228" s="292">
        <f t="shared" si="5"/>
        <v>5.6879216153519756E-2</v>
      </c>
      <c r="V228" s="292">
        <f t="shared" si="5"/>
        <v>6.5907953541963701E-2</v>
      </c>
      <c r="W228" s="292">
        <f t="shared" si="5"/>
        <v>5.3946468311826437E-2</v>
      </c>
      <c r="X228" s="292">
        <f t="shared" si="5"/>
        <v>5.8661890588268241E-2</v>
      </c>
      <c r="Y228" s="292">
        <f t="shared" si="5"/>
        <v>9.7578842242768069E-2</v>
      </c>
      <c r="Z228" s="292">
        <f t="shared" si="5"/>
        <v>0.10209885491150783</v>
      </c>
      <c r="AA228" s="292">
        <f t="shared" si="5"/>
        <v>0.10006896094744869</v>
      </c>
      <c r="AB228" s="292">
        <f t="shared" si="5"/>
        <v>0.11449250634017984</v>
      </c>
      <c r="AC228" s="292">
        <f t="shared" si="5"/>
        <v>0.1429538369211191</v>
      </c>
      <c r="AD228" s="292">
        <f t="shared" si="5"/>
        <v>0.12690534408440876</v>
      </c>
      <c r="AE228" s="292">
        <f t="shared" si="5"/>
        <v>0.1829691579083276</v>
      </c>
      <c r="AF228" s="292" t="e">
        <f>AF227/AF226</f>
        <v>#REF!</v>
      </c>
      <c r="AG228" s="292" t="e">
        <f t="shared" ref="AG228:AV228" si="6">AG227/AG226</f>
        <v>#REF!</v>
      </c>
      <c r="AH228" s="292" t="e">
        <f t="shared" si="6"/>
        <v>#REF!</v>
      </c>
      <c r="AI228" s="292" t="e">
        <f t="shared" si="6"/>
        <v>#REF!</v>
      </c>
      <c r="AJ228" s="292" t="e">
        <f t="shared" si="6"/>
        <v>#REF!</v>
      </c>
      <c r="AK228" s="292" t="e">
        <f t="shared" si="6"/>
        <v>#REF!</v>
      </c>
      <c r="AL228" s="292" t="e">
        <f t="shared" si="6"/>
        <v>#REF!</v>
      </c>
      <c r="AM228" s="292" t="e">
        <f t="shared" si="6"/>
        <v>#REF!</v>
      </c>
      <c r="AN228" s="292" t="e">
        <f t="shared" si="6"/>
        <v>#REF!</v>
      </c>
      <c r="AO228" s="292" t="e">
        <f t="shared" si="6"/>
        <v>#REF!</v>
      </c>
      <c r="AP228" s="292" t="e">
        <f t="shared" si="6"/>
        <v>#REF!</v>
      </c>
      <c r="AQ228" s="292" t="e">
        <f t="shared" si="6"/>
        <v>#REF!</v>
      </c>
      <c r="AR228" s="292" t="e">
        <f t="shared" si="6"/>
        <v>#REF!</v>
      </c>
      <c r="AS228" s="292" t="e">
        <f t="shared" si="6"/>
        <v>#REF!</v>
      </c>
      <c r="AT228" s="292" t="e">
        <f t="shared" si="6"/>
        <v>#REF!</v>
      </c>
      <c r="AU228" s="292" t="e">
        <f t="shared" si="6"/>
        <v>#REF!</v>
      </c>
      <c r="AV228" s="292" t="e">
        <f t="shared" si="6"/>
        <v>#REF!</v>
      </c>
      <c r="AW228" s="292" t="e">
        <f t="shared" ref="AW228" si="7">AW227/AW226</f>
        <v>#REF!</v>
      </c>
    </row>
    <row r="229" spans="1:49" ht="14.5" customHeight="1" x14ac:dyDescent="0.15">
      <c r="A229" s="181" t="s">
        <v>468</v>
      </c>
      <c r="B229" s="182">
        <f t="shared" ref="B229:AE229" si="8">B226-B227</f>
        <v>24.46792561327544</v>
      </c>
      <c r="C229" s="182">
        <f t="shared" si="8"/>
        <v>28.817946703846204</v>
      </c>
      <c r="D229" s="182">
        <f t="shared" si="8"/>
        <v>28.756956448390891</v>
      </c>
      <c r="E229" s="182">
        <f t="shared" si="8"/>
        <v>37.216834376335861</v>
      </c>
      <c r="F229" s="182">
        <f t="shared" si="8"/>
        <v>58.550468020831332</v>
      </c>
      <c r="G229" s="182">
        <f t="shared" si="8"/>
        <v>58.087294161829249</v>
      </c>
      <c r="H229" s="182">
        <f t="shared" si="8"/>
        <v>50.873416372682442</v>
      </c>
      <c r="I229" s="182">
        <f t="shared" si="8"/>
        <v>46.244136346925487</v>
      </c>
      <c r="J229" s="182">
        <f t="shared" si="8"/>
        <v>50.317540855571046</v>
      </c>
      <c r="K229" s="182">
        <f t="shared" si="8"/>
        <v>58.308511811085587</v>
      </c>
      <c r="L229" s="182">
        <f t="shared" si="8"/>
        <v>58.744434550592125</v>
      </c>
      <c r="M229" s="182">
        <f t="shared" si="8"/>
        <v>61.534709186376347</v>
      </c>
      <c r="N229" s="182">
        <f t="shared" si="8"/>
        <v>79.065760365376065</v>
      </c>
      <c r="O229" s="182">
        <f t="shared" si="8"/>
        <v>103.94264427828925</v>
      </c>
      <c r="P229" s="182">
        <f t="shared" si="8"/>
        <v>108.08316904588632</v>
      </c>
      <c r="Q229" s="182">
        <f t="shared" si="8"/>
        <v>113.34726511049742</v>
      </c>
      <c r="R229" s="182">
        <f t="shared" si="8"/>
        <v>99.093166116974828</v>
      </c>
      <c r="S229" s="182">
        <f t="shared" si="8"/>
        <v>99.630847973349319</v>
      </c>
      <c r="T229" s="182">
        <f t="shared" si="8"/>
        <v>116.63590765614056</v>
      </c>
      <c r="U229" s="182">
        <f t="shared" si="8"/>
        <v>147.14941060014371</v>
      </c>
      <c r="V229" s="182">
        <f t="shared" si="8"/>
        <v>175.10846952146795</v>
      </c>
      <c r="W229" s="182">
        <f t="shared" si="8"/>
        <v>217.14147304661853</v>
      </c>
      <c r="X229" s="182">
        <f t="shared" si="8"/>
        <v>232.75515744064253</v>
      </c>
      <c r="Y229" s="182">
        <f t="shared" si="8"/>
        <v>219.99108837466002</v>
      </c>
      <c r="Z229" s="182">
        <f t="shared" si="8"/>
        <v>282.96876007705981</v>
      </c>
      <c r="AA229" s="182">
        <f t="shared" si="8"/>
        <v>329.59633176686191</v>
      </c>
      <c r="AB229" s="182">
        <f t="shared" si="8"/>
        <v>272.2873830120825</v>
      </c>
      <c r="AC229" s="182">
        <f t="shared" si="8"/>
        <v>302.75349527065737</v>
      </c>
      <c r="AD229" s="182">
        <f t="shared" si="8"/>
        <v>426.96800764318698</v>
      </c>
      <c r="AE229" s="182">
        <f t="shared" si="8"/>
        <v>604.20002425173402</v>
      </c>
      <c r="AF229" s="182" t="e">
        <f>AF226-AF227</f>
        <v>#REF!</v>
      </c>
      <c r="AG229" s="182" t="e">
        <f t="shared" ref="AG229:AV229" si="9">AG226-AG227</f>
        <v>#REF!</v>
      </c>
      <c r="AH229" s="182" t="e">
        <f t="shared" si="9"/>
        <v>#REF!</v>
      </c>
      <c r="AI229" s="182" t="e">
        <f t="shared" si="9"/>
        <v>#REF!</v>
      </c>
      <c r="AJ229" s="182" t="e">
        <f t="shared" si="9"/>
        <v>#REF!</v>
      </c>
      <c r="AK229" s="182" t="e">
        <f t="shared" si="9"/>
        <v>#REF!</v>
      </c>
      <c r="AL229" s="182" t="e">
        <f t="shared" si="9"/>
        <v>#REF!</v>
      </c>
      <c r="AM229" s="182" t="e">
        <f t="shared" si="9"/>
        <v>#REF!</v>
      </c>
      <c r="AN229" s="182" t="e">
        <f t="shared" si="9"/>
        <v>#REF!</v>
      </c>
      <c r="AO229" s="182" t="e">
        <f t="shared" si="9"/>
        <v>#REF!</v>
      </c>
      <c r="AP229" s="182" t="e">
        <f t="shared" si="9"/>
        <v>#REF!</v>
      </c>
      <c r="AQ229" s="182" t="e">
        <f t="shared" si="9"/>
        <v>#REF!</v>
      </c>
      <c r="AR229" s="182" t="e">
        <f t="shared" si="9"/>
        <v>#REF!</v>
      </c>
      <c r="AS229" s="182" t="e">
        <f t="shared" si="9"/>
        <v>#REF!</v>
      </c>
      <c r="AT229" s="182" t="e">
        <f t="shared" si="9"/>
        <v>#REF!</v>
      </c>
      <c r="AU229" s="182" t="e">
        <f t="shared" si="9"/>
        <v>#REF!</v>
      </c>
      <c r="AV229" s="182" t="e">
        <f t="shared" si="9"/>
        <v>#REF!</v>
      </c>
      <c r="AW229" s="182" t="e">
        <f t="shared" ref="AW229" si="10">AW226-AW227</f>
        <v>#REF!</v>
      </c>
    </row>
    <row r="230" spans="1:49" ht="14.5" customHeight="1" x14ac:dyDescent="0.15">
      <c r="A230" s="181" t="s">
        <v>469</v>
      </c>
      <c r="B230" s="292">
        <f t="shared" ref="B230:AS230" si="11">B206/B229/1000</f>
        <v>0.73553669913484587</v>
      </c>
      <c r="C230" s="292">
        <f t="shared" si="11"/>
        <v>0.74160403211388415</v>
      </c>
      <c r="D230" s="292">
        <f t="shared" si="11"/>
        <v>0.74317689047413826</v>
      </c>
      <c r="E230" s="292">
        <f t="shared" si="11"/>
        <v>0.75558285408054915</v>
      </c>
      <c r="F230" s="292">
        <f t="shared" si="11"/>
        <v>0.71080891878280161</v>
      </c>
      <c r="G230" s="292">
        <f t="shared" si="11"/>
        <v>0.71647673503550069</v>
      </c>
      <c r="H230" s="292">
        <f t="shared" si="11"/>
        <v>0.70752304537304345</v>
      </c>
      <c r="I230" s="292">
        <f t="shared" si="11"/>
        <v>0.67777241561748436</v>
      </c>
      <c r="J230" s="292">
        <f t="shared" si="11"/>
        <v>0.7017632300703035</v>
      </c>
      <c r="K230" s="292">
        <f t="shared" si="11"/>
        <v>0.68010653622033657</v>
      </c>
      <c r="L230" s="292">
        <f t="shared" si="11"/>
        <v>0.67213175685596949</v>
      </c>
      <c r="M230" s="292">
        <f t="shared" si="11"/>
        <v>0.65166473572736172</v>
      </c>
      <c r="N230" s="292">
        <f t="shared" si="11"/>
        <v>0.61464026622175205</v>
      </c>
      <c r="O230" s="292">
        <f t="shared" si="11"/>
        <v>0.57479776866210908</v>
      </c>
      <c r="P230" s="292">
        <f t="shared" si="11"/>
        <v>0.57168938092264177</v>
      </c>
      <c r="Q230" s="292">
        <f t="shared" si="11"/>
        <v>0.56640096201186818</v>
      </c>
      <c r="R230" s="292">
        <f t="shared" si="11"/>
        <v>0.57995926714218993</v>
      </c>
      <c r="S230" s="292">
        <f t="shared" si="11"/>
        <v>0.56548750859844754</v>
      </c>
      <c r="T230" s="292">
        <f t="shared" si="11"/>
        <v>0.56226252547662492</v>
      </c>
      <c r="U230" s="292">
        <f t="shared" si="11"/>
        <v>0.50995786999045389</v>
      </c>
      <c r="V230" s="292">
        <f t="shared" si="11"/>
        <v>0.53007144802108186</v>
      </c>
      <c r="W230" s="292">
        <f t="shared" si="11"/>
        <v>0.46195689194051037</v>
      </c>
      <c r="X230" s="292">
        <f t="shared" si="11"/>
        <v>0.4864339043867309</v>
      </c>
      <c r="Y230" s="292">
        <f t="shared" si="11"/>
        <v>0.45870039893681192</v>
      </c>
      <c r="Z230" s="292">
        <f t="shared" si="11"/>
        <v>0.44524702997493204</v>
      </c>
      <c r="AA230" s="292">
        <f t="shared" si="11"/>
        <v>0.43942540022698678</v>
      </c>
      <c r="AB230" s="292">
        <f t="shared" si="11"/>
        <v>0.44900354415090515</v>
      </c>
      <c r="AC230" s="292">
        <f t="shared" si="11"/>
        <v>0.46011359794695966</v>
      </c>
      <c r="AD230" s="292">
        <f t="shared" si="11"/>
        <v>0.41737553355268014</v>
      </c>
      <c r="AE230" s="292">
        <f t="shared" si="11"/>
        <v>0.39777224487476548</v>
      </c>
      <c r="AF230" s="292" t="e">
        <f t="shared" si="11"/>
        <v>#REF!</v>
      </c>
      <c r="AG230" s="292" t="e">
        <f t="shared" si="11"/>
        <v>#REF!</v>
      </c>
      <c r="AH230" s="292" t="e">
        <f t="shared" si="11"/>
        <v>#REF!</v>
      </c>
      <c r="AI230" s="292" t="e">
        <f t="shared" si="11"/>
        <v>#REF!</v>
      </c>
      <c r="AJ230" s="292" t="e">
        <f t="shared" si="11"/>
        <v>#REF!</v>
      </c>
      <c r="AK230" s="292" t="e">
        <f t="shared" si="11"/>
        <v>#REF!</v>
      </c>
      <c r="AL230" s="292" t="e">
        <f t="shared" si="11"/>
        <v>#REF!</v>
      </c>
      <c r="AM230" s="292" t="e">
        <f t="shared" si="11"/>
        <v>#REF!</v>
      </c>
      <c r="AN230" s="292" t="e">
        <f t="shared" si="11"/>
        <v>#REF!</v>
      </c>
      <c r="AO230" s="292" t="e">
        <f t="shared" si="11"/>
        <v>#REF!</v>
      </c>
      <c r="AP230" s="292" t="e">
        <f t="shared" si="11"/>
        <v>#REF!</v>
      </c>
      <c r="AQ230" s="292" t="e">
        <f t="shared" si="11"/>
        <v>#REF!</v>
      </c>
      <c r="AR230" s="292" t="e">
        <f t="shared" si="11"/>
        <v>#REF!</v>
      </c>
      <c r="AS230" s="292" t="e">
        <f t="shared" si="11"/>
        <v>#REF!</v>
      </c>
      <c r="AT230" s="292" t="e">
        <f>AT206/AT229/1000</f>
        <v>#REF!</v>
      </c>
      <c r="AU230" s="292" t="e">
        <f t="shared" ref="AU230:AV230" si="12">AU206/AU229/1000</f>
        <v>#REF!</v>
      </c>
      <c r="AV230" s="292" t="e">
        <f t="shared" si="12"/>
        <v>#REF!</v>
      </c>
      <c r="AW230" s="292" t="e">
        <f t="shared" ref="AW230" si="13">AW206/AW229/1000</f>
        <v>#REF!</v>
      </c>
    </row>
    <row r="231" spans="1:49" ht="14.5" customHeight="1" x14ac:dyDescent="0.15">
      <c r="A231" s="181" t="s">
        <v>470</v>
      </c>
      <c r="B231" s="292">
        <f>B205/B229/1000</f>
        <v>0.17297802648960012</v>
      </c>
      <c r="C231" s="292">
        <f t="shared" ref="C231:AW231" si="14">C205/C229/1000</f>
        <v>0.17496700219525183</v>
      </c>
      <c r="D231" s="292">
        <f t="shared" si="14"/>
        <v>0.16871037431425126</v>
      </c>
      <c r="E231" s="292">
        <f t="shared" si="14"/>
        <v>0.16380339004587902</v>
      </c>
      <c r="F231" s="292">
        <f t="shared" si="14"/>
        <v>0.20966577501993025</v>
      </c>
      <c r="G231" s="292">
        <f t="shared" si="14"/>
        <v>0.20017322201740445</v>
      </c>
      <c r="H231" s="292">
        <f t="shared" si="14"/>
        <v>0.21345039254856565</v>
      </c>
      <c r="I231" s="292">
        <f t="shared" si="14"/>
        <v>0.18806935109358977</v>
      </c>
      <c r="J231" s="292">
        <f t="shared" si="14"/>
        <v>0.18755368142927678</v>
      </c>
      <c r="K231" s="292">
        <f t="shared" si="14"/>
        <v>0.17921622940297158</v>
      </c>
      <c r="L231" s="292">
        <f t="shared" si="14"/>
        <v>0.16965368026215252</v>
      </c>
      <c r="M231" s="292">
        <f t="shared" si="14"/>
        <v>0.18760015798531837</v>
      </c>
      <c r="N231" s="292">
        <f t="shared" si="14"/>
        <v>0.23437830007062996</v>
      </c>
      <c r="O231" s="292">
        <f t="shared" si="14"/>
        <v>0.2362484564184712</v>
      </c>
      <c r="P231" s="292">
        <f t="shared" si="14"/>
        <v>0.24810192803820186</v>
      </c>
      <c r="Q231" s="292">
        <f t="shared" si="14"/>
        <v>0.2507366671794537</v>
      </c>
      <c r="R231" s="292">
        <f t="shared" si="14"/>
        <v>0.23106250926387031</v>
      </c>
      <c r="S231" s="292">
        <f t="shared" si="14"/>
        <v>0.24724489406963743</v>
      </c>
      <c r="T231" s="292">
        <f t="shared" si="14"/>
        <v>0.22331073258131826</v>
      </c>
      <c r="U231" s="292">
        <f t="shared" si="14"/>
        <v>0.22968752816816612</v>
      </c>
      <c r="V231" s="292">
        <f t="shared" si="14"/>
        <v>0.22228471667541264</v>
      </c>
      <c r="W231" s="292">
        <f t="shared" si="14"/>
        <v>0.20075677885958976</v>
      </c>
      <c r="X231" s="292">
        <f t="shared" si="14"/>
        <v>0.20696058836171838</v>
      </c>
      <c r="Y231" s="292">
        <f t="shared" si="14"/>
        <v>0.20743311787651925</v>
      </c>
      <c r="Z231" s="292">
        <f t="shared" si="14"/>
        <v>0.17755034155119456</v>
      </c>
      <c r="AA231" s="292">
        <f t="shared" si="14"/>
        <v>0.19025311616194462</v>
      </c>
      <c r="AB231" s="292">
        <f t="shared" si="14"/>
        <v>0.22813257746243712</v>
      </c>
      <c r="AC231" s="292">
        <f t="shared" si="14"/>
        <v>0.24390161757531084</v>
      </c>
      <c r="AD231" s="292">
        <f t="shared" si="14"/>
        <v>0.19998046272258721</v>
      </c>
      <c r="AE231" s="292">
        <f t="shared" si="14"/>
        <v>0.18228204845614837</v>
      </c>
      <c r="AF231" s="292" t="e">
        <f t="shared" si="14"/>
        <v>#REF!</v>
      </c>
      <c r="AG231" s="292" t="e">
        <f t="shared" si="14"/>
        <v>#REF!</v>
      </c>
      <c r="AH231" s="292" t="e">
        <f t="shared" si="14"/>
        <v>#REF!</v>
      </c>
      <c r="AI231" s="292" t="e">
        <f t="shared" si="14"/>
        <v>#REF!</v>
      </c>
      <c r="AJ231" s="292" t="e">
        <f t="shared" si="14"/>
        <v>#REF!</v>
      </c>
      <c r="AK231" s="292" t="e">
        <f t="shared" si="14"/>
        <v>#REF!</v>
      </c>
      <c r="AL231" s="292" t="e">
        <f t="shared" si="14"/>
        <v>#REF!</v>
      </c>
      <c r="AM231" s="292" t="e">
        <f t="shared" si="14"/>
        <v>#REF!</v>
      </c>
      <c r="AN231" s="292" t="e">
        <f t="shared" si="14"/>
        <v>#REF!</v>
      </c>
      <c r="AO231" s="292" t="e">
        <f t="shared" si="14"/>
        <v>#REF!</v>
      </c>
      <c r="AP231" s="292" t="e">
        <f t="shared" si="14"/>
        <v>#REF!</v>
      </c>
      <c r="AQ231" s="292" t="e">
        <f t="shared" si="14"/>
        <v>#REF!</v>
      </c>
      <c r="AR231" s="292" t="e">
        <f t="shared" si="14"/>
        <v>#REF!</v>
      </c>
      <c r="AS231" s="292" t="e">
        <f t="shared" si="14"/>
        <v>#REF!</v>
      </c>
      <c r="AT231" s="292" t="e">
        <f t="shared" si="14"/>
        <v>#REF!</v>
      </c>
      <c r="AU231" s="292" t="e">
        <f t="shared" si="14"/>
        <v>#REF!</v>
      </c>
      <c r="AV231" s="292" t="e">
        <f t="shared" si="14"/>
        <v>#REF!</v>
      </c>
      <c r="AW231" s="292" t="e">
        <f t="shared" si="14"/>
        <v>#REF!</v>
      </c>
    </row>
    <row r="232" spans="1:49" ht="14.5" customHeight="1" x14ac:dyDescent="0.15">
      <c r="A232" s="181" t="s">
        <v>471</v>
      </c>
      <c r="B232" s="292" t="e">
        <f>B103/B229/1000</f>
        <v>#VALUE!</v>
      </c>
      <c r="C232" s="292" t="e">
        <f t="shared" ref="C232:AW232" si="15">C103/C229/1000</f>
        <v>#VALUE!</v>
      </c>
      <c r="D232" s="292" t="e">
        <f t="shared" si="15"/>
        <v>#VALUE!</v>
      </c>
      <c r="E232" s="292" t="e">
        <f t="shared" si="15"/>
        <v>#VALUE!</v>
      </c>
      <c r="F232" s="292" t="e">
        <f t="shared" si="15"/>
        <v>#VALUE!</v>
      </c>
      <c r="G232" s="292" t="e">
        <f t="shared" si="15"/>
        <v>#VALUE!</v>
      </c>
      <c r="H232" s="292" t="e">
        <f t="shared" si="15"/>
        <v>#VALUE!</v>
      </c>
      <c r="I232" s="292" t="e">
        <f t="shared" si="15"/>
        <v>#VALUE!</v>
      </c>
      <c r="J232" s="292" t="e">
        <f t="shared" si="15"/>
        <v>#VALUE!</v>
      </c>
      <c r="K232" s="292" t="e">
        <f t="shared" si="15"/>
        <v>#VALUE!</v>
      </c>
      <c r="L232" s="292" t="e">
        <f t="shared" si="15"/>
        <v>#VALUE!</v>
      </c>
      <c r="M232" s="292" t="e">
        <f t="shared" si="15"/>
        <v>#VALUE!</v>
      </c>
      <c r="N232" s="292" t="e">
        <f t="shared" si="15"/>
        <v>#VALUE!</v>
      </c>
      <c r="O232" s="292" t="e">
        <f t="shared" si="15"/>
        <v>#VALUE!</v>
      </c>
      <c r="P232" s="292" t="e">
        <f t="shared" si="15"/>
        <v>#VALUE!</v>
      </c>
      <c r="Q232" s="292" t="e">
        <f t="shared" si="15"/>
        <v>#VALUE!</v>
      </c>
      <c r="R232" s="292" t="e">
        <f t="shared" si="15"/>
        <v>#VALUE!</v>
      </c>
      <c r="S232" s="292" t="e">
        <f t="shared" si="15"/>
        <v>#VALUE!</v>
      </c>
      <c r="T232" s="292" t="e">
        <f t="shared" si="15"/>
        <v>#VALUE!</v>
      </c>
      <c r="U232" s="292" t="e">
        <f t="shared" si="15"/>
        <v>#VALUE!</v>
      </c>
      <c r="V232" s="292" t="e">
        <f t="shared" si="15"/>
        <v>#VALUE!</v>
      </c>
      <c r="W232" s="292">
        <f t="shared" si="15"/>
        <v>6.9682681008392602E-2</v>
      </c>
      <c r="X232" s="292">
        <f t="shared" si="15"/>
        <v>5.1288297668177205E-2</v>
      </c>
      <c r="Y232" s="292">
        <f t="shared" si="15"/>
        <v>2.6249277327010628E-2</v>
      </c>
      <c r="Z232" s="292">
        <f t="shared" si="15"/>
        <v>2.387816558538786E-2</v>
      </c>
      <c r="AA232" s="292">
        <f t="shared" si="15"/>
        <v>6.0952427265440645E-2</v>
      </c>
      <c r="AB232" s="292">
        <f t="shared" si="15"/>
        <v>5.0828279586535886E-2</v>
      </c>
      <c r="AC232" s="292">
        <f t="shared" si="15"/>
        <v>4.0590368767669888E-2</v>
      </c>
      <c r="AD232" s="292">
        <f t="shared" si="15"/>
        <v>3.7657067122330412E-2</v>
      </c>
      <c r="AE232" s="292">
        <f t="shared" si="15"/>
        <v>4.6170880369641759E-2</v>
      </c>
      <c r="AF232" s="292" t="e">
        <f t="shared" si="15"/>
        <v>#REF!</v>
      </c>
      <c r="AG232" s="292" t="e">
        <f t="shared" si="15"/>
        <v>#REF!</v>
      </c>
      <c r="AH232" s="292" t="e">
        <f t="shared" si="15"/>
        <v>#REF!</v>
      </c>
      <c r="AI232" s="292" t="e">
        <f t="shared" si="15"/>
        <v>#REF!</v>
      </c>
      <c r="AJ232" s="292" t="e">
        <f t="shared" si="15"/>
        <v>#REF!</v>
      </c>
      <c r="AK232" s="292" t="e">
        <f t="shared" si="15"/>
        <v>#REF!</v>
      </c>
      <c r="AL232" s="292" t="e">
        <f t="shared" si="15"/>
        <v>#REF!</v>
      </c>
      <c r="AM232" s="292" t="e">
        <f t="shared" si="15"/>
        <v>#REF!</v>
      </c>
      <c r="AN232" s="292" t="e">
        <f t="shared" si="15"/>
        <v>#REF!</v>
      </c>
      <c r="AO232" s="292" t="e">
        <f t="shared" si="15"/>
        <v>#REF!</v>
      </c>
      <c r="AP232" s="292" t="e">
        <f t="shared" si="15"/>
        <v>#REF!</v>
      </c>
      <c r="AQ232" s="292" t="e">
        <f t="shared" si="15"/>
        <v>#REF!</v>
      </c>
      <c r="AR232" s="292" t="e">
        <f t="shared" si="15"/>
        <v>#REF!</v>
      </c>
      <c r="AS232" s="292" t="e">
        <f t="shared" si="15"/>
        <v>#REF!</v>
      </c>
      <c r="AT232" s="292" t="e">
        <f t="shared" si="15"/>
        <v>#REF!</v>
      </c>
      <c r="AU232" s="292" t="e">
        <f t="shared" si="15"/>
        <v>#REF!</v>
      </c>
      <c r="AV232" s="292" t="e">
        <f t="shared" si="15"/>
        <v>#REF!</v>
      </c>
      <c r="AW232" s="292" t="e">
        <f t="shared" si="15"/>
        <v>#REF!</v>
      </c>
    </row>
  </sheetData>
  <mergeCells count="6">
    <mergeCell ref="A1:M1"/>
    <mergeCell ref="A224:E224"/>
    <mergeCell ref="A223:F223"/>
    <mergeCell ref="A220:I220"/>
    <mergeCell ref="A222:H222"/>
    <mergeCell ref="A4:B4"/>
  </mergeCells>
  <pageMargins left="0.39" right="0.39" top="0.39" bottom="0.39" header="0.39" footer="0.39"/>
  <pageSetup paperSize="9" fitToWidth="0" fitToHeight="0" orientation="portrait"/>
  <drawing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A2:BB96"/>
  <sheetViews>
    <sheetView zoomScale="57" workbookViewId="0">
      <pane xSplit="1" ySplit="9" topLeftCell="B70" activePane="bottomRight" state="frozen"/>
      <selection pane="topRight" activeCell="Z81" sqref="Z81"/>
      <selection pane="bottomLeft" activeCell="Z81" sqref="Z81"/>
      <selection pane="bottomRight" activeCell="Q85" sqref="Q85"/>
    </sheetView>
  </sheetViews>
  <sheetFormatPr baseColWidth="10" defaultColWidth="11" defaultRowHeight="16" x14ac:dyDescent="0.2"/>
  <cols>
    <col min="1" max="1" width="19.1640625" style="95" customWidth="1"/>
    <col min="2" max="8" width="11.5" style="95" customWidth="1"/>
    <col min="9" max="9" width="10.83203125" style="95" customWidth="1"/>
    <col min="10" max="16" width="11" style="95"/>
    <col min="17" max="17" width="11.1640625" style="95" bestFit="1" customWidth="1"/>
    <col min="18" max="23" width="11.1640625" style="95" customWidth="1"/>
    <col min="24" max="24" width="11" style="95"/>
    <col min="25" max="25" width="11.1640625" style="95" bestFit="1" customWidth="1"/>
    <col min="26" max="27" width="11.1640625" style="95" customWidth="1"/>
    <col min="28" max="29" width="11.1640625" style="95" bestFit="1" customWidth="1"/>
    <col min="30" max="31" width="11" style="95"/>
    <col min="32" max="33" width="11.1640625" style="95" bestFit="1" customWidth="1"/>
    <col min="34" max="35" width="11.1640625" style="95" customWidth="1"/>
    <col min="36" max="16384" width="11" style="95"/>
  </cols>
  <sheetData>
    <row r="2" spans="1:54" ht="17" thickBot="1" x14ac:dyDescent="0.25"/>
    <row r="3" spans="1:54" ht="32.25" customHeight="1" thickTop="1" x14ac:dyDescent="0.2">
      <c r="A3" s="560" t="s">
        <v>472</v>
      </c>
      <c r="B3" s="561"/>
      <c r="C3" s="561"/>
      <c r="D3" s="561"/>
      <c r="E3" s="561"/>
      <c r="F3" s="561"/>
      <c r="G3" s="561"/>
      <c r="H3" s="561"/>
      <c r="I3" s="561"/>
      <c r="J3" s="561"/>
      <c r="K3" s="561"/>
      <c r="L3" s="561"/>
      <c r="M3" s="561"/>
      <c r="N3" s="561"/>
      <c r="O3" s="561"/>
      <c r="P3" s="562"/>
      <c r="S3" s="273"/>
      <c r="T3" s="274"/>
      <c r="U3" s="274"/>
      <c r="V3" s="274"/>
      <c r="W3" s="274"/>
      <c r="X3" s="274"/>
      <c r="Y3" s="274"/>
      <c r="Z3" s="275"/>
    </row>
    <row r="4" spans="1:54" ht="12" customHeight="1" x14ac:dyDescent="0.2">
      <c r="A4" s="96"/>
      <c r="B4" s="97"/>
      <c r="C4" s="97"/>
      <c r="D4" s="97"/>
      <c r="E4" s="97"/>
      <c r="F4" s="97"/>
      <c r="G4" s="97"/>
      <c r="P4" s="98"/>
      <c r="S4" s="99"/>
      <c r="Z4" s="98"/>
    </row>
    <row r="5" spans="1:54" x14ac:dyDescent="0.2">
      <c r="A5" s="99"/>
      <c r="B5" s="100" t="s">
        <v>473</v>
      </c>
      <c r="C5" s="100" t="s">
        <v>474</v>
      </c>
      <c r="D5" s="100" t="s">
        <v>475</v>
      </c>
      <c r="E5" s="100" t="s">
        <v>476</v>
      </c>
      <c r="F5" s="100" t="s">
        <v>477</v>
      </c>
      <c r="G5" s="100" t="s">
        <v>478</v>
      </c>
      <c r="H5" s="100" t="s">
        <v>479</v>
      </c>
      <c r="I5" s="100" t="s">
        <v>480</v>
      </c>
      <c r="J5" s="100" t="s">
        <v>481</v>
      </c>
      <c r="K5" s="100" t="s">
        <v>482</v>
      </c>
      <c r="L5" s="101" t="s">
        <v>483</v>
      </c>
      <c r="M5" s="100" t="s">
        <v>484</v>
      </c>
      <c r="N5" s="100" t="s">
        <v>485</v>
      </c>
      <c r="O5" s="101" t="s">
        <v>486</v>
      </c>
      <c r="P5" s="102" t="s">
        <v>487</v>
      </c>
      <c r="S5" s="99"/>
      <c r="Z5" s="98"/>
    </row>
    <row r="6" spans="1:54" ht="21" customHeight="1" thickBot="1" x14ac:dyDescent="0.25">
      <c r="A6" s="99"/>
      <c r="B6" s="563" t="s">
        <v>118</v>
      </c>
      <c r="C6" s="564"/>
      <c r="D6" s="564"/>
      <c r="E6" s="564"/>
      <c r="F6" s="564"/>
      <c r="G6" s="564"/>
      <c r="H6" s="563" t="s">
        <v>488</v>
      </c>
      <c r="I6" s="564"/>
      <c r="J6" s="564"/>
      <c r="K6" s="564"/>
      <c r="L6" s="564"/>
      <c r="M6" s="564"/>
      <c r="N6" s="564"/>
      <c r="O6" s="565" t="s">
        <v>489</v>
      </c>
      <c r="P6" s="568" t="s">
        <v>490</v>
      </c>
      <c r="S6" s="554" t="s">
        <v>491</v>
      </c>
      <c r="T6" s="555"/>
      <c r="U6" s="555"/>
      <c r="V6" s="555"/>
      <c r="W6" s="555"/>
      <c r="X6" s="555"/>
      <c r="Y6" s="555"/>
      <c r="Z6" s="556"/>
    </row>
    <row r="7" spans="1:54" ht="21" customHeight="1" x14ac:dyDescent="0.2">
      <c r="A7" s="99"/>
      <c r="B7" s="571" t="s">
        <v>492</v>
      </c>
      <c r="C7" s="572"/>
      <c r="D7" s="572"/>
      <c r="E7" s="572"/>
      <c r="F7" s="572"/>
      <c r="G7" s="572"/>
      <c r="H7" s="571" t="s">
        <v>492</v>
      </c>
      <c r="I7" s="572"/>
      <c r="J7" s="572"/>
      <c r="K7" s="572"/>
      <c r="L7" s="572"/>
      <c r="M7" s="572"/>
      <c r="N7" s="572"/>
      <c r="O7" s="566"/>
      <c r="P7" s="569"/>
      <c r="S7" s="582" t="s">
        <v>493</v>
      </c>
      <c r="T7" s="578"/>
      <c r="U7" s="578"/>
      <c r="V7" s="577" t="s">
        <v>494</v>
      </c>
      <c r="W7" s="578"/>
      <c r="X7" s="578"/>
      <c r="Y7" s="578"/>
      <c r="Z7" s="579"/>
    </row>
    <row r="8" spans="1:54" ht="85" customHeight="1" x14ac:dyDescent="0.2">
      <c r="A8" s="99"/>
      <c r="B8" s="573" t="s">
        <v>495</v>
      </c>
      <c r="C8" s="487" t="s">
        <v>59</v>
      </c>
      <c r="D8" s="488" t="s">
        <v>496</v>
      </c>
      <c r="E8" s="487" t="s">
        <v>61</v>
      </c>
      <c r="F8" s="488" t="s">
        <v>497</v>
      </c>
      <c r="G8" s="487" t="s">
        <v>62</v>
      </c>
      <c r="H8" s="573" t="s">
        <v>498</v>
      </c>
      <c r="I8" s="487" t="s">
        <v>59</v>
      </c>
      <c r="J8" s="488" t="s">
        <v>496</v>
      </c>
      <c r="K8" s="488" t="s">
        <v>61</v>
      </c>
      <c r="L8" s="488" t="s">
        <v>497</v>
      </c>
      <c r="M8" s="487" t="s">
        <v>62</v>
      </c>
      <c r="N8" s="421" t="s">
        <v>58</v>
      </c>
      <c r="O8" s="566"/>
      <c r="P8" s="569"/>
      <c r="S8" s="581" t="s">
        <v>499</v>
      </c>
      <c r="T8" s="580" t="s">
        <v>500</v>
      </c>
      <c r="U8" s="575" t="s">
        <v>501</v>
      </c>
      <c r="V8" s="583" t="s">
        <v>502</v>
      </c>
      <c r="W8" s="584" t="s">
        <v>499</v>
      </c>
      <c r="X8" s="575" t="s">
        <v>503</v>
      </c>
      <c r="Y8" s="575" t="s">
        <v>504</v>
      </c>
      <c r="Z8" s="576" t="s">
        <v>505</v>
      </c>
      <c r="AH8" s="179"/>
      <c r="AI8" s="179"/>
      <c r="AJ8" s="179"/>
      <c r="BA8" s="179"/>
      <c r="BB8" s="179"/>
    </row>
    <row r="9" spans="1:54" ht="33" customHeight="1" x14ac:dyDescent="0.2">
      <c r="A9" s="99"/>
      <c r="B9" s="574"/>
      <c r="C9" s="103"/>
      <c r="D9" s="103"/>
      <c r="E9" s="103"/>
      <c r="F9" s="103"/>
      <c r="G9" s="103"/>
      <c r="H9" s="574"/>
      <c r="I9" s="104"/>
      <c r="J9" s="105"/>
      <c r="K9" s="105"/>
      <c r="L9" s="105"/>
      <c r="M9" s="105"/>
      <c r="N9" s="104"/>
      <c r="O9" s="567"/>
      <c r="P9" s="570"/>
      <c r="S9" s="581"/>
      <c r="T9" s="580"/>
      <c r="U9" s="575"/>
      <c r="V9" s="583"/>
      <c r="W9" s="584"/>
      <c r="X9" s="575"/>
      <c r="Y9" s="575"/>
      <c r="Z9" s="576"/>
      <c r="AJ9" s="179"/>
      <c r="BA9" s="179"/>
      <c r="BB9" s="179"/>
    </row>
    <row r="10" spans="1:54" ht="14.25" hidden="1" customHeight="1" x14ac:dyDescent="0.2">
      <c r="A10" s="422">
        <v>1966</v>
      </c>
      <c r="B10" s="423">
        <v>3.3040656503871023E-2</v>
      </c>
      <c r="C10" s="424">
        <v>1.898637424880497E-3</v>
      </c>
      <c r="D10" s="424">
        <v>5.6880975747719519E-3</v>
      </c>
      <c r="E10" s="424">
        <v>1.2101307127591675E-2</v>
      </c>
      <c r="F10" s="424">
        <v>1.2953765629503422E-2</v>
      </c>
      <c r="G10" s="424">
        <v>3.9884874712347288E-4</v>
      </c>
      <c r="H10" s="423">
        <f t="shared" ref="H10:H25" si="0">I10+J10+K10+L10+M10+N10</f>
        <v>3.8162096190127621E-2</v>
      </c>
      <c r="I10" s="425">
        <f t="shared" ref="I10:I25" si="1">C10*$O10/($O10+$P10)</f>
        <v>1.8885814105061617E-3</v>
      </c>
      <c r="J10" s="425">
        <f t="shared" ref="J10:J25" si="2">D10*$O10/($O10+$P10)</f>
        <v>5.65797092171805E-3</v>
      </c>
      <c r="K10" s="425">
        <f t="shared" ref="K10:K25" si="3">E10*$O10/($O10+$P10)</f>
        <v>1.2037213311242844E-2</v>
      </c>
      <c r="L10" s="425">
        <f t="shared" ref="L10:L25" si="4">F10*$O10/($O10+$P10)</f>
        <v>1.2885156820014556E-2</v>
      </c>
      <c r="M10" s="425">
        <f t="shared" ref="M10:M25" si="5">G10*$O10/($O10+$P10)</f>
        <v>3.9673626967954401E-4</v>
      </c>
      <c r="N10" s="425">
        <f t="shared" ref="N10:N25" si="6">P10/(P10+O10)</f>
        <v>5.2964374569664631E-3</v>
      </c>
      <c r="O10" s="426">
        <v>9.4228154727834763</v>
      </c>
      <c r="P10" s="427">
        <v>5.0173091461079823E-2</v>
      </c>
      <c r="Q10" s="106">
        <f t="shared" ref="Q10:Q25" si="7">B10-C10-D10-E10-F10-G10</f>
        <v>3.3068166260807885E-18</v>
      </c>
      <c r="R10" s="106"/>
      <c r="S10" s="276"/>
      <c r="T10" s="106"/>
      <c r="U10" s="106"/>
      <c r="V10" s="287"/>
      <c r="W10" s="106"/>
      <c r="Y10" s="107"/>
      <c r="Z10" s="277"/>
      <c r="AA10" s="107"/>
    </row>
    <row r="11" spans="1:54" ht="14.25" hidden="1" customHeight="1" x14ac:dyDescent="0.2">
      <c r="A11" s="108">
        <v>1967</v>
      </c>
      <c r="B11" s="109">
        <v>3.619953501609862E-2</v>
      </c>
      <c r="C11" s="110">
        <v>2.5292380756968959E-3</v>
      </c>
      <c r="D11" s="110">
        <v>6.7474486434360419E-3</v>
      </c>
      <c r="E11" s="110">
        <v>1.2981742301347356E-2</v>
      </c>
      <c r="F11" s="110">
        <v>1.3311776880172913E-2</v>
      </c>
      <c r="G11" s="110">
        <v>6.2932911544540441E-4</v>
      </c>
      <c r="H11" s="109">
        <f t="shared" si="0"/>
        <v>4.1739457176158845E-2</v>
      </c>
      <c r="I11" s="111">
        <f t="shared" si="1"/>
        <v>2.5147000228813105E-3</v>
      </c>
      <c r="J11" s="111">
        <f t="shared" si="2"/>
        <v>6.7086643290247966E-3</v>
      </c>
      <c r="K11" s="111">
        <f t="shared" si="3"/>
        <v>1.2907123285830874E-2</v>
      </c>
      <c r="L11" s="111">
        <f t="shared" si="4"/>
        <v>1.3235260826894728E-2</v>
      </c>
      <c r="M11" s="111">
        <f t="shared" si="5"/>
        <v>6.2571173359169741E-4</v>
      </c>
      <c r="N11" s="111">
        <f t="shared" si="6"/>
        <v>5.7479969779354358E-3</v>
      </c>
      <c r="O11" s="112">
        <v>10.244990314210032</v>
      </c>
      <c r="P11" s="113">
        <v>5.9228619289741803E-2</v>
      </c>
      <c r="Q11" s="106">
        <f t="shared" si="7"/>
        <v>7.1557343384043293E-18</v>
      </c>
      <c r="R11" s="106"/>
      <c r="S11" s="276"/>
      <c r="T11" s="106"/>
      <c r="U11" s="106"/>
      <c r="V11" s="287"/>
      <c r="W11" s="106"/>
      <c r="Y11" s="107"/>
      <c r="Z11" s="277"/>
      <c r="AA11" s="107"/>
    </row>
    <row r="12" spans="1:54" ht="14.25" hidden="1" customHeight="1" x14ac:dyDescent="0.2">
      <c r="A12" s="108">
        <v>1968</v>
      </c>
      <c r="B12" s="109">
        <v>3.5579051424552213E-2</v>
      </c>
      <c r="C12" s="110">
        <v>1.6850844632500005E-3</v>
      </c>
      <c r="D12" s="110">
        <v>4.6494211014773898E-3</v>
      </c>
      <c r="E12" s="110">
        <v>1.4264690140101462E-2</v>
      </c>
      <c r="F12" s="110">
        <v>1.409833513667574E-2</v>
      </c>
      <c r="G12" s="110">
        <v>8.8152058304761865E-4</v>
      </c>
      <c r="H12" s="109">
        <f t="shared" si="0"/>
        <v>4.107391210916362E-2</v>
      </c>
      <c r="I12" s="111">
        <f t="shared" si="1"/>
        <v>1.6754835681418645E-3</v>
      </c>
      <c r="J12" s="111">
        <f t="shared" si="2"/>
        <v>4.6229306760522185E-3</v>
      </c>
      <c r="K12" s="111">
        <f t="shared" si="3"/>
        <v>1.418341599819819E-2</v>
      </c>
      <c r="L12" s="111">
        <f t="shared" si="4"/>
        <v>1.4018008814880859E-2</v>
      </c>
      <c r="M12" s="111">
        <f t="shared" si="5"/>
        <v>8.7649805341300326E-4</v>
      </c>
      <c r="N12" s="111">
        <f t="shared" si="6"/>
        <v>5.6975749984774782E-3</v>
      </c>
      <c r="O12" s="112">
        <v>11.682860923865118</v>
      </c>
      <c r="P12" s="113">
        <v>6.6945402763552014E-2</v>
      </c>
      <c r="Q12" s="106">
        <f t="shared" si="7"/>
        <v>5.6378512969246231E-18</v>
      </c>
      <c r="R12" s="106"/>
      <c r="S12" s="276"/>
      <c r="T12" s="106"/>
      <c r="U12" s="106"/>
      <c r="V12" s="287"/>
      <c r="W12" s="106"/>
      <c r="Y12" s="107"/>
      <c r="Z12" s="277"/>
      <c r="AA12" s="107"/>
    </row>
    <row r="13" spans="1:54" ht="14.25" hidden="1" customHeight="1" x14ac:dyDescent="0.2">
      <c r="A13" s="114">
        <v>1969</v>
      </c>
      <c r="B13" s="115">
        <v>3.7168831829668146E-2</v>
      </c>
      <c r="C13" s="116">
        <v>1.6841489799379963E-3</v>
      </c>
      <c r="D13" s="116">
        <v>4.621053804767951E-3</v>
      </c>
      <c r="E13" s="116">
        <v>1.5195924133777124E-2</v>
      </c>
      <c r="F13" s="116">
        <v>1.4552992943769738E-2</v>
      </c>
      <c r="G13" s="116">
        <v>1.1147119674153408E-3</v>
      </c>
      <c r="H13" s="115">
        <f t="shared" si="0"/>
        <v>4.288913133228664E-2</v>
      </c>
      <c r="I13" s="117">
        <f t="shared" si="1"/>
        <v>1.6741432417662855E-3</v>
      </c>
      <c r="J13" s="117">
        <f t="shared" si="2"/>
        <v>4.5935995504242542E-3</v>
      </c>
      <c r="K13" s="117">
        <f t="shared" si="3"/>
        <v>1.5105643261971263E-2</v>
      </c>
      <c r="L13" s="117">
        <f t="shared" si="4"/>
        <v>1.4466531805981635E-2</v>
      </c>
      <c r="M13" s="117">
        <f t="shared" si="5"/>
        <v>1.1080893252288751E-3</v>
      </c>
      <c r="N13" s="117">
        <f t="shared" si="6"/>
        <v>5.9411241469143287E-3</v>
      </c>
      <c r="O13" s="118">
        <v>13.434163832120014</v>
      </c>
      <c r="P13" s="119">
        <v>8.029105425784383E-2</v>
      </c>
      <c r="Q13" s="106">
        <f t="shared" si="7"/>
        <v>-2.8189256484623115E-18</v>
      </c>
      <c r="R13" s="106"/>
      <c r="S13" s="276"/>
      <c r="T13" s="106"/>
      <c r="U13" s="106"/>
      <c r="V13" s="287"/>
      <c r="W13" s="106"/>
      <c r="Y13" s="107"/>
      <c r="Z13" s="277"/>
      <c r="AA13" s="107"/>
    </row>
    <row r="14" spans="1:54" ht="14.25" hidden="1" customHeight="1" x14ac:dyDescent="0.2">
      <c r="A14" s="120">
        <v>1970</v>
      </c>
      <c r="B14" s="121">
        <v>4.7872629542884619E-2</v>
      </c>
      <c r="C14" s="122">
        <v>4.3901504668719549E-3</v>
      </c>
      <c r="D14" s="122">
        <v>1.1349787357197525E-2</v>
      </c>
      <c r="E14" s="122">
        <v>1.5940051003780015E-2</v>
      </c>
      <c r="F14" s="122">
        <v>1.4861916465841916E-2</v>
      </c>
      <c r="G14" s="122">
        <v>1.3307242491931988E-3</v>
      </c>
      <c r="H14" s="121">
        <f t="shared" si="0"/>
        <v>5.4978519381143988E-2</v>
      </c>
      <c r="I14" s="123">
        <f t="shared" si="1"/>
        <v>4.3573860211066811E-3</v>
      </c>
      <c r="J14" s="123">
        <f t="shared" si="2"/>
        <v>1.1265081947868525E-2</v>
      </c>
      <c r="K14" s="123">
        <f t="shared" si="3"/>
        <v>1.5821087669709789E-2</v>
      </c>
      <c r="L14" s="123">
        <f t="shared" si="4"/>
        <v>1.4750999434708797E-2</v>
      </c>
      <c r="M14" s="123">
        <f t="shared" si="5"/>
        <v>1.3207928259264489E-3</v>
      </c>
      <c r="N14" s="123">
        <f t="shared" si="6"/>
        <v>7.4631714818237495E-3</v>
      </c>
      <c r="O14" s="124">
        <v>14.508208982900875</v>
      </c>
      <c r="P14" s="125">
        <v>0.10909141950448248</v>
      </c>
      <c r="Q14" s="106">
        <f t="shared" si="7"/>
        <v>7.3725747729014302E-18</v>
      </c>
      <c r="R14" s="106"/>
      <c r="S14" s="276"/>
      <c r="T14" s="106"/>
      <c r="U14" s="106"/>
      <c r="V14" s="287"/>
      <c r="W14" s="106"/>
      <c r="Y14" s="107"/>
      <c r="Z14" s="277"/>
      <c r="AA14" s="107"/>
    </row>
    <row r="15" spans="1:54" ht="14.25" hidden="1" customHeight="1" x14ac:dyDescent="0.2">
      <c r="A15" s="108">
        <v>1971</v>
      </c>
      <c r="B15" s="109">
        <v>4.8041310617690333E-2</v>
      </c>
      <c r="C15" s="110">
        <v>3.7451690308618378E-3</v>
      </c>
      <c r="D15" s="110">
        <v>9.922438215876692E-3</v>
      </c>
      <c r="E15" s="110">
        <v>1.653669746679988E-2</v>
      </c>
      <c r="F15" s="110">
        <v>1.6886825283613769E-2</v>
      </c>
      <c r="G15" s="110">
        <v>9.5018062053815592E-4</v>
      </c>
      <c r="H15" s="109">
        <f t="shared" si="0"/>
        <v>5.5180847234238557E-2</v>
      </c>
      <c r="I15" s="111">
        <f t="shared" si="1"/>
        <v>3.7170808672374795E-3</v>
      </c>
      <c r="J15" s="111">
        <f t="shared" si="2"/>
        <v>9.8480215297769465E-3</v>
      </c>
      <c r="K15" s="111">
        <f t="shared" si="3"/>
        <v>1.6412674903218256E-2</v>
      </c>
      <c r="L15" s="111">
        <f t="shared" si="4"/>
        <v>1.6760176817882718E-2</v>
      </c>
      <c r="M15" s="111">
        <f t="shared" si="5"/>
        <v>9.4305441915113115E-4</v>
      </c>
      <c r="N15" s="111">
        <f t="shared" si="6"/>
        <v>7.4998386969720252E-3</v>
      </c>
      <c r="O15" s="112">
        <v>18.588267365410385</v>
      </c>
      <c r="P15" s="113">
        <v>0.14046245263450691</v>
      </c>
      <c r="Q15" s="106">
        <f t="shared" si="7"/>
        <v>-1.951563910473908E-18</v>
      </c>
      <c r="R15" s="106"/>
      <c r="S15" s="276"/>
      <c r="T15" s="106"/>
      <c r="U15" s="106"/>
      <c r="V15" s="287"/>
      <c r="W15" s="106"/>
      <c r="Y15" s="107"/>
      <c r="Z15" s="277"/>
      <c r="AA15" s="107"/>
    </row>
    <row r="16" spans="1:54" ht="14.25" hidden="1" customHeight="1" x14ac:dyDescent="0.2">
      <c r="A16" s="108">
        <v>1972</v>
      </c>
      <c r="B16" s="109">
        <v>4.5857490571448237E-2</v>
      </c>
      <c r="C16" s="110">
        <v>2.6950100809650245E-3</v>
      </c>
      <c r="D16" s="110">
        <v>7.1900952017752403E-3</v>
      </c>
      <c r="E16" s="110">
        <v>1.6112458814536285E-2</v>
      </c>
      <c r="F16" s="110">
        <v>1.6893105932405832E-2</v>
      </c>
      <c r="G16" s="110">
        <v>2.9668205417658572E-3</v>
      </c>
      <c r="H16" s="109">
        <f t="shared" si="0"/>
        <v>5.2671559842204521E-2</v>
      </c>
      <c r="I16" s="111">
        <f t="shared" si="1"/>
        <v>2.6757634954753156E-3</v>
      </c>
      <c r="J16" s="111">
        <f t="shared" si="2"/>
        <v>7.1387466806852699E-3</v>
      </c>
      <c r="K16" s="111">
        <f t="shared" si="3"/>
        <v>1.5997390667588075E-2</v>
      </c>
      <c r="L16" s="111">
        <f t="shared" si="4"/>
        <v>1.6772462744533846E-2</v>
      </c>
      <c r="M16" s="111">
        <f t="shared" si="5"/>
        <v>2.9456328046241565E-3</v>
      </c>
      <c r="N16" s="111">
        <f t="shared" si="6"/>
        <v>7.1415634492978559E-3</v>
      </c>
      <c r="O16" s="112">
        <v>22.297871023862761</v>
      </c>
      <c r="P16" s="113">
        <v>0.16038707517498552</v>
      </c>
      <c r="Q16" s="106">
        <f t="shared" si="7"/>
        <v>-4.3368086899420177E-18</v>
      </c>
      <c r="R16" s="106"/>
      <c r="S16" s="276"/>
      <c r="T16" s="106"/>
      <c r="U16" s="106"/>
      <c r="V16" s="287"/>
      <c r="W16" s="106"/>
      <c r="Y16" s="107"/>
      <c r="Z16" s="277"/>
      <c r="AA16" s="107"/>
    </row>
    <row r="17" spans="1:43" ht="14.25" hidden="1" customHeight="1" x14ac:dyDescent="0.2">
      <c r="A17" s="108">
        <v>1973</v>
      </c>
      <c r="B17" s="109">
        <v>5.8957352454350805E-2</v>
      </c>
      <c r="C17" s="110">
        <v>4.6483780878436203E-3</v>
      </c>
      <c r="D17" s="110">
        <v>1.2851813221375213E-2</v>
      </c>
      <c r="E17" s="110">
        <v>1.7490885750707012E-2</v>
      </c>
      <c r="F17" s="110">
        <v>1.9648997609632707E-2</v>
      </c>
      <c r="G17" s="110">
        <v>4.3172777847922585E-3</v>
      </c>
      <c r="H17" s="109">
        <f t="shared" si="0"/>
        <v>6.4529578625502265E-2</v>
      </c>
      <c r="I17" s="111">
        <f t="shared" si="1"/>
        <v>4.6208534967934235E-3</v>
      </c>
      <c r="J17" s="111">
        <f t="shared" si="2"/>
        <v>1.2775713365363723E-2</v>
      </c>
      <c r="K17" s="111">
        <f t="shared" si="3"/>
        <v>1.738731640494898E-2</v>
      </c>
      <c r="L17" s="111">
        <f t="shared" si="4"/>
        <v>1.9532649366539957E-2</v>
      </c>
      <c r="M17" s="111">
        <f t="shared" si="5"/>
        <v>4.2917137486422566E-3</v>
      </c>
      <c r="N17" s="111">
        <f t="shared" si="6"/>
        <v>5.9213322432139235E-3</v>
      </c>
      <c r="O17" s="112">
        <v>33.961296166346642</v>
      </c>
      <c r="P17" s="113">
        <v>0.20229396780529896</v>
      </c>
      <c r="Q17" s="106">
        <f t="shared" si="7"/>
        <v>-8.6736173798840355E-18</v>
      </c>
      <c r="R17" s="106"/>
      <c r="S17" s="276"/>
      <c r="T17" s="106"/>
      <c r="U17" s="106"/>
      <c r="V17" s="287"/>
      <c r="W17" s="106"/>
      <c r="Y17" s="107"/>
      <c r="Z17" s="277"/>
      <c r="AA17" s="107"/>
    </row>
    <row r="18" spans="1:43" ht="14.25" hidden="1" customHeight="1" x14ac:dyDescent="0.2">
      <c r="A18" s="108">
        <v>1974</v>
      </c>
      <c r="B18" s="109">
        <v>5.1899076728985312E-2</v>
      </c>
      <c r="C18" s="110">
        <v>4.6263527159735481E-3</v>
      </c>
      <c r="D18" s="110">
        <v>1.2432364287132833E-2</v>
      </c>
      <c r="E18" s="110">
        <v>1.2665265863785531E-2</v>
      </c>
      <c r="F18" s="110">
        <v>1.8402147726217209E-2</v>
      </c>
      <c r="G18" s="110">
        <v>3.7729461358762006E-3</v>
      </c>
      <c r="H18" s="109">
        <f t="shared" si="0"/>
        <v>5.603566398457889E-2</v>
      </c>
      <c r="I18" s="111">
        <f t="shared" si="1"/>
        <v>4.6061678271974126E-3</v>
      </c>
      <c r="J18" s="111">
        <f t="shared" si="2"/>
        <v>1.2378121581103583E-2</v>
      </c>
      <c r="K18" s="111">
        <f t="shared" si="3"/>
        <v>1.2610007002545224E-2</v>
      </c>
      <c r="L18" s="111">
        <f t="shared" si="4"/>
        <v>1.8321858710679505E-2</v>
      </c>
      <c r="M18" s="111">
        <f t="shared" si="5"/>
        <v>3.756484680646455E-3</v>
      </c>
      <c r="N18" s="111">
        <f t="shared" si="6"/>
        <v>4.3630241824067122E-3</v>
      </c>
      <c r="O18" s="112">
        <v>61.350978805566598</v>
      </c>
      <c r="P18" s="113">
        <v>0.26884879794987498</v>
      </c>
      <c r="Q18" s="106">
        <f t="shared" si="7"/>
        <v>-1.2576745200831851E-17</v>
      </c>
      <c r="R18" s="106"/>
      <c r="S18" s="276"/>
      <c r="T18" s="106"/>
      <c r="U18" s="106"/>
      <c r="V18" s="287"/>
      <c r="W18" s="106"/>
      <c r="Y18" s="107"/>
      <c r="Z18" s="277"/>
      <c r="AA18" s="107"/>
    </row>
    <row r="19" spans="1:43" ht="14.25" hidden="1" customHeight="1" x14ac:dyDescent="0.2">
      <c r="A19" s="108">
        <v>1975</v>
      </c>
      <c r="B19" s="109">
        <v>5.1837146481650331E-2</v>
      </c>
      <c r="C19" s="110">
        <v>3.4229565668976404E-3</v>
      </c>
      <c r="D19" s="110">
        <v>9.1923484662654077E-3</v>
      </c>
      <c r="E19" s="110">
        <v>1.0897782275265404E-2</v>
      </c>
      <c r="F19" s="110">
        <v>2.4151502504292623E-2</v>
      </c>
      <c r="G19" s="110">
        <v>4.1725566689292557E-3</v>
      </c>
      <c r="H19" s="109">
        <f t="shared" si="0"/>
        <v>5.7027266029947607E-2</v>
      </c>
      <c r="I19" s="111">
        <f t="shared" si="1"/>
        <v>3.4042197499838524E-3</v>
      </c>
      <c r="J19" s="111">
        <f t="shared" si="2"/>
        <v>9.142030752074759E-3</v>
      </c>
      <c r="K19" s="111">
        <f t="shared" si="3"/>
        <v>1.0838129239281066E-2</v>
      </c>
      <c r="L19" s="111">
        <f t="shared" si="4"/>
        <v>2.4019300335853786E-2</v>
      </c>
      <c r="M19" s="111">
        <f t="shared" si="5"/>
        <v>4.1497166390193846E-3</v>
      </c>
      <c r="N19" s="111">
        <f t="shared" si="6"/>
        <v>5.4738693137347614E-3</v>
      </c>
      <c r="O19" s="112">
        <v>58.650392421020527</v>
      </c>
      <c r="P19" s="113">
        <v>0.32281161188835905</v>
      </c>
      <c r="Q19" s="106">
        <f t="shared" si="7"/>
        <v>0</v>
      </c>
      <c r="R19" s="106"/>
      <c r="S19" s="276"/>
      <c r="T19" s="106"/>
      <c r="U19" s="106"/>
      <c r="V19" s="287"/>
      <c r="W19" s="106"/>
      <c r="Y19" s="107"/>
      <c r="Z19" s="277"/>
      <c r="AA19" s="107"/>
    </row>
    <row r="20" spans="1:43" ht="14.25" hidden="1" customHeight="1" x14ac:dyDescent="0.2">
      <c r="A20" s="108">
        <v>1976</v>
      </c>
      <c r="B20" s="109">
        <v>4.4775937912194405E-2</v>
      </c>
      <c r="C20" s="110">
        <v>3.1938090775673078E-3</v>
      </c>
      <c r="D20" s="110">
        <v>8.6560177785785647E-3</v>
      </c>
      <c r="E20" s="110">
        <v>8.5150864965612364E-3</v>
      </c>
      <c r="F20" s="110">
        <v>2.1721506611042881E-2</v>
      </c>
      <c r="G20" s="110">
        <v>2.6895179484444183E-3</v>
      </c>
      <c r="H20" s="109">
        <f t="shared" si="0"/>
        <v>5.0436454927728996E-2</v>
      </c>
      <c r="I20" s="111">
        <f t="shared" si="1"/>
        <v>3.1748830356620977E-3</v>
      </c>
      <c r="J20" s="111">
        <f t="shared" si="2"/>
        <v>8.6047234929056068E-3</v>
      </c>
      <c r="K20" s="111">
        <f t="shared" si="3"/>
        <v>8.4646273488957289E-3</v>
      </c>
      <c r="L20" s="111">
        <f t="shared" si="4"/>
        <v>2.1592788164078596E-2</v>
      </c>
      <c r="M20" s="111">
        <f t="shared" si="5"/>
        <v>2.6735802614503527E-3</v>
      </c>
      <c r="N20" s="111">
        <f t="shared" si="6"/>
        <v>5.9258526247366059E-3</v>
      </c>
      <c r="O20" s="112">
        <v>76.24868802241302</v>
      </c>
      <c r="P20" s="113">
        <v>0.45453197756260488</v>
      </c>
      <c r="Q20" s="106">
        <f t="shared" si="7"/>
        <v>0</v>
      </c>
      <c r="R20" s="106"/>
      <c r="S20" s="276"/>
      <c r="T20" s="106"/>
      <c r="U20" s="106"/>
      <c r="V20" s="287"/>
      <c r="W20" s="106"/>
      <c r="Y20" s="107"/>
      <c r="Z20" s="277"/>
      <c r="AA20" s="107"/>
    </row>
    <row r="21" spans="1:43" ht="14.25" hidden="1" customHeight="1" x14ac:dyDescent="0.2">
      <c r="A21" s="108">
        <v>1977</v>
      </c>
      <c r="B21" s="109">
        <v>5.6318961250691434E-2</v>
      </c>
      <c r="C21" s="110">
        <v>4.3814958222946811E-3</v>
      </c>
      <c r="D21" s="110">
        <v>1.4294448164429823E-2</v>
      </c>
      <c r="E21" s="110">
        <v>1.0946461323473754E-2</v>
      </c>
      <c r="F21" s="110">
        <v>2.4061835861306006E-2</v>
      </c>
      <c r="G21" s="110">
        <v>2.6347200791871669E-3</v>
      </c>
      <c r="H21" s="109">
        <f t="shared" si="0"/>
        <v>6.3992654966454648E-2</v>
      </c>
      <c r="I21" s="111">
        <f t="shared" si="1"/>
        <v>4.3458669863039251E-3</v>
      </c>
      <c r="J21" s="111">
        <f t="shared" si="2"/>
        <v>1.4178210566612804E-2</v>
      </c>
      <c r="K21" s="111">
        <f t="shared" si="3"/>
        <v>1.0857448417609805E-2</v>
      </c>
      <c r="L21" s="111">
        <f t="shared" si="4"/>
        <v>2.3866173183921553E-2</v>
      </c>
      <c r="M21" s="111">
        <f t="shared" si="5"/>
        <v>2.61329543030236E-3</v>
      </c>
      <c r="N21" s="111">
        <f t="shared" si="6"/>
        <v>8.1316603817042001E-3</v>
      </c>
      <c r="O21" s="112">
        <v>68.697999999999993</v>
      </c>
      <c r="P21" s="113">
        <v>0.56320862617441159</v>
      </c>
      <c r="Q21" s="106">
        <f t="shared" si="7"/>
        <v>0</v>
      </c>
      <c r="R21" s="106"/>
      <c r="S21" s="276"/>
      <c r="T21" s="106"/>
      <c r="U21" s="106"/>
      <c r="V21" s="287"/>
      <c r="W21" s="106"/>
      <c r="Y21" s="107"/>
      <c r="Z21" s="277"/>
      <c r="AA21" s="107"/>
    </row>
    <row r="22" spans="1:43" ht="14.25" hidden="1" customHeight="1" x14ac:dyDescent="0.2">
      <c r="A22" s="108">
        <v>1978</v>
      </c>
      <c r="B22" s="109">
        <v>7.704350223904588E-2</v>
      </c>
      <c r="C22" s="110">
        <v>6.4426001697639804E-3</v>
      </c>
      <c r="D22" s="110">
        <v>1.6811347270981686E-2</v>
      </c>
      <c r="E22" s="110">
        <v>1.4818415092544749E-2</v>
      </c>
      <c r="F22" s="110">
        <v>3.465001432876999E-2</v>
      </c>
      <c r="G22" s="110">
        <v>4.3211253769854605E-3</v>
      </c>
      <c r="H22" s="109">
        <f t="shared" si="0"/>
        <v>8.6702869480800304E-2</v>
      </c>
      <c r="I22" s="111">
        <f t="shared" si="1"/>
        <v>6.375173978841105E-3</v>
      </c>
      <c r="J22" s="111">
        <f t="shared" si="2"/>
        <v>1.6635405092219179E-2</v>
      </c>
      <c r="K22" s="111">
        <f t="shared" si="3"/>
        <v>1.4663330303969244E-2</v>
      </c>
      <c r="L22" s="111">
        <f t="shared" si="4"/>
        <v>3.4287378371229638E-2</v>
      </c>
      <c r="M22" s="111">
        <f t="shared" si="5"/>
        <v>4.2759018621012545E-3</v>
      </c>
      <c r="N22" s="111">
        <f t="shared" si="6"/>
        <v>1.0465679872439883E-2</v>
      </c>
      <c r="O22" s="112">
        <v>72.894579840390378</v>
      </c>
      <c r="P22" s="113">
        <v>0.77095995715155363</v>
      </c>
      <c r="Q22" s="106">
        <f t="shared" si="7"/>
        <v>1.9081958235744878E-17</v>
      </c>
      <c r="R22" s="106"/>
      <c r="S22" s="276"/>
      <c r="T22" s="106"/>
      <c r="U22" s="106"/>
      <c r="V22" s="287"/>
      <c r="W22" s="106"/>
      <c r="Y22" s="107"/>
      <c r="Z22" s="277"/>
      <c r="AA22" s="107"/>
    </row>
    <row r="23" spans="1:43" ht="14.25" hidden="1" customHeight="1" x14ac:dyDescent="0.2">
      <c r="A23" s="114">
        <v>1979</v>
      </c>
      <c r="B23" s="115">
        <v>8.9828881510760308E-2</v>
      </c>
      <c r="C23" s="116">
        <v>7.9652436048524271E-3</v>
      </c>
      <c r="D23" s="116">
        <v>1.7127800372071462E-2</v>
      </c>
      <c r="E23" s="116">
        <v>1.7235076533865308E-2</v>
      </c>
      <c r="F23" s="116">
        <v>4.1743830080940743E-2</v>
      </c>
      <c r="G23" s="116">
        <v>5.7569309190303574E-3</v>
      </c>
      <c r="H23" s="115">
        <f t="shared" si="0"/>
        <v>9.9144918476467142E-2</v>
      </c>
      <c r="I23" s="117">
        <f t="shared" si="1"/>
        <v>7.8837155247405977E-3</v>
      </c>
      <c r="J23" s="117">
        <f t="shared" si="2"/>
        <v>1.6952489138649426E-2</v>
      </c>
      <c r="K23" s="117">
        <f t="shared" si="3"/>
        <v>1.7058667277589645E-2</v>
      </c>
      <c r="L23" s="117">
        <f t="shared" si="4"/>
        <v>4.1316562003296475E-2</v>
      </c>
      <c r="M23" s="117">
        <f t="shared" si="5"/>
        <v>5.6980059760594918E-3</v>
      </c>
      <c r="N23" s="117">
        <f t="shared" si="6"/>
        <v>1.0235478556131501E-2</v>
      </c>
      <c r="O23" s="118">
        <v>103.27088121791286</v>
      </c>
      <c r="P23" s="119">
        <v>1.0679579508838724</v>
      </c>
      <c r="Q23" s="106">
        <f t="shared" si="7"/>
        <v>0</v>
      </c>
      <c r="R23" s="106"/>
      <c r="S23" s="276"/>
      <c r="T23" s="106"/>
      <c r="U23" s="106"/>
      <c r="V23" s="287"/>
      <c r="W23" s="106"/>
      <c r="Y23" s="107"/>
      <c r="Z23" s="277"/>
      <c r="AA23" s="107"/>
    </row>
    <row r="24" spans="1:43" ht="14.25" hidden="1" customHeight="1" x14ac:dyDescent="0.2">
      <c r="A24" s="120">
        <v>1980</v>
      </c>
      <c r="B24" s="121">
        <v>0.12869384307141513</v>
      </c>
      <c r="C24" s="122">
        <v>1.2832093259819792E-2</v>
      </c>
      <c r="D24" s="122">
        <v>2.3212331447731601E-2</v>
      </c>
      <c r="E24" s="122">
        <v>2.6499874249388159E-2</v>
      </c>
      <c r="F24" s="122">
        <v>5.6341816843682321E-2</v>
      </c>
      <c r="G24" s="122">
        <v>9.807727270793232E-3</v>
      </c>
      <c r="H24" s="121">
        <f t="shared" si="0"/>
        <v>0.14261397817274102</v>
      </c>
      <c r="I24" s="123">
        <f t="shared" si="1"/>
        <v>1.2627085559152132E-2</v>
      </c>
      <c r="J24" s="123">
        <f t="shared" si="2"/>
        <v>2.2841487299323199E-2</v>
      </c>
      <c r="K24" s="123">
        <f t="shared" si="3"/>
        <v>2.6076507758991761E-2</v>
      </c>
      <c r="L24" s="123">
        <f t="shared" si="4"/>
        <v>5.5441690411564729E-2</v>
      </c>
      <c r="M24" s="123">
        <f t="shared" si="5"/>
        <v>9.6510373546704539E-3</v>
      </c>
      <c r="N24" s="123">
        <f t="shared" si="6"/>
        <v>1.5976169789038749E-2</v>
      </c>
      <c r="O24" s="124">
        <v>71.178701530015758</v>
      </c>
      <c r="P24" s="125">
        <v>1.1556254900483982</v>
      </c>
      <c r="Q24" s="106">
        <f t="shared" si="7"/>
        <v>1.9081958235744878E-17</v>
      </c>
      <c r="R24" s="106"/>
      <c r="S24" s="276"/>
      <c r="T24" s="106"/>
      <c r="U24" s="106"/>
      <c r="V24" s="287"/>
      <c r="W24" s="106"/>
      <c r="Y24" s="107"/>
      <c r="Z24" s="277"/>
      <c r="AA24" s="107"/>
      <c r="AC24" s="126"/>
      <c r="AG24" s="126"/>
      <c r="AH24" s="126"/>
      <c r="AI24" s="126"/>
    </row>
    <row r="25" spans="1:43" ht="14.25" hidden="1" customHeight="1" x14ac:dyDescent="0.2">
      <c r="A25" s="108">
        <v>1981</v>
      </c>
      <c r="B25" s="109">
        <v>0.12598685967527637</v>
      </c>
      <c r="C25" s="110">
        <v>1.4050324119263172E-2</v>
      </c>
      <c r="D25" s="110">
        <v>2.1697768347914512E-2</v>
      </c>
      <c r="E25" s="110">
        <v>2.7974266188269023E-2</v>
      </c>
      <c r="F25" s="110">
        <v>5.1037502756982385E-2</v>
      </c>
      <c r="G25" s="110">
        <v>1.1226998262847265E-2</v>
      </c>
      <c r="H25" s="109">
        <f t="shared" si="0"/>
        <v>0.14098173703656844</v>
      </c>
      <c r="I25" s="111">
        <f t="shared" si="1"/>
        <v>1.380927180856624E-2</v>
      </c>
      <c r="J25" s="111">
        <f t="shared" si="2"/>
        <v>2.1325513789739535E-2</v>
      </c>
      <c r="K25" s="111">
        <f t="shared" si="3"/>
        <v>2.7494329821855366E-2</v>
      </c>
      <c r="L25" s="111">
        <f t="shared" si="4"/>
        <v>5.0161885378526005E-2</v>
      </c>
      <c r="M25" s="111">
        <f t="shared" si="5"/>
        <v>1.1034383925236403E-2</v>
      </c>
      <c r="N25" s="111">
        <f t="shared" si="6"/>
        <v>1.7156352312644906E-2</v>
      </c>
      <c r="O25" s="112">
        <v>63.904518863416868</v>
      </c>
      <c r="P25" s="113">
        <v>1.1155064618575015</v>
      </c>
      <c r="Q25" s="106">
        <f t="shared" si="7"/>
        <v>1.5612511283791264E-17</v>
      </c>
      <c r="R25" s="106"/>
      <c r="S25" s="276"/>
      <c r="T25" s="106"/>
      <c r="U25" s="106"/>
      <c r="V25" s="287"/>
      <c r="W25" s="106"/>
      <c r="Y25" s="107"/>
      <c r="Z25" s="277"/>
      <c r="AA25" s="107"/>
      <c r="AC25" s="126"/>
      <c r="AG25" s="126"/>
      <c r="AH25" s="126"/>
      <c r="AI25" s="126"/>
    </row>
    <row r="26" spans="1:43" ht="14.25" customHeight="1" x14ac:dyDescent="0.2">
      <c r="A26" s="108"/>
      <c r="B26" s="109"/>
      <c r="C26" s="110"/>
      <c r="D26" s="110"/>
      <c r="E26" s="110"/>
      <c r="F26" s="110"/>
      <c r="G26" s="110"/>
      <c r="H26" s="109"/>
      <c r="I26" s="111"/>
      <c r="J26" s="111"/>
      <c r="K26" s="111"/>
      <c r="L26" s="111"/>
      <c r="M26" s="111"/>
      <c r="N26" s="111"/>
      <c r="O26" s="112"/>
      <c r="P26" s="113"/>
      <c r="Q26" s="106"/>
      <c r="R26" s="106"/>
      <c r="S26" s="276"/>
      <c r="T26" s="106"/>
      <c r="U26" s="106"/>
      <c r="V26" s="287"/>
      <c r="W26" s="106"/>
      <c r="Y26" s="107"/>
      <c r="Z26" s="277"/>
      <c r="AA26" s="107"/>
      <c r="AC26" s="126"/>
      <c r="AG26" s="126"/>
      <c r="AH26" s="126"/>
      <c r="AI26" s="126"/>
    </row>
    <row r="27" spans="1:43" ht="14.25" customHeight="1" x14ac:dyDescent="0.2">
      <c r="A27" s="108">
        <v>1965</v>
      </c>
      <c r="B27" s="109"/>
      <c r="C27" s="110"/>
      <c r="D27" s="110"/>
      <c r="E27" s="110"/>
      <c r="F27" s="110"/>
      <c r="G27" s="110"/>
      <c r="H27" s="109"/>
      <c r="I27" s="111"/>
      <c r="J27" s="111"/>
      <c r="K27" s="111"/>
      <c r="L27" s="111"/>
      <c r="M27" s="111"/>
      <c r="N27" s="111"/>
      <c r="O27" s="112"/>
      <c r="P27" s="113"/>
      <c r="Q27" s="106"/>
      <c r="R27" s="106"/>
      <c r="S27" s="276"/>
      <c r="T27" s="106"/>
      <c r="U27" s="106"/>
      <c r="V27" s="287"/>
      <c r="W27" s="106"/>
      <c r="Y27" s="107"/>
      <c r="Z27" s="277"/>
      <c r="AA27" s="107"/>
      <c r="AC27" s="126"/>
      <c r="AG27" s="126"/>
      <c r="AH27" s="126"/>
      <c r="AI27" s="126"/>
    </row>
    <row r="28" spans="1:43" ht="14.25" customHeight="1" x14ac:dyDescent="0.2">
      <c r="A28" s="108">
        <v>1966</v>
      </c>
      <c r="B28" s="109">
        <v>3.3040656503871023E-2</v>
      </c>
      <c r="C28" s="110">
        <v>1.898637424880497E-3</v>
      </c>
      <c r="D28" s="110">
        <v>5.6880975747719519E-3</v>
      </c>
      <c r="E28" s="110">
        <v>1.2101307127591675E-2</v>
      </c>
      <c r="F28" s="110">
        <v>1.2953765629503422E-2</v>
      </c>
      <c r="G28" s="110">
        <v>3.9884874712347288E-4</v>
      </c>
      <c r="H28" s="109">
        <v>3.8162096190127621E-2</v>
      </c>
      <c r="I28" s="111">
        <v>1.8885814105061617E-3</v>
      </c>
      <c r="J28" s="111">
        <v>5.65797092171805E-3</v>
      </c>
      <c r="K28" s="111">
        <v>1.2037213311242844E-2</v>
      </c>
      <c r="L28" s="111">
        <v>1.2885156820014556E-2</v>
      </c>
      <c r="M28" s="111">
        <v>3.9673626967954401E-4</v>
      </c>
      <c r="N28" s="111">
        <v>5.2964374569664631E-3</v>
      </c>
      <c r="O28" s="112">
        <v>9.4228154727834763</v>
      </c>
      <c r="P28" s="113">
        <v>5.0173091461079823E-2</v>
      </c>
      <c r="Q28" s="106">
        <f t="shared" ref="Q28:Q43" si="8">B28-C28-D28-E28-F28-G28</f>
        <v>3.3068166260807885E-18</v>
      </c>
      <c r="R28" s="196"/>
      <c r="S28" s="278"/>
      <c r="T28" s="67"/>
      <c r="U28" s="67"/>
      <c r="V28" s="287"/>
      <c r="W28" s="106"/>
      <c r="Y28" s="107"/>
      <c r="Z28" s="277"/>
      <c r="AA28" s="107"/>
      <c r="AC28" s="126"/>
      <c r="AG28" s="126"/>
      <c r="AI28" s="126"/>
    </row>
    <row r="29" spans="1:43" ht="14.25" customHeight="1" x14ac:dyDescent="0.2">
      <c r="A29" s="108">
        <v>1967</v>
      </c>
      <c r="B29" s="109">
        <v>3.619953501609862E-2</v>
      </c>
      <c r="C29" s="110">
        <v>2.5292380756968959E-3</v>
      </c>
      <c r="D29" s="110">
        <v>6.7474486434360419E-3</v>
      </c>
      <c r="E29" s="110">
        <v>1.2981742301347356E-2</v>
      </c>
      <c r="F29" s="110">
        <v>1.3311776880172913E-2</v>
      </c>
      <c r="G29" s="110">
        <v>6.2932911544540441E-4</v>
      </c>
      <c r="H29" s="109">
        <v>4.1739457176158845E-2</v>
      </c>
      <c r="I29" s="111">
        <v>2.5147000228813105E-3</v>
      </c>
      <c r="J29" s="111">
        <v>6.7086643290247966E-3</v>
      </c>
      <c r="K29" s="111">
        <v>1.2907123285830874E-2</v>
      </c>
      <c r="L29" s="111">
        <v>1.3235260826894728E-2</v>
      </c>
      <c r="M29" s="111">
        <v>6.2571173359169741E-4</v>
      </c>
      <c r="N29" s="111">
        <v>5.7479969779354358E-3</v>
      </c>
      <c r="O29" s="112">
        <v>10.244990314210032</v>
      </c>
      <c r="P29" s="113">
        <v>5.9228619289741803E-2</v>
      </c>
      <c r="Q29" s="106">
        <f t="shared" si="8"/>
        <v>7.1557343384043293E-18</v>
      </c>
      <c r="R29" s="196"/>
      <c r="S29" s="278"/>
      <c r="T29" s="67"/>
      <c r="U29" s="67"/>
      <c r="V29" s="287"/>
      <c r="W29" s="106"/>
      <c r="Y29" s="107"/>
      <c r="Z29" s="277"/>
      <c r="AA29" s="107"/>
      <c r="AC29" s="126"/>
      <c r="AG29" s="126"/>
      <c r="AI29" s="126"/>
    </row>
    <row r="30" spans="1:43" ht="14.25" customHeight="1" x14ac:dyDescent="0.2">
      <c r="A30" s="108">
        <v>1968</v>
      </c>
      <c r="B30" s="109">
        <v>3.5579051424552213E-2</v>
      </c>
      <c r="C30" s="110">
        <v>1.6850844632500005E-3</v>
      </c>
      <c r="D30" s="110">
        <v>4.6494211014773898E-3</v>
      </c>
      <c r="E30" s="110">
        <v>1.4264690140101462E-2</v>
      </c>
      <c r="F30" s="110">
        <v>1.409833513667574E-2</v>
      </c>
      <c r="G30" s="110">
        <v>8.8152058304761865E-4</v>
      </c>
      <c r="H30" s="109">
        <v>4.107391210916362E-2</v>
      </c>
      <c r="I30" s="111">
        <v>1.6754835681418645E-3</v>
      </c>
      <c r="J30" s="111">
        <v>4.6229306760522185E-3</v>
      </c>
      <c r="K30" s="111">
        <v>1.418341599819819E-2</v>
      </c>
      <c r="L30" s="111">
        <v>1.4018008814880859E-2</v>
      </c>
      <c r="M30" s="111">
        <v>8.7649805341300326E-4</v>
      </c>
      <c r="N30" s="111">
        <v>5.6975749984774782E-3</v>
      </c>
      <c r="O30" s="112">
        <v>11.682860923865118</v>
      </c>
      <c r="P30" s="113">
        <v>6.6945402763552014E-2</v>
      </c>
      <c r="Q30" s="106">
        <f t="shared" si="8"/>
        <v>5.6378512969246231E-18</v>
      </c>
      <c r="R30" s="196"/>
      <c r="S30" s="278"/>
      <c r="T30" s="67"/>
      <c r="U30" s="67"/>
      <c r="V30" s="287"/>
      <c r="W30" s="106"/>
      <c r="Y30" s="107"/>
      <c r="Z30" s="277"/>
      <c r="AA30" s="107"/>
      <c r="AC30" s="126"/>
      <c r="AG30" s="126"/>
      <c r="AI30" s="126"/>
    </row>
    <row r="31" spans="1:43" ht="14.25" customHeight="1" x14ac:dyDescent="0.2">
      <c r="A31" s="108">
        <v>1969</v>
      </c>
      <c r="B31" s="109">
        <v>3.7168831829668146E-2</v>
      </c>
      <c r="C31" s="110">
        <v>1.6841489799379963E-3</v>
      </c>
      <c r="D31" s="110">
        <v>4.621053804767951E-3</v>
      </c>
      <c r="E31" s="110">
        <v>1.5195924133777124E-2</v>
      </c>
      <c r="F31" s="110">
        <v>1.4552992943769738E-2</v>
      </c>
      <c r="G31" s="110">
        <v>1.1147119674153408E-3</v>
      </c>
      <c r="H31" s="109">
        <v>4.288913133228664E-2</v>
      </c>
      <c r="I31" s="111">
        <v>1.6741432417662855E-3</v>
      </c>
      <c r="J31" s="111">
        <v>4.5935995504242542E-3</v>
      </c>
      <c r="K31" s="111">
        <v>1.5105643261971263E-2</v>
      </c>
      <c r="L31" s="111">
        <v>1.4466531805981635E-2</v>
      </c>
      <c r="M31" s="111">
        <v>1.1080893252288751E-3</v>
      </c>
      <c r="N31" s="111">
        <v>5.9411241469143287E-3</v>
      </c>
      <c r="O31" s="112">
        <v>13.434163832120014</v>
      </c>
      <c r="P31" s="113">
        <v>8.029105425784383E-2</v>
      </c>
      <c r="Q31" s="106">
        <f t="shared" si="8"/>
        <v>-2.8189256484623115E-18</v>
      </c>
      <c r="R31" s="196"/>
      <c r="S31" s="278"/>
      <c r="T31" s="67"/>
      <c r="U31" s="67"/>
      <c r="V31" s="287"/>
      <c r="W31" s="106"/>
      <c r="Y31" s="107"/>
      <c r="Z31" s="277"/>
      <c r="AA31" s="107"/>
      <c r="AC31" s="126"/>
      <c r="AG31" s="126"/>
      <c r="AI31" s="126"/>
    </row>
    <row r="32" spans="1:43" ht="14.25" customHeight="1" x14ac:dyDescent="0.2">
      <c r="A32" s="108">
        <v>1970</v>
      </c>
      <c r="B32" s="109">
        <v>4.7872629542884619E-2</v>
      </c>
      <c r="C32" s="110">
        <v>4.3901504668719549E-3</v>
      </c>
      <c r="D32" s="110">
        <v>1.1349787357197525E-2</v>
      </c>
      <c r="E32" s="110">
        <v>1.5940051003780015E-2</v>
      </c>
      <c r="F32" s="110">
        <v>1.4861916465841916E-2</v>
      </c>
      <c r="G32" s="110">
        <v>1.3307242491931988E-3</v>
      </c>
      <c r="H32" s="109">
        <v>5.4978519381143988E-2</v>
      </c>
      <c r="I32" s="111">
        <v>4.3573860211066811E-3</v>
      </c>
      <c r="J32" s="111">
        <v>1.1265081947868525E-2</v>
      </c>
      <c r="K32" s="111">
        <v>1.5821087669709789E-2</v>
      </c>
      <c r="L32" s="111">
        <v>1.4750999434708797E-2</v>
      </c>
      <c r="M32" s="111">
        <v>1.3207928259264489E-3</v>
      </c>
      <c r="N32" s="111">
        <v>7.4631714818237495E-3</v>
      </c>
      <c r="O32" s="112">
        <v>14.508208982900875</v>
      </c>
      <c r="P32" s="113">
        <v>0.10909141950448248</v>
      </c>
      <c r="Q32" s="106">
        <f t="shared" si="8"/>
        <v>7.3725747729014302E-18</v>
      </c>
      <c r="R32" s="196"/>
      <c r="S32" s="278"/>
      <c r="T32" s="67"/>
      <c r="U32" s="67"/>
      <c r="V32" s="287"/>
      <c r="W32" s="106"/>
      <c r="Y32" s="107"/>
      <c r="Z32" s="277"/>
      <c r="AA32" s="107"/>
      <c r="AC32" s="126"/>
      <c r="AG32" s="126"/>
      <c r="AI32" s="126"/>
      <c r="AN32" s="126"/>
      <c r="AQ32" s="139"/>
    </row>
    <row r="33" spans="1:43" ht="14.25" customHeight="1" x14ac:dyDescent="0.2">
      <c r="A33" s="108">
        <v>1971</v>
      </c>
      <c r="B33" s="109">
        <v>4.8041310617690333E-2</v>
      </c>
      <c r="C33" s="110">
        <v>3.7451690308618378E-3</v>
      </c>
      <c r="D33" s="110">
        <v>9.922438215876692E-3</v>
      </c>
      <c r="E33" s="110">
        <v>1.653669746679988E-2</v>
      </c>
      <c r="F33" s="110">
        <v>1.6886825283613769E-2</v>
      </c>
      <c r="G33" s="110">
        <v>9.5018062053815592E-4</v>
      </c>
      <c r="H33" s="109">
        <v>5.5180847234238557E-2</v>
      </c>
      <c r="I33" s="111">
        <v>3.7170808672374795E-3</v>
      </c>
      <c r="J33" s="111">
        <v>9.8480215297769465E-3</v>
      </c>
      <c r="K33" s="111">
        <v>1.6412674903218256E-2</v>
      </c>
      <c r="L33" s="111">
        <v>1.6760176817882718E-2</v>
      </c>
      <c r="M33" s="111">
        <v>9.4305441915113115E-4</v>
      </c>
      <c r="N33" s="111">
        <v>7.4998386969720252E-3</v>
      </c>
      <c r="O33" s="112">
        <v>18.588267365410385</v>
      </c>
      <c r="P33" s="113">
        <v>0.14046245263450691</v>
      </c>
      <c r="Q33" s="106">
        <f t="shared" si="8"/>
        <v>-1.951563910473908E-18</v>
      </c>
      <c r="R33" s="196"/>
      <c r="S33" s="278"/>
      <c r="T33" s="67"/>
      <c r="U33" s="67"/>
      <c r="V33" s="287"/>
      <c r="W33" s="106"/>
      <c r="Y33" s="107"/>
      <c r="Z33" s="277"/>
      <c r="AA33" s="107"/>
      <c r="AC33" s="126"/>
      <c r="AG33" s="126"/>
      <c r="AI33" s="126"/>
      <c r="AN33" s="126"/>
      <c r="AQ33" s="139"/>
    </row>
    <row r="34" spans="1:43" ht="14.25" customHeight="1" x14ac:dyDescent="0.2">
      <c r="A34" s="108">
        <v>1972</v>
      </c>
      <c r="B34" s="109">
        <v>4.5857490571448237E-2</v>
      </c>
      <c r="C34" s="110">
        <v>2.6950100809650245E-3</v>
      </c>
      <c r="D34" s="110">
        <v>7.1900952017752403E-3</v>
      </c>
      <c r="E34" s="110">
        <v>1.6112458814536285E-2</v>
      </c>
      <c r="F34" s="110">
        <v>1.6893105932405832E-2</v>
      </c>
      <c r="G34" s="110">
        <v>2.9668205417658572E-3</v>
      </c>
      <c r="H34" s="109">
        <v>5.2671559842204521E-2</v>
      </c>
      <c r="I34" s="111">
        <v>2.6757634954753156E-3</v>
      </c>
      <c r="J34" s="111">
        <v>7.1387466806852699E-3</v>
      </c>
      <c r="K34" s="111">
        <v>1.5997390667588075E-2</v>
      </c>
      <c r="L34" s="111">
        <v>1.6772462744533846E-2</v>
      </c>
      <c r="M34" s="111">
        <v>2.9456328046241565E-3</v>
      </c>
      <c r="N34" s="111">
        <v>7.1415634492978559E-3</v>
      </c>
      <c r="O34" s="112">
        <v>22.297871023862761</v>
      </c>
      <c r="P34" s="113">
        <v>0.16038707517498552</v>
      </c>
      <c r="Q34" s="106">
        <f t="shared" si="8"/>
        <v>-4.3368086899420177E-18</v>
      </c>
      <c r="R34" s="196"/>
      <c r="S34" s="278"/>
      <c r="T34" s="67"/>
      <c r="U34" s="67"/>
      <c r="V34" s="287"/>
      <c r="W34" s="106"/>
      <c r="Y34" s="107"/>
      <c r="Z34" s="277"/>
      <c r="AA34" s="107"/>
      <c r="AC34" s="126"/>
      <c r="AG34" s="126"/>
      <c r="AI34" s="126"/>
      <c r="AN34" s="126"/>
      <c r="AQ34" s="139"/>
    </row>
    <row r="35" spans="1:43" ht="14.25" customHeight="1" x14ac:dyDescent="0.2">
      <c r="A35" s="108">
        <v>1973</v>
      </c>
      <c r="B35" s="109">
        <v>5.8957352454350805E-2</v>
      </c>
      <c r="C35" s="110">
        <v>4.6483780878436203E-3</v>
      </c>
      <c r="D35" s="110">
        <v>1.2851813221375213E-2</v>
      </c>
      <c r="E35" s="110">
        <v>1.7490885750707012E-2</v>
      </c>
      <c r="F35" s="110">
        <v>1.9648997609632707E-2</v>
      </c>
      <c r="G35" s="110">
        <v>4.3172777847922585E-3</v>
      </c>
      <c r="H35" s="109">
        <v>6.4529578625502265E-2</v>
      </c>
      <c r="I35" s="111">
        <v>4.6208534967934235E-3</v>
      </c>
      <c r="J35" s="111">
        <v>1.2775713365363723E-2</v>
      </c>
      <c r="K35" s="111">
        <v>1.738731640494898E-2</v>
      </c>
      <c r="L35" s="111">
        <v>1.9532649366539957E-2</v>
      </c>
      <c r="M35" s="111">
        <v>4.2917137486422566E-3</v>
      </c>
      <c r="N35" s="111">
        <v>5.9213322432139235E-3</v>
      </c>
      <c r="O35" s="112">
        <v>33.961296166346642</v>
      </c>
      <c r="P35" s="113">
        <v>0.20229396780529896</v>
      </c>
      <c r="Q35" s="106">
        <f t="shared" si="8"/>
        <v>-8.6736173798840355E-18</v>
      </c>
      <c r="R35" s="196"/>
      <c r="S35" s="278"/>
      <c r="T35" s="67"/>
      <c r="U35" s="67"/>
      <c r="V35" s="287"/>
      <c r="W35" s="106"/>
      <c r="Y35" s="107"/>
      <c r="Z35" s="277"/>
      <c r="AA35" s="107"/>
      <c r="AC35" s="126"/>
      <c r="AG35" s="126"/>
      <c r="AI35" s="126"/>
      <c r="AN35" s="126"/>
      <c r="AQ35" s="139"/>
    </row>
    <row r="36" spans="1:43" ht="14.25" customHeight="1" x14ac:dyDescent="0.2">
      <c r="A36" s="108">
        <v>1974</v>
      </c>
      <c r="B36" s="109">
        <v>5.1899076728985312E-2</v>
      </c>
      <c r="C36" s="110">
        <v>4.6263527159735481E-3</v>
      </c>
      <c r="D36" s="110">
        <v>1.2432364287132833E-2</v>
      </c>
      <c r="E36" s="110">
        <v>1.2665265863785531E-2</v>
      </c>
      <c r="F36" s="110">
        <v>1.8402147726217209E-2</v>
      </c>
      <c r="G36" s="110">
        <v>3.7729461358762006E-3</v>
      </c>
      <c r="H36" s="109">
        <v>5.603566398457889E-2</v>
      </c>
      <c r="I36" s="111">
        <v>4.6061678271974126E-3</v>
      </c>
      <c r="J36" s="111">
        <v>1.2378121581103583E-2</v>
      </c>
      <c r="K36" s="111">
        <v>1.2610007002545224E-2</v>
      </c>
      <c r="L36" s="111">
        <v>1.8321858710679505E-2</v>
      </c>
      <c r="M36" s="111">
        <v>3.756484680646455E-3</v>
      </c>
      <c r="N36" s="111">
        <v>4.3630241824067122E-3</v>
      </c>
      <c r="O36" s="112">
        <v>61.350978805566598</v>
      </c>
      <c r="P36" s="113">
        <v>0.26884879794987498</v>
      </c>
      <c r="Q36" s="106">
        <f t="shared" si="8"/>
        <v>-1.2576745200831851E-17</v>
      </c>
      <c r="R36" s="196"/>
      <c r="S36" s="278"/>
      <c r="T36" s="67"/>
      <c r="U36" s="67"/>
      <c r="V36" s="287"/>
      <c r="W36" s="106"/>
      <c r="Y36" s="107"/>
      <c r="Z36" s="277"/>
      <c r="AA36" s="107"/>
      <c r="AC36" s="126"/>
      <c r="AG36" s="126"/>
      <c r="AI36" s="126"/>
      <c r="AN36" s="126"/>
      <c r="AQ36" s="139"/>
    </row>
    <row r="37" spans="1:43" ht="14.25" customHeight="1" x14ac:dyDescent="0.2">
      <c r="A37" s="108">
        <v>1975</v>
      </c>
      <c r="B37" s="109">
        <v>5.1837146481650331E-2</v>
      </c>
      <c r="C37" s="110">
        <v>3.4229565668976404E-3</v>
      </c>
      <c r="D37" s="110">
        <v>9.1923484662654077E-3</v>
      </c>
      <c r="E37" s="110">
        <v>1.0897782275265404E-2</v>
      </c>
      <c r="F37" s="110">
        <v>2.4151502504292623E-2</v>
      </c>
      <c r="G37" s="110">
        <v>4.1725566689292557E-3</v>
      </c>
      <c r="H37" s="109">
        <v>5.7027266029947607E-2</v>
      </c>
      <c r="I37" s="111">
        <v>3.4042197499838524E-3</v>
      </c>
      <c r="J37" s="111">
        <v>9.142030752074759E-3</v>
      </c>
      <c r="K37" s="111">
        <v>1.0838129239281066E-2</v>
      </c>
      <c r="L37" s="111">
        <v>2.4019300335853786E-2</v>
      </c>
      <c r="M37" s="111">
        <v>4.1497166390193846E-3</v>
      </c>
      <c r="N37" s="111">
        <v>5.4738693137347614E-3</v>
      </c>
      <c r="O37" s="112">
        <v>58.650392421020527</v>
      </c>
      <c r="P37" s="113">
        <v>0.32281161188835905</v>
      </c>
      <c r="Q37" s="106">
        <f t="shared" si="8"/>
        <v>0</v>
      </c>
      <c r="S37" s="99"/>
      <c r="V37" s="287"/>
      <c r="W37" s="106"/>
      <c r="Z37" s="98"/>
    </row>
    <row r="38" spans="1:43" ht="14.25" customHeight="1" x14ac:dyDescent="0.2">
      <c r="A38" s="108">
        <v>1976</v>
      </c>
      <c r="B38" s="109">
        <v>4.4775937912194405E-2</v>
      </c>
      <c r="C38" s="110">
        <v>3.1938090775673078E-3</v>
      </c>
      <c r="D38" s="110">
        <v>8.6560177785785647E-3</v>
      </c>
      <c r="E38" s="110">
        <v>8.5150864965612364E-3</v>
      </c>
      <c r="F38" s="110">
        <v>2.1721506611042881E-2</v>
      </c>
      <c r="G38" s="110">
        <v>2.6895179484444183E-3</v>
      </c>
      <c r="H38" s="109">
        <v>5.0436454927728996E-2</v>
      </c>
      <c r="I38" s="111">
        <v>3.1748830356620977E-3</v>
      </c>
      <c r="J38" s="111">
        <v>8.6047234929056068E-3</v>
      </c>
      <c r="K38" s="111">
        <v>8.4646273488957289E-3</v>
      </c>
      <c r="L38" s="111">
        <v>2.1592788164078596E-2</v>
      </c>
      <c r="M38" s="111">
        <v>2.6735802614503527E-3</v>
      </c>
      <c r="N38" s="111">
        <v>5.9258526247366059E-3</v>
      </c>
      <c r="O38" s="112">
        <v>76.24868802241302</v>
      </c>
      <c r="P38" s="113">
        <v>0.45453197756260488</v>
      </c>
      <c r="Q38" s="106">
        <f t="shared" si="8"/>
        <v>0</v>
      </c>
      <c r="S38" s="99"/>
      <c r="V38" s="287"/>
      <c r="W38" s="106"/>
      <c r="Z38" s="98"/>
    </row>
    <row r="39" spans="1:43" ht="14.25" customHeight="1" x14ac:dyDescent="0.2">
      <c r="A39" s="108">
        <v>1977</v>
      </c>
      <c r="B39" s="109">
        <v>5.6318961250691434E-2</v>
      </c>
      <c r="C39" s="110">
        <v>4.3814958222946811E-3</v>
      </c>
      <c r="D39" s="110">
        <v>1.4294448164429823E-2</v>
      </c>
      <c r="E39" s="110">
        <v>1.0946461323473754E-2</v>
      </c>
      <c r="F39" s="110">
        <v>2.4061835861306006E-2</v>
      </c>
      <c r="G39" s="110">
        <v>2.6347200791871669E-3</v>
      </c>
      <c r="H39" s="109">
        <v>6.3992654966454648E-2</v>
      </c>
      <c r="I39" s="111">
        <v>4.3458669863039251E-3</v>
      </c>
      <c r="J39" s="111">
        <v>1.4178210566612804E-2</v>
      </c>
      <c r="K39" s="111">
        <v>1.0857448417609805E-2</v>
      </c>
      <c r="L39" s="111">
        <v>2.3866173183921553E-2</v>
      </c>
      <c r="M39" s="111">
        <v>2.61329543030236E-3</v>
      </c>
      <c r="N39" s="111">
        <v>8.1316603817042001E-3</v>
      </c>
      <c r="O39" s="112">
        <v>68.697999999999993</v>
      </c>
      <c r="P39" s="113">
        <v>0.56320862617441159</v>
      </c>
      <c r="Q39" s="106">
        <f t="shared" si="8"/>
        <v>0</v>
      </c>
      <c r="S39" s="99"/>
      <c r="V39" s="287"/>
      <c r="W39" s="106"/>
      <c r="Z39" s="98"/>
    </row>
    <row r="40" spans="1:43" ht="14.25" customHeight="1" x14ac:dyDescent="0.2">
      <c r="A40" s="108">
        <v>1978</v>
      </c>
      <c r="B40" s="109">
        <v>7.704350223904588E-2</v>
      </c>
      <c r="C40" s="110">
        <v>6.4426001697639804E-3</v>
      </c>
      <c r="D40" s="110">
        <v>1.6811347270981686E-2</v>
      </c>
      <c r="E40" s="110">
        <v>1.4818415092544749E-2</v>
      </c>
      <c r="F40" s="110">
        <v>3.465001432876999E-2</v>
      </c>
      <c r="G40" s="110">
        <v>4.3211253769854605E-3</v>
      </c>
      <c r="H40" s="109">
        <v>8.6702869480800304E-2</v>
      </c>
      <c r="I40" s="111">
        <v>6.375173978841105E-3</v>
      </c>
      <c r="J40" s="111">
        <v>1.6635405092219179E-2</v>
      </c>
      <c r="K40" s="111">
        <v>1.4663330303969244E-2</v>
      </c>
      <c r="L40" s="111">
        <v>3.4287378371229638E-2</v>
      </c>
      <c r="M40" s="111">
        <v>4.2759018621012545E-3</v>
      </c>
      <c r="N40" s="111">
        <v>1.0465679872439883E-2</v>
      </c>
      <c r="O40" s="112">
        <v>72.894579840390378</v>
      </c>
      <c r="P40" s="113">
        <v>0.77095995715155363</v>
      </c>
      <c r="Q40" s="106">
        <f t="shared" si="8"/>
        <v>1.9081958235744878E-17</v>
      </c>
      <c r="S40" s="99"/>
      <c r="V40" s="287"/>
      <c r="W40" s="106"/>
      <c r="Z40" s="98"/>
    </row>
    <row r="41" spans="1:43" ht="14.25" customHeight="1" x14ac:dyDescent="0.2">
      <c r="A41" s="108">
        <v>1979</v>
      </c>
      <c r="B41" s="109">
        <v>8.9828881510760308E-2</v>
      </c>
      <c r="C41" s="110">
        <v>7.9652436048524271E-3</v>
      </c>
      <c r="D41" s="110">
        <v>1.7127800372071462E-2</v>
      </c>
      <c r="E41" s="110">
        <v>1.7235076533865308E-2</v>
      </c>
      <c r="F41" s="110">
        <v>4.1743830080940743E-2</v>
      </c>
      <c r="G41" s="110">
        <v>5.7569309190303574E-3</v>
      </c>
      <c r="H41" s="109">
        <v>9.9144918476467142E-2</v>
      </c>
      <c r="I41" s="111">
        <v>7.8837155247405977E-3</v>
      </c>
      <c r="J41" s="111">
        <v>1.6952489138649426E-2</v>
      </c>
      <c r="K41" s="111">
        <v>1.7058667277589645E-2</v>
      </c>
      <c r="L41" s="111">
        <v>4.1316562003296475E-2</v>
      </c>
      <c r="M41" s="111">
        <v>5.6980059760594918E-3</v>
      </c>
      <c r="N41" s="111">
        <v>1.0235478556131501E-2</v>
      </c>
      <c r="O41" s="112">
        <v>103.27088121791286</v>
      </c>
      <c r="P41" s="113">
        <v>1.0679579508838724</v>
      </c>
      <c r="Q41" s="106">
        <f t="shared" si="8"/>
        <v>0</v>
      </c>
      <c r="S41" s="99"/>
      <c r="V41" s="287"/>
      <c r="W41" s="106"/>
      <c r="Z41" s="98"/>
    </row>
    <row r="42" spans="1:43" ht="14.25" customHeight="1" x14ac:dyDescent="0.2">
      <c r="A42" s="108">
        <v>1980</v>
      </c>
      <c r="B42" s="109">
        <v>0.12869384307141513</v>
      </c>
      <c r="C42" s="110">
        <v>1.2832093259819792E-2</v>
      </c>
      <c r="D42" s="110">
        <v>2.3212331447731601E-2</v>
      </c>
      <c r="E42" s="110">
        <v>2.6499874249388159E-2</v>
      </c>
      <c r="F42" s="110">
        <v>5.6341816843682321E-2</v>
      </c>
      <c r="G42" s="110">
        <v>9.807727270793232E-3</v>
      </c>
      <c r="H42" s="109">
        <v>0.14261397817274102</v>
      </c>
      <c r="I42" s="111">
        <v>1.2627085559152132E-2</v>
      </c>
      <c r="J42" s="111">
        <v>2.2841487299323199E-2</v>
      </c>
      <c r="K42" s="111">
        <v>2.6076507758991761E-2</v>
      </c>
      <c r="L42" s="111">
        <v>5.5441690411564729E-2</v>
      </c>
      <c r="M42" s="111">
        <v>9.6510373546704539E-3</v>
      </c>
      <c r="N42" s="111">
        <v>1.5976169789038749E-2</v>
      </c>
      <c r="O42" s="112">
        <v>71.178701530015758</v>
      </c>
      <c r="P42" s="113">
        <v>1.1556254900483982</v>
      </c>
      <c r="Q42" s="106">
        <f t="shared" si="8"/>
        <v>1.9081958235744878E-17</v>
      </c>
      <c r="S42" s="99"/>
      <c r="V42" s="287"/>
      <c r="W42" s="106"/>
      <c r="Z42" s="98"/>
    </row>
    <row r="43" spans="1:43" ht="14.25" customHeight="1" x14ac:dyDescent="0.2">
      <c r="A43" s="108">
        <v>1981</v>
      </c>
      <c r="B43" s="109">
        <v>0.12598685967527637</v>
      </c>
      <c r="C43" s="110">
        <v>1.4050324119263172E-2</v>
      </c>
      <c r="D43" s="110">
        <v>2.1697768347914512E-2</v>
      </c>
      <c r="E43" s="110">
        <v>2.7974266188269023E-2</v>
      </c>
      <c r="F43" s="110">
        <v>5.1037502756982385E-2</v>
      </c>
      <c r="G43" s="110">
        <v>1.1226998262847265E-2</v>
      </c>
      <c r="H43" s="109">
        <v>0.14098173703656844</v>
      </c>
      <c r="I43" s="111">
        <v>1.380927180856624E-2</v>
      </c>
      <c r="J43" s="111">
        <v>2.1325513789739535E-2</v>
      </c>
      <c r="K43" s="111">
        <v>2.7494329821855366E-2</v>
      </c>
      <c r="L43" s="111">
        <v>5.0161885378526005E-2</v>
      </c>
      <c r="M43" s="111">
        <v>1.1034383925236403E-2</v>
      </c>
      <c r="N43" s="111">
        <v>1.7156352312644906E-2</v>
      </c>
      <c r="O43" s="112">
        <v>63.904518863416868</v>
      </c>
      <c r="P43" s="113">
        <v>1.1155064618575015</v>
      </c>
      <c r="Q43" s="106">
        <f t="shared" si="8"/>
        <v>1.5612511283791264E-17</v>
      </c>
      <c r="S43" s="99"/>
      <c r="V43" s="287"/>
      <c r="W43" s="106"/>
      <c r="Z43" s="98"/>
    </row>
    <row r="44" spans="1:43" ht="14.25" customHeight="1" x14ac:dyDescent="0.2">
      <c r="A44" s="108">
        <v>1982</v>
      </c>
      <c r="B44" s="109">
        <v>0.14980867942137191</v>
      </c>
      <c r="C44" s="110">
        <v>1.4092393840410639E-2</v>
      </c>
      <c r="D44" s="110">
        <v>1.8777414839010732E-2</v>
      </c>
      <c r="E44" s="110">
        <v>2.7251516565562295E-2</v>
      </c>
      <c r="F44" s="110">
        <v>7.8002799813345777E-2</v>
      </c>
      <c r="G44" s="110">
        <v>1.1684554363042464E-2</v>
      </c>
      <c r="H44" s="109">
        <v>0.16880182354109144</v>
      </c>
      <c r="I44" s="111">
        <v>1.3777571916539902E-2</v>
      </c>
      <c r="J44" s="111">
        <v>1.8357930262303496E-2</v>
      </c>
      <c r="K44" s="111">
        <v>2.6642721851851993E-2</v>
      </c>
      <c r="L44" s="111">
        <v>7.6260229191020198E-2</v>
      </c>
      <c r="M44" s="111">
        <v>1.1423523204972157E-2</v>
      </c>
      <c r="N44" s="111">
        <v>2.2339847114403687E-2</v>
      </c>
      <c r="O44" s="112">
        <v>53.575000000000003</v>
      </c>
      <c r="P44" s="113">
        <v>1.2242058813807779</v>
      </c>
      <c r="Q44" s="106">
        <f t="shared" ref="Q44:Q81" si="9">B44-C44-D44-E44-F44-G44</f>
        <v>0</v>
      </c>
      <c r="S44" s="99"/>
      <c r="V44" s="287"/>
      <c r="W44" s="106"/>
      <c r="Z44" s="98"/>
    </row>
    <row r="45" spans="1:43" ht="14.25" customHeight="1" x14ac:dyDescent="0.2">
      <c r="A45" s="108">
        <v>1983</v>
      </c>
      <c r="B45" s="109">
        <v>0.1400041355067719</v>
      </c>
      <c r="C45" s="110">
        <v>1.6455870696488264E-2</v>
      </c>
      <c r="D45" s="110">
        <v>2.6846331460867769E-2</v>
      </c>
      <c r="E45" s="110">
        <v>2.1384016266326637E-2</v>
      </c>
      <c r="F45" s="110">
        <v>6.2739083985250022E-2</v>
      </c>
      <c r="G45" s="110">
        <v>1.2578833097839198E-2</v>
      </c>
      <c r="H45" s="109">
        <v>0.15880202736432308</v>
      </c>
      <c r="I45" s="111">
        <v>1.6096176318240625E-2</v>
      </c>
      <c r="J45" s="111">
        <v>2.6259521155831307E-2</v>
      </c>
      <c r="K45" s="111">
        <v>2.0916601896268712E-2</v>
      </c>
      <c r="L45" s="111">
        <v>6.1367725627972894E-2</v>
      </c>
      <c r="M45" s="111">
        <v>1.2303883468393359E-2</v>
      </c>
      <c r="N45" s="111">
        <v>2.1858118897616175E-2</v>
      </c>
      <c r="O45" s="112">
        <v>58.033999999999999</v>
      </c>
      <c r="P45" s="113">
        <v>1.2968610143495936</v>
      </c>
      <c r="Q45" s="106">
        <f t="shared" si="9"/>
        <v>2.2551405187698492E-17</v>
      </c>
      <c r="S45" s="99"/>
      <c r="V45" s="287"/>
      <c r="W45" s="106"/>
      <c r="Z45" s="98"/>
    </row>
    <row r="46" spans="1:43" ht="14.25" customHeight="1" x14ac:dyDescent="0.2">
      <c r="A46" s="108">
        <v>1984</v>
      </c>
      <c r="B46" s="109">
        <v>0.13324542351846105</v>
      </c>
      <c r="C46" s="110">
        <v>1.7157927396835245E-2</v>
      </c>
      <c r="D46" s="110">
        <v>2.451132485262178E-2</v>
      </c>
      <c r="E46" s="110">
        <v>2.3270245113248527E-2</v>
      </c>
      <c r="F46" s="110">
        <v>5.6934533043748063E-2</v>
      </c>
      <c r="G46" s="110">
        <v>1.1371393112007447E-2</v>
      </c>
      <c r="H46" s="109">
        <v>0.15138455891983879</v>
      </c>
      <c r="I46" s="111">
        <v>1.6798852317564717E-2</v>
      </c>
      <c r="J46" s="111">
        <v>2.3998360453663881E-2</v>
      </c>
      <c r="K46" s="111">
        <v>2.2783253595250522E-2</v>
      </c>
      <c r="L46" s="111">
        <v>5.5743027129712949E-2</v>
      </c>
      <c r="M46" s="111">
        <v>1.1133416590212421E-2</v>
      </c>
      <c r="N46" s="111">
        <v>2.0927648833434325E-2</v>
      </c>
      <c r="O46" s="112">
        <v>64.460000000000008</v>
      </c>
      <c r="P46" s="113">
        <v>1.3778310072752502</v>
      </c>
      <c r="Q46" s="106">
        <f t="shared" si="9"/>
        <v>-1.5612511283791264E-17</v>
      </c>
      <c r="S46" s="99"/>
      <c r="V46" s="287"/>
      <c r="W46" s="106"/>
      <c r="Z46" s="98"/>
    </row>
    <row r="47" spans="1:43" ht="14.25" customHeight="1" x14ac:dyDescent="0.2">
      <c r="A47" s="108">
        <v>1985</v>
      </c>
      <c r="B47" s="109">
        <v>0.14040937445158819</v>
      </c>
      <c r="C47" s="110">
        <v>1.7740623155342129E-2</v>
      </c>
      <c r="D47" s="110">
        <v>2.9354987954882658E-2</v>
      </c>
      <c r="E47" s="110">
        <v>2.7616023994511893E-2</v>
      </c>
      <c r="F47" s="110">
        <v>5.7545348670250955E-2</v>
      </c>
      <c r="G47" s="110">
        <v>8.1523906766005644E-3</v>
      </c>
      <c r="H47" s="109">
        <v>0.15952010163897429</v>
      </c>
      <c r="I47" s="111">
        <v>1.7346207256448788E-2</v>
      </c>
      <c r="J47" s="111">
        <v>2.870235733081454E-2</v>
      </c>
      <c r="K47" s="111">
        <v>2.7002054641108678E-2</v>
      </c>
      <c r="L47" s="111">
        <v>5.62659798327435E-2</v>
      </c>
      <c r="M47" s="111">
        <v>7.9711438021990381E-3</v>
      </c>
      <c r="N47" s="111">
        <v>2.2232358775659745E-2</v>
      </c>
      <c r="O47" s="112">
        <v>62.680999999999997</v>
      </c>
      <c r="P47" s="113">
        <v>1.4252327666235287</v>
      </c>
      <c r="Q47" s="106">
        <f t="shared" si="9"/>
        <v>0</v>
      </c>
      <c r="S47" s="99"/>
      <c r="V47" s="287"/>
      <c r="W47" s="106"/>
      <c r="Z47" s="98"/>
    </row>
    <row r="48" spans="1:43" ht="14.25" customHeight="1" x14ac:dyDescent="0.2">
      <c r="A48" s="108">
        <v>1986</v>
      </c>
      <c r="B48" s="109">
        <v>0.14691270404542228</v>
      </c>
      <c r="C48" s="110">
        <v>1.5330021291696239E-2</v>
      </c>
      <c r="D48" s="110">
        <v>4.3417317246273956E-2</v>
      </c>
      <c r="E48" s="110">
        <v>2.8548616039744498E-2</v>
      </c>
      <c r="F48" s="110">
        <v>4.6611071682044002E-2</v>
      </c>
      <c r="G48" s="110">
        <v>1.3005677785663592E-2</v>
      </c>
      <c r="H48" s="109">
        <v>0.16763137751108267</v>
      </c>
      <c r="I48" s="111">
        <v>1.4957705695308332E-2</v>
      </c>
      <c r="J48" s="111">
        <v>4.236285397733737E-2</v>
      </c>
      <c r="K48" s="111">
        <v>2.7855264425637856E-2</v>
      </c>
      <c r="L48" s="111">
        <v>4.5479042663859937E-2</v>
      </c>
      <c r="M48" s="111">
        <v>1.2689812817894684E-2</v>
      </c>
      <c r="N48" s="111">
        <v>2.4286697931044477E-2</v>
      </c>
      <c r="O48" s="112">
        <v>56.36</v>
      </c>
      <c r="P48" s="113">
        <v>1.4028693597711464</v>
      </c>
      <c r="Q48" s="106">
        <f t="shared" si="9"/>
        <v>-1.5612511283791264E-17</v>
      </c>
      <c r="S48" s="99"/>
      <c r="V48" s="287"/>
      <c r="W48" s="106"/>
      <c r="Z48" s="98"/>
    </row>
    <row r="49" spans="1:26" ht="14.25" customHeight="1" x14ac:dyDescent="0.2">
      <c r="A49" s="108">
        <v>1987</v>
      </c>
      <c r="B49" s="109">
        <v>0.17109846232265738</v>
      </c>
      <c r="C49" s="110">
        <v>2.8148274006739728E-2</v>
      </c>
      <c r="D49" s="110">
        <v>5.1779797808172628E-2</v>
      </c>
      <c r="E49" s="110">
        <v>3.0286296831195311E-2</v>
      </c>
      <c r="F49" s="110">
        <v>4.7362161243734602E-2</v>
      </c>
      <c r="G49" s="110">
        <v>1.3521932432815111E-2</v>
      </c>
      <c r="H49" s="109">
        <v>0.194947942783848</v>
      </c>
      <c r="I49" s="111">
        <v>2.7338380816263715E-2</v>
      </c>
      <c r="J49" s="111">
        <v>5.0289969137362375E-2</v>
      </c>
      <c r="K49" s="111">
        <v>2.9414887608645919E-2</v>
      </c>
      <c r="L49" s="111">
        <v>4.5999438546479941E-2</v>
      </c>
      <c r="M49" s="111">
        <v>1.3132874084271553E-2</v>
      </c>
      <c r="N49" s="111">
        <v>2.8772392590824477E-2</v>
      </c>
      <c r="O49" s="112">
        <v>70.626000000000005</v>
      </c>
      <c r="P49" s="113">
        <v>2.0922788681226812</v>
      </c>
      <c r="Q49" s="106">
        <f t="shared" si="9"/>
        <v>0</v>
      </c>
      <c r="S49" s="99"/>
      <c r="V49" s="287"/>
      <c r="W49" s="106"/>
      <c r="Z49" s="98"/>
    </row>
    <row r="50" spans="1:26" ht="14.25" customHeight="1" x14ac:dyDescent="0.2">
      <c r="A50" s="108">
        <v>1988</v>
      </c>
      <c r="B50" s="109">
        <v>0.13982084792006677</v>
      </c>
      <c r="C50" s="110">
        <v>2.2911034422614523E-2</v>
      </c>
      <c r="D50" s="110">
        <v>5.4729839161797501E-2</v>
      </c>
      <c r="E50" s="110">
        <v>2.5577136307573474E-2</v>
      </c>
      <c r="F50" s="110">
        <v>2.232548868152541E-2</v>
      </c>
      <c r="G50" s="110">
        <v>1.4277349346555869E-2</v>
      </c>
      <c r="H50" s="109">
        <v>0.15991605945165366</v>
      </c>
      <c r="I50" s="111">
        <v>2.2375794662366159E-2</v>
      </c>
      <c r="J50" s="111">
        <v>5.3451259353874132E-2</v>
      </c>
      <c r="K50" s="111">
        <v>2.4979611985773639E-2</v>
      </c>
      <c r="L50" s="111">
        <v>2.1803928240870123E-2</v>
      </c>
      <c r="M50" s="111">
        <v>1.3943806787967165E-2</v>
      </c>
      <c r="N50" s="111">
        <v>2.3361658420802425E-2</v>
      </c>
      <c r="O50" s="112">
        <v>80.266999999999996</v>
      </c>
      <c r="P50" s="113">
        <v>1.9200252095678005</v>
      </c>
      <c r="Q50" s="106">
        <f t="shared" si="9"/>
        <v>0</v>
      </c>
      <c r="S50" s="99"/>
      <c r="V50" s="287"/>
      <c r="W50" s="106"/>
      <c r="Z50" s="98"/>
    </row>
    <row r="51" spans="1:26" ht="14.25" customHeight="1" x14ac:dyDescent="0.2">
      <c r="A51" s="114">
        <v>1989</v>
      </c>
      <c r="B51" s="115">
        <v>0.16793233170549338</v>
      </c>
      <c r="C51" s="116">
        <v>3.1298922821693109E-2</v>
      </c>
      <c r="D51" s="116">
        <v>4.9057176904923241E-2</v>
      </c>
      <c r="E51" s="116">
        <v>2.4966703273593942E-2</v>
      </c>
      <c r="F51" s="116">
        <v>4.8227679510246042E-2</v>
      </c>
      <c r="G51" s="116">
        <v>1.4381849195037036E-2</v>
      </c>
      <c r="H51" s="115">
        <v>0.19180191351092366</v>
      </c>
      <c r="I51" s="117">
        <v>3.0401048493460203E-2</v>
      </c>
      <c r="J51" s="117">
        <v>4.7649870333721311E-2</v>
      </c>
      <c r="K51" s="117">
        <v>2.4250481758314461E-2</v>
      </c>
      <c r="L51" s="117">
        <v>4.6844168787235421E-2</v>
      </c>
      <c r="M51" s="117">
        <v>1.396927610879041E-2</v>
      </c>
      <c r="N51" s="117">
        <v>2.8687068029401869E-2</v>
      </c>
      <c r="O51" s="118">
        <v>85.593999999999994</v>
      </c>
      <c r="P51" s="119">
        <v>2.5279606809383548</v>
      </c>
      <c r="Q51" s="106">
        <f t="shared" si="9"/>
        <v>0</v>
      </c>
      <c r="S51" s="99"/>
      <c r="V51" s="287"/>
      <c r="W51" s="106"/>
      <c r="Z51" s="98"/>
    </row>
    <row r="52" spans="1:26" ht="14.25" customHeight="1" x14ac:dyDescent="0.2">
      <c r="A52" s="120">
        <v>1990</v>
      </c>
      <c r="B52" s="121">
        <v>0.19557788944723617</v>
      </c>
      <c r="C52" s="122">
        <v>3.7268696423292932E-2</v>
      </c>
      <c r="D52" s="122">
        <v>5.5879396984924626E-2</v>
      </c>
      <c r="E52" s="122">
        <v>3.0493644694058526E-2</v>
      </c>
      <c r="F52" s="122">
        <v>4.6621342004138339E-2</v>
      </c>
      <c r="G52" s="122">
        <v>2.5314809340821757E-2</v>
      </c>
      <c r="H52" s="121">
        <v>0.2222382814534053</v>
      </c>
      <c r="I52" s="123">
        <v>3.6033526425888029E-2</v>
      </c>
      <c r="J52" s="123">
        <v>5.4027425726125282E-2</v>
      </c>
      <c r="K52" s="123">
        <v>2.9483015435395062E-2</v>
      </c>
      <c r="L52" s="123">
        <v>4.5076203901420218E-2</v>
      </c>
      <c r="M52" s="123">
        <v>2.4475818552609864E-2</v>
      </c>
      <c r="N52" s="123">
        <v>3.3142291411966833E-2</v>
      </c>
      <c r="O52" s="124">
        <v>84.574999999999989</v>
      </c>
      <c r="P52" s="125">
        <v>2.8990918428529842</v>
      </c>
      <c r="Q52" s="106">
        <f t="shared" si="9"/>
        <v>0</v>
      </c>
      <c r="S52" s="99"/>
      <c r="T52" s="272">
        <v>846.85833333333335</v>
      </c>
      <c r="V52" s="287"/>
      <c r="W52" s="106"/>
      <c r="Z52" s="98"/>
    </row>
    <row r="53" spans="1:26" ht="14.25" customHeight="1" x14ac:dyDescent="0.2">
      <c r="A53" s="108">
        <v>1991</v>
      </c>
      <c r="B53" s="109">
        <v>0.20827819538614753</v>
      </c>
      <c r="C53" s="110">
        <v>4.111812935703469E-2</v>
      </c>
      <c r="D53" s="110">
        <v>5.8607658831393843E-2</v>
      </c>
      <c r="E53" s="110">
        <v>3.8116806046302236E-2</v>
      </c>
      <c r="F53" s="110">
        <v>4.6875213162166952E-2</v>
      </c>
      <c r="G53" s="110">
        <v>2.3560387989249806E-2</v>
      </c>
      <c r="H53" s="109">
        <v>0.23597268604314992</v>
      </c>
      <c r="I53" s="111">
        <v>3.9679813975702964E-2</v>
      </c>
      <c r="J53" s="111">
        <v>5.6557558340948895E-2</v>
      </c>
      <c r="K53" s="111">
        <v>3.6783477189155311E-2</v>
      </c>
      <c r="L53" s="111">
        <v>4.523551453898985E-2</v>
      </c>
      <c r="M53" s="111">
        <v>2.2736243774399149E-2</v>
      </c>
      <c r="N53" s="111">
        <v>3.4980078223953756E-2</v>
      </c>
      <c r="O53" s="112">
        <v>73.301000000000002</v>
      </c>
      <c r="P53" s="113">
        <v>2.6570173900400404</v>
      </c>
      <c r="Q53" s="106">
        <f t="shared" si="9"/>
        <v>0</v>
      </c>
      <c r="S53" s="99"/>
      <c r="T53" s="272">
        <v>837.35</v>
      </c>
      <c r="V53" s="287"/>
      <c r="W53" s="106"/>
      <c r="Z53" s="98"/>
    </row>
    <row r="54" spans="1:26" ht="14.25" customHeight="1" x14ac:dyDescent="0.2">
      <c r="A54" s="108">
        <v>1992</v>
      </c>
      <c r="B54" s="109">
        <v>0.19422005270206055</v>
      </c>
      <c r="C54" s="110">
        <v>4.9894163894768674E-2</v>
      </c>
      <c r="D54" s="110">
        <v>5.4530793266807778E-2</v>
      </c>
      <c r="E54" s="110">
        <v>2.162800408944951E-2</v>
      </c>
      <c r="F54" s="110">
        <v>4.6481489481187091E-2</v>
      </c>
      <c r="G54" s="110">
        <v>2.168560196984751E-2</v>
      </c>
      <c r="H54" s="109">
        <v>0.22111926058292281</v>
      </c>
      <c r="I54" s="111">
        <v>4.82285559441765E-2</v>
      </c>
      <c r="J54" s="111">
        <v>5.2710401547069664E-2</v>
      </c>
      <c r="K54" s="111">
        <v>2.0906000296725284E-2</v>
      </c>
      <c r="L54" s="111">
        <v>4.4929806230245811E-2</v>
      </c>
      <c r="M54" s="111">
        <v>2.0961675397382338E-2</v>
      </c>
      <c r="N54" s="111">
        <v>3.3382821167323218E-2</v>
      </c>
      <c r="O54" s="112">
        <v>69.447000000000003</v>
      </c>
      <c r="P54" s="113">
        <v>2.3984022137976133</v>
      </c>
      <c r="Q54" s="106">
        <f t="shared" si="9"/>
        <v>0</v>
      </c>
      <c r="S54" s="99"/>
      <c r="T54" s="272">
        <v>857.45</v>
      </c>
      <c r="V54" s="287"/>
      <c r="W54" s="106"/>
      <c r="Z54" s="98"/>
    </row>
    <row r="55" spans="1:26" ht="14.25" customHeight="1" x14ac:dyDescent="0.2">
      <c r="A55" s="108">
        <v>1993</v>
      </c>
      <c r="B55" s="109">
        <v>0.19241871874449429</v>
      </c>
      <c r="C55" s="110">
        <v>4.5089243362651958E-2</v>
      </c>
      <c r="D55" s="110">
        <v>4.2039925732175042E-2</v>
      </c>
      <c r="E55" s="110">
        <v>2.7037282990228631E-2</v>
      </c>
      <c r="F55" s="110">
        <v>4.3828858742054833E-2</v>
      </c>
      <c r="G55" s="110">
        <v>3.4423407917383818E-2</v>
      </c>
      <c r="H55" s="109">
        <v>0.21917563111041416</v>
      </c>
      <c r="I55" s="111">
        <v>4.3595339329333467E-2</v>
      </c>
      <c r="J55" s="111">
        <v>4.0647052179017852E-2</v>
      </c>
      <c r="K55" s="111">
        <v>2.6141479399465064E-2</v>
      </c>
      <c r="L55" s="111">
        <v>4.2376713973869676E-2</v>
      </c>
      <c r="M55" s="111">
        <v>3.3282886052451756E-2</v>
      </c>
      <c r="N55" s="111">
        <v>3.3132160176276355E-2</v>
      </c>
      <c r="O55" s="112">
        <v>73.786999999999992</v>
      </c>
      <c r="P55" s="113">
        <v>2.5284972798067393</v>
      </c>
      <c r="Q55" s="106">
        <f t="shared" si="9"/>
        <v>0</v>
      </c>
      <c r="S55" s="99"/>
      <c r="T55" s="272">
        <v>871.14166666666665</v>
      </c>
      <c r="V55" s="287"/>
      <c r="W55" s="106"/>
      <c r="Z55" s="98"/>
    </row>
    <row r="56" spans="1:26" ht="14.25" customHeight="1" x14ac:dyDescent="0.2">
      <c r="A56" s="108">
        <v>1994</v>
      </c>
      <c r="B56" s="109">
        <v>0.18929328621908129</v>
      </c>
      <c r="C56" s="110">
        <v>4.5535924617196702E-2</v>
      </c>
      <c r="D56" s="110">
        <v>4.685512367491166E-2</v>
      </c>
      <c r="E56" s="110">
        <v>2.7597173144876325E-2</v>
      </c>
      <c r="F56" s="110">
        <v>3.5700824499411074E-2</v>
      </c>
      <c r="G56" s="110">
        <v>3.3604240282685514E-2</v>
      </c>
      <c r="H56" s="109">
        <v>0.21589573879094776</v>
      </c>
      <c r="I56" s="111">
        <v>4.4041713141759947E-2</v>
      </c>
      <c r="J56" s="111">
        <v>4.5317624127760234E-2</v>
      </c>
      <c r="K56" s="111">
        <v>2.6691602144631028E-2</v>
      </c>
      <c r="L56" s="111">
        <v>3.4529341058632805E-2</v>
      </c>
      <c r="M56" s="111">
        <v>3.2501553955882341E-2</v>
      </c>
      <c r="N56" s="111">
        <v>3.2813904362281418E-2</v>
      </c>
      <c r="O56" s="112">
        <v>84.9</v>
      </c>
      <c r="P56" s="113">
        <v>2.8804182493140544</v>
      </c>
      <c r="Q56" s="106">
        <f t="shared" si="9"/>
        <v>0</v>
      </c>
      <c r="S56" s="99"/>
      <c r="T56" s="272">
        <v>898.73333333333335</v>
      </c>
      <c r="V56" s="287"/>
      <c r="W56" s="106"/>
      <c r="Z56" s="98"/>
    </row>
    <row r="57" spans="1:26" x14ac:dyDescent="0.2">
      <c r="A57" s="108">
        <v>1995</v>
      </c>
      <c r="B57" s="109">
        <v>0.20848711699164346</v>
      </c>
      <c r="C57" s="110">
        <v>4.5560584958217271E-2</v>
      </c>
      <c r="D57" s="110">
        <v>5.9235724233983288E-2</v>
      </c>
      <c r="E57" s="110">
        <v>3.1267409470752086E-2</v>
      </c>
      <c r="F57" s="110">
        <v>3.794394150417827E-2</v>
      </c>
      <c r="G57" s="110">
        <v>3.4479456824512533E-2</v>
      </c>
      <c r="H57" s="109">
        <v>0.23733267458795446</v>
      </c>
      <c r="I57" s="111">
        <v>4.3900194450688414E-2</v>
      </c>
      <c r="J57" s="111">
        <v>5.7076962788867903E-2</v>
      </c>
      <c r="K57" s="111">
        <v>3.0127913348657387E-2</v>
      </c>
      <c r="L57" s="111">
        <v>3.6561128698997088E-2</v>
      </c>
      <c r="M57" s="111">
        <v>3.322290221994207E-2</v>
      </c>
      <c r="N57" s="111">
        <v>3.6443573080801622E-2</v>
      </c>
      <c r="O57" s="112">
        <v>114.88</v>
      </c>
      <c r="P57" s="113">
        <v>4.3449844332506036</v>
      </c>
      <c r="Q57" s="106">
        <f t="shared" si="9"/>
        <v>0</v>
      </c>
      <c r="S57" s="99"/>
      <c r="T57" s="272">
        <v>930.2</v>
      </c>
      <c r="V57" s="287"/>
      <c r="W57" s="106"/>
      <c r="Z57" s="98"/>
    </row>
    <row r="58" spans="1:26" x14ac:dyDescent="0.2">
      <c r="A58" s="108">
        <v>1996</v>
      </c>
      <c r="B58" s="109">
        <v>0.19729520213068072</v>
      </c>
      <c r="C58" s="110">
        <v>4.3526982738108941E-2</v>
      </c>
      <c r="D58" s="110">
        <v>4.8193603352598494E-2</v>
      </c>
      <c r="E58" s="110">
        <v>2.2688372592814324E-2</v>
      </c>
      <c r="F58" s="110">
        <v>3.7624628704321997E-2</v>
      </c>
      <c r="G58" s="110">
        <v>4.5261614742836964E-2</v>
      </c>
      <c r="H58" s="109">
        <v>0.22459365070876289</v>
      </c>
      <c r="I58" s="111">
        <v>4.2046713648912867E-2</v>
      </c>
      <c r="J58" s="111">
        <v>4.655463145856531E-2</v>
      </c>
      <c r="K58" s="111">
        <v>2.191678461403393E-2</v>
      </c>
      <c r="L58" s="111">
        <v>3.6345087340322844E-2</v>
      </c>
      <c r="M58" s="111">
        <v>4.3722354150527096E-2</v>
      </c>
      <c r="N58" s="111">
        <v>3.4008079496400861E-2</v>
      </c>
      <c r="O58" s="112">
        <v>130.28700000000001</v>
      </c>
      <c r="P58" s="113">
        <v>4.5867988740916914</v>
      </c>
      <c r="Q58" s="106">
        <f t="shared" si="9"/>
        <v>0</v>
      </c>
      <c r="S58" s="99"/>
      <c r="T58" s="272">
        <v>972.0916666666667</v>
      </c>
      <c r="V58" s="287"/>
      <c r="W58" s="106"/>
      <c r="Z58" s="98"/>
    </row>
    <row r="59" spans="1:26" x14ac:dyDescent="0.2">
      <c r="A59" s="108">
        <v>1997</v>
      </c>
      <c r="B59" s="109">
        <v>0.2247690207032306</v>
      </c>
      <c r="C59" s="110">
        <v>5.6301420184783436E-2</v>
      </c>
      <c r="D59" s="110">
        <v>5.4499331147722783E-2</v>
      </c>
      <c r="E59" s="110">
        <v>2.3233086354720434E-2</v>
      </c>
      <c r="F59" s="110">
        <v>5.5545929011554161E-2</v>
      </c>
      <c r="G59" s="110">
        <v>3.5189254004449777E-2</v>
      </c>
      <c r="H59" s="109">
        <v>0.25499068595223295</v>
      </c>
      <c r="I59" s="111">
        <v>5.4106561208157607E-2</v>
      </c>
      <c r="J59" s="111">
        <v>5.2374724951341038E-2</v>
      </c>
      <c r="K59" s="111">
        <v>2.2327365895573593E-2</v>
      </c>
      <c r="L59" s="111">
        <v>5.3380522162030659E-2</v>
      </c>
      <c r="M59" s="111">
        <v>3.3817433368683515E-2</v>
      </c>
      <c r="N59" s="111">
        <v>3.8984078366446524E-2</v>
      </c>
      <c r="O59" s="112">
        <v>144.27699999999999</v>
      </c>
      <c r="P59" s="113">
        <v>5.85266669142709</v>
      </c>
      <c r="Q59" s="106">
        <f t="shared" si="9"/>
        <v>0</v>
      </c>
      <c r="S59" s="99"/>
      <c r="T59" s="272">
        <v>989.125</v>
      </c>
      <c r="V59" s="287"/>
      <c r="W59" s="106"/>
      <c r="Z59" s="98"/>
    </row>
    <row r="60" spans="1:26" x14ac:dyDescent="0.2">
      <c r="A60" s="108">
        <v>1998</v>
      </c>
      <c r="B60" s="109">
        <v>0.26337617575054761</v>
      </c>
      <c r="C60" s="110">
        <v>8.7078018296611256E-2</v>
      </c>
      <c r="D60" s="110">
        <v>5.963310140445819E-2</v>
      </c>
      <c r="E60" s="110">
        <v>2.7686509470429069E-2</v>
      </c>
      <c r="F60" s="110">
        <v>6.4134776446334238E-2</v>
      </c>
      <c r="G60" s="110">
        <v>2.4843770132714858E-2</v>
      </c>
      <c r="H60" s="109">
        <v>0.29715641043968355</v>
      </c>
      <c r="I60" s="111">
        <v>8.3084778059884554E-2</v>
      </c>
      <c r="J60" s="111">
        <v>5.6898435358683545E-2</v>
      </c>
      <c r="K60" s="111">
        <v>2.6416856281317222E-2</v>
      </c>
      <c r="L60" s="111">
        <v>6.1193671734848853E-2</v>
      </c>
      <c r="M60" s="111">
        <v>2.3704479821949866E-2</v>
      </c>
      <c r="N60" s="111">
        <v>4.585818918299954E-2</v>
      </c>
      <c r="O60" s="112">
        <v>124.176</v>
      </c>
      <c r="P60" s="113">
        <v>5.9681762558043117</v>
      </c>
      <c r="Q60" s="106">
        <f t="shared" si="9"/>
        <v>0</v>
      </c>
      <c r="S60" s="99"/>
      <c r="T60" s="272">
        <v>996.35</v>
      </c>
      <c r="V60" s="287"/>
      <c r="W60" s="106"/>
      <c r="Z60" s="98"/>
    </row>
    <row r="61" spans="1:26" x14ac:dyDescent="0.2">
      <c r="A61" s="114">
        <v>1999</v>
      </c>
      <c r="B61" s="115">
        <v>0.24067316633323002</v>
      </c>
      <c r="C61" s="116">
        <v>7.9411930457324809E-2</v>
      </c>
      <c r="D61" s="116">
        <v>4.5422525289526332E-2</v>
      </c>
      <c r="E61" s="116">
        <v>2.5035926625151455E-2</v>
      </c>
      <c r="F61" s="116">
        <v>5.6376623742568119E-2</v>
      </c>
      <c r="G61" s="116">
        <v>3.4426160218659303E-2</v>
      </c>
      <c r="H61" s="115">
        <v>0.27232370018827079</v>
      </c>
      <c r="I61" s="117">
        <v>7.6101853844733086E-2</v>
      </c>
      <c r="J61" s="117">
        <v>4.352920727320491E-2</v>
      </c>
      <c r="K61" s="117">
        <v>2.3992370137867595E-2</v>
      </c>
      <c r="L61" s="117">
        <v>5.4026713059469426E-2</v>
      </c>
      <c r="M61" s="117">
        <v>3.2991196641462842E-2</v>
      </c>
      <c r="N61" s="117">
        <v>4.1682359231532899E-2</v>
      </c>
      <c r="O61" s="118">
        <v>141.95600000000002</v>
      </c>
      <c r="P61" s="119">
        <v>6.174425613543586</v>
      </c>
      <c r="Q61" s="106">
        <f t="shared" si="9"/>
        <v>0</v>
      </c>
      <c r="S61" s="99"/>
      <c r="T61" s="272">
        <v>1010.6833333333333</v>
      </c>
      <c r="V61" s="287"/>
      <c r="W61" s="106"/>
      <c r="Z61" s="98"/>
    </row>
    <row r="62" spans="1:26" x14ac:dyDescent="0.2">
      <c r="A62" s="120">
        <v>2000</v>
      </c>
      <c r="B62" s="121">
        <v>0.24181115854898202</v>
      </c>
      <c r="C62" s="122">
        <v>7.2504429148151375E-2</v>
      </c>
      <c r="D62" s="122">
        <v>4.3873253753884581E-2</v>
      </c>
      <c r="E62" s="122">
        <v>2.1718799918677936E-2</v>
      </c>
      <c r="F62" s="122">
        <v>5.4898202201504459E-2</v>
      </c>
      <c r="G62" s="122">
        <v>4.8816473526763673E-2</v>
      </c>
      <c r="H62" s="121">
        <v>0.27312296193690111</v>
      </c>
      <c r="I62" s="123">
        <v>6.9510129699091372E-2</v>
      </c>
      <c r="J62" s="123">
        <v>4.2061369140941933E-2</v>
      </c>
      <c r="K62" s="123">
        <v>2.0821853464581212E-2</v>
      </c>
      <c r="L62" s="123">
        <v>5.263100751370875E-2</v>
      </c>
      <c r="M62" s="123">
        <v>4.6800443037266777E-2</v>
      </c>
      <c r="N62" s="123">
        <v>4.1298159081311042E-2</v>
      </c>
      <c r="O62" s="124">
        <v>172.15499999999997</v>
      </c>
      <c r="P62" s="125">
        <v>7.4159496448136055</v>
      </c>
      <c r="Q62" s="106">
        <f t="shared" si="9"/>
        <v>0</v>
      </c>
      <c r="S62" s="99"/>
      <c r="T62" s="272">
        <v>1025.8666666666666</v>
      </c>
      <c r="V62" s="287"/>
      <c r="W62" s="106"/>
      <c r="Z62" s="98"/>
    </row>
    <row r="63" spans="1:26" x14ac:dyDescent="0.2">
      <c r="A63" s="108">
        <v>2001</v>
      </c>
      <c r="B63" s="109">
        <v>0.26986217935098233</v>
      </c>
      <c r="C63" s="110">
        <v>9.0043768325330384E-2</v>
      </c>
      <c r="D63" s="110">
        <v>4.8704655873312651E-2</v>
      </c>
      <c r="E63" s="110">
        <v>2.4589583421861499E-2</v>
      </c>
      <c r="F63" s="110">
        <v>7.0043485035198805E-2</v>
      </c>
      <c r="G63" s="110">
        <v>3.6480686695278972E-2</v>
      </c>
      <c r="H63" s="109">
        <v>0.30342349845328126</v>
      </c>
      <c r="I63" s="111">
        <v>8.5904840637330823E-2</v>
      </c>
      <c r="J63" s="111">
        <v>4.6465910733280165E-2</v>
      </c>
      <c r="K63" s="111">
        <v>2.3459305229889302E-2</v>
      </c>
      <c r="L63" s="111">
        <v>6.6823885001038363E-2</v>
      </c>
      <c r="M63" s="111">
        <v>3.4803825241693495E-2</v>
      </c>
      <c r="N63" s="111">
        <v>4.5965731610049056E-2</v>
      </c>
      <c r="O63" s="112">
        <v>141.19800000000001</v>
      </c>
      <c r="P63" s="113">
        <v>6.802973003085965</v>
      </c>
      <c r="Q63" s="106">
        <f t="shared" si="9"/>
        <v>0</v>
      </c>
      <c r="S63" s="99"/>
      <c r="T63" s="272">
        <v>1009.4416666666667</v>
      </c>
      <c r="V63" s="287"/>
      <c r="W63" s="106"/>
      <c r="Z63" s="98"/>
    </row>
    <row r="64" spans="1:26" x14ac:dyDescent="0.2">
      <c r="A64" s="108">
        <v>2002</v>
      </c>
      <c r="B64" s="109">
        <v>0.2736751901930386</v>
      </c>
      <c r="C64" s="110">
        <v>0.11838739852555423</v>
      </c>
      <c r="D64" s="110">
        <v>3.2654983613635023E-2</v>
      </c>
      <c r="E64" s="110">
        <v>2.8167539951985662E-2</v>
      </c>
      <c r="F64" s="110">
        <v>6.1143055255738502E-2</v>
      </c>
      <c r="G64" s="110">
        <v>3.3322212846125167E-2</v>
      </c>
      <c r="H64" s="109">
        <v>0.30780806839633928</v>
      </c>
      <c r="I64" s="111">
        <v>0.11282390599422747</v>
      </c>
      <c r="J64" s="111">
        <v>3.1120396658370172E-2</v>
      </c>
      <c r="K64" s="111">
        <v>2.6843835739371387E-2</v>
      </c>
      <c r="L64" s="111">
        <v>5.826970103481291E-2</v>
      </c>
      <c r="M64" s="111">
        <v>3.175627014778399E-2</v>
      </c>
      <c r="N64" s="111">
        <v>4.6993958821773374E-2</v>
      </c>
      <c r="O64" s="112">
        <v>152.87100000000001</v>
      </c>
      <c r="P64" s="113">
        <v>7.538266462782893</v>
      </c>
      <c r="Q64" s="106">
        <f t="shared" si="9"/>
        <v>0</v>
      </c>
      <c r="S64" s="99"/>
      <c r="T64" s="272">
        <v>1004.4916666666667</v>
      </c>
      <c r="V64" s="287"/>
      <c r="W64" s="106"/>
      <c r="Z64" s="98"/>
    </row>
    <row r="65" spans="1:26" x14ac:dyDescent="0.2">
      <c r="A65" s="108">
        <v>2003</v>
      </c>
      <c r="B65" s="109">
        <v>0.25758783049619705</v>
      </c>
      <c r="C65" s="110">
        <v>0.11267415187733913</v>
      </c>
      <c r="D65" s="110">
        <v>2.9713871785584933E-2</v>
      </c>
      <c r="E65" s="110">
        <v>2.5319328745623565E-2</v>
      </c>
      <c r="F65" s="110">
        <v>5.7824459736810337E-2</v>
      </c>
      <c r="G65" s="110">
        <v>3.2056018350839065E-2</v>
      </c>
      <c r="H65" s="109">
        <v>0.29046722676424919</v>
      </c>
      <c r="I65" s="111">
        <v>0.10768412310232893</v>
      </c>
      <c r="J65" s="111">
        <v>2.839792600071275E-2</v>
      </c>
      <c r="K65" s="111">
        <v>2.4198005204247839E-2</v>
      </c>
      <c r="L65" s="111">
        <v>5.5263573205352592E-2</v>
      </c>
      <c r="M65" s="111">
        <v>3.063634532630119E-2</v>
      </c>
      <c r="N65" s="111">
        <v>4.4287253925305914E-2</v>
      </c>
      <c r="O65" s="112">
        <v>207.07500000000002</v>
      </c>
      <c r="P65" s="113">
        <v>9.5957526403712698</v>
      </c>
      <c r="Q65" s="106">
        <f t="shared" si="9"/>
        <v>0</v>
      </c>
      <c r="S65" s="99"/>
      <c r="T65" s="272">
        <v>1023.8166666666667</v>
      </c>
      <c r="V65" s="287"/>
      <c r="W65" s="106"/>
      <c r="Z65" s="98"/>
    </row>
    <row r="66" spans="1:26" x14ac:dyDescent="0.2">
      <c r="A66" s="108">
        <v>2004</v>
      </c>
      <c r="B66" s="109">
        <v>0.27582382334414118</v>
      </c>
      <c r="C66" s="110">
        <v>0.11435947179465379</v>
      </c>
      <c r="D66" s="110">
        <v>3.2392575445484864E-2</v>
      </c>
      <c r="E66" s="110">
        <v>3.4216638391114648E-2</v>
      </c>
      <c r="F66" s="110">
        <v>6.1728299640984224E-2</v>
      </c>
      <c r="G66" s="110">
        <v>3.3126838071903635E-2</v>
      </c>
      <c r="H66" s="109">
        <v>0.31000075762995749</v>
      </c>
      <c r="I66" s="111">
        <v>0.10896236501528522</v>
      </c>
      <c r="J66" s="111">
        <v>3.0863832912885945E-2</v>
      </c>
      <c r="K66" s="111">
        <v>3.2601810619266543E-2</v>
      </c>
      <c r="L66" s="111">
        <v>5.8815080305121357E-2</v>
      </c>
      <c r="M66" s="111">
        <v>3.1563442582827284E-2</v>
      </c>
      <c r="N66" s="111">
        <v>4.7194226194571129E-2</v>
      </c>
      <c r="O66" s="112">
        <v>258.76299999999998</v>
      </c>
      <c r="P66" s="113">
        <v>12.817008343695896</v>
      </c>
      <c r="Q66" s="106">
        <f t="shared" si="9"/>
        <v>0</v>
      </c>
      <c r="S66" s="99"/>
      <c r="T66" s="272">
        <v>1048.5083333333334</v>
      </c>
      <c r="V66" s="287"/>
      <c r="W66" s="106"/>
      <c r="Z66" s="98"/>
    </row>
    <row r="67" spans="1:26" x14ac:dyDescent="0.2">
      <c r="A67" s="108">
        <v>2005</v>
      </c>
      <c r="B67" s="109">
        <v>0.23844894139665457</v>
      </c>
      <c r="C67" s="110">
        <v>9.4658655059686889E-2</v>
      </c>
      <c r="D67" s="110">
        <v>2.9535618200959176E-2</v>
      </c>
      <c r="E67" s="110">
        <v>3.413449403131176E-2</v>
      </c>
      <c r="F67" s="110">
        <v>5.6279281664214344E-2</v>
      </c>
      <c r="G67" s="110">
        <v>2.384089244048242E-2</v>
      </c>
      <c r="H67" s="109">
        <v>0.26940633772926098</v>
      </c>
      <c r="I67" s="111">
        <v>9.081073774949576E-2</v>
      </c>
      <c r="J67" s="111">
        <v>2.83349819097399E-2</v>
      </c>
      <c r="K67" s="111">
        <v>3.2746911349359649E-2</v>
      </c>
      <c r="L67" s="111">
        <v>5.3991503309616946E-2</v>
      </c>
      <c r="M67" s="111">
        <v>2.2871749337252271E-2</v>
      </c>
      <c r="N67" s="111">
        <v>4.0650454073796423E-2</v>
      </c>
      <c r="O67" s="112">
        <v>324.86200000000002</v>
      </c>
      <c r="P67" s="113">
        <v>13.765355774023046</v>
      </c>
      <c r="Q67" s="106">
        <f t="shared" si="9"/>
        <v>-3.8163916471489756E-17</v>
      </c>
      <c r="S67" s="99"/>
      <c r="T67" s="272">
        <v>1051.925</v>
      </c>
      <c r="V67" s="287"/>
      <c r="W67" s="106"/>
      <c r="Z67" s="98"/>
    </row>
    <row r="68" spans="1:26" x14ac:dyDescent="0.2">
      <c r="A68" s="108">
        <v>2006</v>
      </c>
      <c r="B68" s="109">
        <v>0.25735143112970665</v>
      </c>
      <c r="C68" s="110">
        <v>0.10365524738431713</v>
      </c>
      <c r="D68" s="110">
        <v>1.7146721942163358E-2</v>
      </c>
      <c r="E68" s="110">
        <v>3.8425415045413351E-2</v>
      </c>
      <c r="F68" s="110">
        <v>6.6563344569155067E-2</v>
      </c>
      <c r="G68" s="110">
        <v>3.1560702188657752E-2</v>
      </c>
      <c r="H68" s="109">
        <v>0.28992513035707901</v>
      </c>
      <c r="I68" s="111">
        <v>9.9108770095911652E-2</v>
      </c>
      <c r="J68" s="111">
        <v>1.6394640558462521E-2</v>
      </c>
      <c r="K68" s="111">
        <v>3.6740017719084091E-2</v>
      </c>
      <c r="L68" s="111">
        <v>6.3643774726232102E-2</v>
      </c>
      <c r="M68" s="111">
        <v>3.0176401641143245E-2</v>
      </c>
      <c r="N68" s="111">
        <v>4.3861525616245407E-2</v>
      </c>
      <c r="O68" s="112">
        <v>365.20100000000002</v>
      </c>
      <c r="P68" s="113">
        <v>16.75308906160528</v>
      </c>
      <c r="Q68" s="106">
        <f t="shared" si="9"/>
        <v>0</v>
      </c>
      <c r="S68" s="99"/>
      <c r="T68" s="272">
        <v>1045.1583333333333</v>
      </c>
      <c r="V68" s="287"/>
      <c r="W68" s="106"/>
      <c r="Z68" s="98"/>
    </row>
    <row r="69" spans="1:26" x14ac:dyDescent="0.2">
      <c r="A69" s="108">
        <v>2007</v>
      </c>
      <c r="B69" s="109">
        <v>0.26148969133595518</v>
      </c>
      <c r="C69" s="110">
        <v>0.11278751042783935</v>
      </c>
      <c r="D69" s="110">
        <v>1.7831009414849244E-2</v>
      </c>
      <c r="E69" s="110">
        <v>3.6980097723751638E-2</v>
      </c>
      <c r="F69" s="110">
        <v>6.3284471457514008E-2</v>
      </c>
      <c r="G69" s="110">
        <v>3.0606602312000953E-2</v>
      </c>
      <c r="H69" s="109">
        <v>0.29445988325974304</v>
      </c>
      <c r="I69" s="111">
        <v>0.10775220378176283</v>
      </c>
      <c r="J69" s="111">
        <v>1.7034958505734735E-2</v>
      </c>
      <c r="K69" s="111">
        <v>3.5329151345605457E-2</v>
      </c>
      <c r="L69" s="111">
        <v>6.0459187713642962E-2</v>
      </c>
      <c r="M69" s="111">
        <v>2.9240195451428915E-2</v>
      </c>
      <c r="N69" s="111">
        <v>4.4644186461568161E-2</v>
      </c>
      <c r="O69" s="112">
        <v>419.55000000000007</v>
      </c>
      <c r="P69" s="113">
        <v>19.605751244216865</v>
      </c>
      <c r="Q69" s="106">
        <f t="shared" si="9"/>
        <v>0</v>
      </c>
      <c r="S69" s="99"/>
      <c r="T69" s="272">
        <v>1032.4583333333333</v>
      </c>
      <c r="V69" s="287"/>
      <c r="W69" s="106"/>
      <c r="Z69" s="98"/>
    </row>
    <row r="70" spans="1:26" x14ac:dyDescent="0.2">
      <c r="A70" s="108">
        <v>2008</v>
      </c>
      <c r="B70" s="109">
        <v>0.23418262615827837</v>
      </c>
      <c r="C70" s="110">
        <v>8.5540054947256861E-2</v>
      </c>
      <c r="D70" s="110">
        <v>7.5763985056483468E-3</v>
      </c>
      <c r="E70" s="110">
        <v>4.0998935786516102E-2</v>
      </c>
      <c r="F70" s="110">
        <v>7.0703405037870856E-2</v>
      </c>
      <c r="G70" s="110">
        <v>2.9363831880986201E-2</v>
      </c>
      <c r="H70" s="109">
        <v>0.26443750314237269</v>
      </c>
      <c r="I70" s="127">
        <v>8.216065415531712E-2</v>
      </c>
      <c r="J70" s="127">
        <v>7.2770804010969057E-3</v>
      </c>
      <c r="K70" s="127">
        <v>3.9379205285395097E-2</v>
      </c>
      <c r="L70" s="127">
        <v>6.7910150542942818E-2</v>
      </c>
      <c r="M70" s="127">
        <v>2.8203765327671784E-2</v>
      </c>
      <c r="N70" s="111">
        <v>3.9506647429948964E-2</v>
      </c>
      <c r="O70" s="112">
        <v>449.15799999999996</v>
      </c>
      <c r="P70" s="113">
        <v>18.474596100910393</v>
      </c>
      <c r="Q70" s="106">
        <f t="shared" si="9"/>
        <v>0</v>
      </c>
      <c r="S70" s="99"/>
      <c r="T70" s="272">
        <v>1013.8333333333334</v>
      </c>
      <c r="V70" s="287"/>
      <c r="W70" s="106"/>
      <c r="Z70" s="98"/>
    </row>
    <row r="71" spans="1:26" x14ac:dyDescent="0.2">
      <c r="A71" s="114">
        <v>2009</v>
      </c>
      <c r="B71" s="115">
        <v>0.30254666034579197</v>
      </c>
      <c r="C71" s="116">
        <v>0.11080844488924674</v>
      </c>
      <c r="D71" s="116">
        <v>3.6886818718818902E-2</v>
      </c>
      <c r="E71" s="116">
        <v>5.6769982868422969E-2</v>
      </c>
      <c r="F71" s="116">
        <v>6.4013905924315051E-2</v>
      </c>
      <c r="G71" s="116">
        <v>3.4067507944988321E-2</v>
      </c>
      <c r="H71" s="115">
        <v>0.33879156828500212</v>
      </c>
      <c r="I71" s="128">
        <v>0.1050500067894464</v>
      </c>
      <c r="J71" s="128">
        <v>3.4969902887149386E-2</v>
      </c>
      <c r="K71" s="128">
        <v>5.3819788660740657E-2</v>
      </c>
      <c r="L71" s="128">
        <v>6.0687263129534846E-2</v>
      </c>
      <c r="M71" s="128">
        <v>3.2297104652064659E-2</v>
      </c>
      <c r="N71" s="117">
        <v>5.1967502166066194E-2</v>
      </c>
      <c r="O71" s="118">
        <v>398.67900000000003</v>
      </c>
      <c r="P71" s="119">
        <v>21.854052306648168</v>
      </c>
      <c r="Q71" s="106">
        <f t="shared" si="9"/>
        <v>0</v>
      </c>
      <c r="S71" s="99"/>
      <c r="T71" s="272">
        <v>964.47500000000002</v>
      </c>
      <c r="V71" s="287"/>
      <c r="W71" s="106"/>
      <c r="Z71" s="98"/>
    </row>
    <row r="72" spans="1:26" x14ac:dyDescent="0.2">
      <c r="A72" s="108">
        <v>2010</v>
      </c>
      <c r="B72" s="109">
        <v>0.26530674333348547</v>
      </c>
      <c r="C72" s="110">
        <v>0.11167756474195574</v>
      </c>
      <c r="D72" s="110">
        <v>1.2225836804853826E-2</v>
      </c>
      <c r="E72" s="110">
        <v>4.6977984366749027E-2</v>
      </c>
      <c r="F72" s="110">
        <v>6.01686756937065E-2</v>
      </c>
      <c r="G72" s="110">
        <v>3.4256681726220359E-2</v>
      </c>
      <c r="H72" s="109">
        <v>0.29872706526898118</v>
      </c>
      <c r="I72" s="127">
        <v>0.10659748522199022</v>
      </c>
      <c r="J72" s="127">
        <v>1.1669698037767644E-2</v>
      </c>
      <c r="K72" s="127">
        <v>4.4841011763324015E-2</v>
      </c>
      <c r="L72" s="127">
        <v>5.7431674239194909E-2</v>
      </c>
      <c r="M72" s="127">
        <v>3.2698386041124981E-2</v>
      </c>
      <c r="N72" s="111">
        <v>4.5488809965579434E-2</v>
      </c>
      <c r="O72" s="112">
        <v>460.17300000000006</v>
      </c>
      <c r="P72" s="113">
        <v>21.930305654704512</v>
      </c>
      <c r="Q72" s="106">
        <f t="shared" si="9"/>
        <v>0</v>
      </c>
      <c r="S72" s="99"/>
      <c r="T72" s="272">
        <v>932.23333333333335</v>
      </c>
      <c r="V72" s="287"/>
      <c r="W72" s="106"/>
      <c r="Z72" s="98"/>
    </row>
    <row r="73" spans="1:26" x14ac:dyDescent="0.2">
      <c r="A73" s="108">
        <v>2011</v>
      </c>
      <c r="B73" s="109">
        <v>0.27559669784418844</v>
      </c>
      <c r="C73" s="110">
        <v>0.1120180791604882</v>
      </c>
      <c r="D73" s="110">
        <v>2.9155854340139158E-2</v>
      </c>
      <c r="E73" s="110">
        <v>4.7832069122847043E-2</v>
      </c>
      <c r="F73" s="110">
        <v>4.3961018592448955E-2</v>
      </c>
      <c r="G73" s="110">
        <v>4.2629676628265084E-2</v>
      </c>
      <c r="H73" s="109">
        <v>0.30974506466145546</v>
      </c>
      <c r="I73" s="127">
        <v>0.10673754765827918</v>
      </c>
      <c r="J73" s="127">
        <v>2.7781447561601686E-2</v>
      </c>
      <c r="K73" s="127">
        <v>4.5577265704399177E-2</v>
      </c>
      <c r="L73" s="127">
        <v>4.1888696470106186E-2</v>
      </c>
      <c r="M73" s="127">
        <v>4.0620113957207084E-2</v>
      </c>
      <c r="N73" s="111">
        <v>4.713999330986212E-2</v>
      </c>
      <c r="O73" s="112">
        <v>561.08799999999997</v>
      </c>
      <c r="P73" s="113">
        <v>27.758206221834989</v>
      </c>
      <c r="Q73" s="106">
        <f t="shared" si="9"/>
        <v>0</v>
      </c>
      <c r="S73" s="99"/>
      <c r="T73" s="272">
        <v>924.77499999999998</v>
      </c>
      <c r="V73" s="287"/>
      <c r="W73" s="106"/>
      <c r="Z73" s="98"/>
    </row>
    <row r="74" spans="1:26" x14ac:dyDescent="0.2">
      <c r="A74" s="108">
        <v>2012</v>
      </c>
      <c r="B74" s="109">
        <v>0.30140233354190438</v>
      </c>
      <c r="C74" s="110">
        <v>0.1279730575288012</v>
      </c>
      <c r="D74" s="110">
        <v>3.6037395561117451E-2</v>
      </c>
      <c r="E74" s="110">
        <v>4.3691339394162462E-2</v>
      </c>
      <c r="F74" s="110">
        <v>4.9703706430122563E-2</v>
      </c>
      <c r="G74" s="110">
        <v>4.3996834627700689E-2</v>
      </c>
      <c r="H74" s="109">
        <v>0.33746867314837736</v>
      </c>
      <c r="I74" s="127">
        <v>0.12136622218577291</v>
      </c>
      <c r="J74" s="127">
        <v>3.417690130348594E-2</v>
      </c>
      <c r="K74" s="127">
        <v>4.1435696754471438E-2</v>
      </c>
      <c r="L74" s="127">
        <v>4.7137664712723328E-2</v>
      </c>
      <c r="M74" s="127">
        <v>4.1725420256482397E-2</v>
      </c>
      <c r="N74" s="111">
        <v>5.1626767935441339E-2</v>
      </c>
      <c r="O74" s="112">
        <v>543.38</v>
      </c>
      <c r="P74" s="113">
        <v>29.580076927825459</v>
      </c>
      <c r="Q74" s="106">
        <f t="shared" si="9"/>
        <v>0</v>
      </c>
      <c r="S74" s="99"/>
      <c r="T74" s="272">
        <v>939.81666666666672</v>
      </c>
      <c r="V74" s="287"/>
      <c r="W74" s="106"/>
      <c r="Z74" s="98"/>
    </row>
    <row r="75" spans="1:26" x14ac:dyDescent="0.2">
      <c r="A75" s="108">
        <v>2013</v>
      </c>
      <c r="B75" s="109">
        <v>0.29897445117113453</v>
      </c>
      <c r="C75" s="110">
        <v>0.12066418356698702</v>
      </c>
      <c r="D75" s="110">
        <v>1.1549149349456545E-2</v>
      </c>
      <c r="E75" s="110">
        <v>6.7893755642668141E-2</v>
      </c>
      <c r="F75" s="110">
        <v>4.7201041182195161E-2</v>
      </c>
      <c r="G75" s="110">
        <v>5.1666321429827682E-2</v>
      </c>
      <c r="H75" s="109">
        <v>0.33490306562388955</v>
      </c>
      <c r="I75" s="127">
        <v>0.11447996255410485</v>
      </c>
      <c r="J75" s="127">
        <v>1.0957238063302828E-2</v>
      </c>
      <c r="K75" s="127">
        <v>6.4414098482796958E-2</v>
      </c>
      <c r="L75" s="127">
        <v>4.4781916781897878E-2</v>
      </c>
      <c r="M75" s="127">
        <v>4.901834469638975E-2</v>
      </c>
      <c r="N75" s="111">
        <v>5.1251505045397293E-2</v>
      </c>
      <c r="O75" s="112">
        <v>511.726</v>
      </c>
      <c r="P75" s="113">
        <v>27.643498577687772</v>
      </c>
      <c r="Q75" s="106">
        <f t="shared" si="9"/>
        <v>0</v>
      </c>
      <c r="S75" s="99"/>
      <c r="T75" s="272">
        <v>925.70833333333337</v>
      </c>
      <c r="V75" s="287"/>
      <c r="W75" s="106"/>
      <c r="Z75" s="98"/>
    </row>
    <row r="76" spans="1:26" x14ac:dyDescent="0.2">
      <c r="A76" s="108">
        <v>2014</v>
      </c>
      <c r="B76" s="109">
        <v>0.33766189244098976</v>
      </c>
      <c r="C76" s="110">
        <v>0.11109547368762923</v>
      </c>
      <c r="D76" s="110">
        <v>3.9963841465394986E-2</v>
      </c>
      <c r="E76" s="110">
        <v>6.8897886421784613E-2</v>
      </c>
      <c r="F76" s="110">
        <v>6.5559897947768606E-2</v>
      </c>
      <c r="G76" s="110">
        <v>5.2144792918412342E-2</v>
      </c>
      <c r="H76" s="109">
        <v>0.37616149902966656</v>
      </c>
      <c r="I76" s="127">
        <v>0.10463784731532307</v>
      </c>
      <c r="J76" s="127">
        <v>3.7640870528602141E-2</v>
      </c>
      <c r="K76" s="127">
        <v>6.4893071521724341E-2</v>
      </c>
      <c r="L76" s="127">
        <v>6.1749109696002474E-2</v>
      </c>
      <c r="M76" s="127">
        <v>4.9113782034249931E-2</v>
      </c>
      <c r="N76" s="111">
        <v>5.812681793376457E-2</v>
      </c>
      <c r="O76" s="112">
        <v>554.226</v>
      </c>
      <c r="P76" s="113">
        <v>34.203536537144039</v>
      </c>
      <c r="Q76" s="106">
        <f t="shared" si="9"/>
        <v>0</v>
      </c>
      <c r="S76" s="108"/>
      <c r="T76" s="272">
        <v>909.25833333333333</v>
      </c>
      <c r="U76" s="280"/>
      <c r="V76" s="288"/>
      <c r="W76" s="279"/>
      <c r="X76" s="280"/>
      <c r="Y76" s="280"/>
      <c r="Z76" s="281"/>
    </row>
    <row r="77" spans="1:26" x14ac:dyDescent="0.2">
      <c r="A77" s="108">
        <v>2015</v>
      </c>
      <c r="B77" s="109">
        <v>0.42995851004207553</v>
      </c>
      <c r="C77" s="110">
        <v>0.15391854249792969</v>
      </c>
      <c r="D77" s="110">
        <v>6.8646641070039399E-2</v>
      </c>
      <c r="E77" s="110">
        <v>8.2946456205509125E-2</v>
      </c>
      <c r="F77" s="110">
        <v>6.4859427672798148E-2</v>
      </c>
      <c r="G77" s="110">
        <v>5.9587442595799144E-2</v>
      </c>
      <c r="H77" s="109">
        <v>0.47205436030883263</v>
      </c>
      <c r="I77" s="127">
        <v>0.14255212087351671</v>
      </c>
      <c r="J77" s="127">
        <v>6.3577293005544128E-2</v>
      </c>
      <c r="K77" s="127">
        <v>7.6821109784070626E-2</v>
      </c>
      <c r="L77" s="127">
        <v>6.0069753931851315E-2</v>
      </c>
      <c r="M77" s="127">
        <v>5.5187089103149164E-2</v>
      </c>
      <c r="N77" s="111">
        <v>7.3846993610700656E-2</v>
      </c>
      <c r="O77" s="112">
        <v>478.18800000000005</v>
      </c>
      <c r="P77" s="113">
        <v>38.128414999573373</v>
      </c>
      <c r="Q77" s="106">
        <f t="shared" si="9"/>
        <v>0</v>
      </c>
      <c r="S77" s="286">
        <f t="shared" ref="S77:S84" si="10">T77*U77/1000000</f>
        <v>24.248496120000002</v>
      </c>
      <c r="T77" s="272">
        <v>901.2166666666667</v>
      </c>
      <c r="U77" s="194">
        <f>2020*13.32</f>
        <v>26906.400000000001</v>
      </c>
      <c r="V77" s="289">
        <f>V78</f>
        <v>66326</v>
      </c>
      <c r="W77" s="272">
        <f t="shared" ref="W77:W82" si="11">V77*U77/1000000000</f>
        <v>1.7845938864000002</v>
      </c>
      <c r="X77" s="282">
        <f t="shared" ref="X77:X82" si="12">P77/W77</f>
        <v>21.365317504526764</v>
      </c>
      <c r="Y77" s="280"/>
      <c r="Z77" s="281"/>
    </row>
    <row r="78" spans="1:26" x14ac:dyDescent="0.2">
      <c r="A78" s="108">
        <v>2016</v>
      </c>
      <c r="B78" s="109">
        <v>0.48051095394964177</v>
      </c>
      <c r="C78" s="110">
        <v>0.17718215116680872</v>
      </c>
      <c r="D78" s="110">
        <v>9.92927733880071E-2</v>
      </c>
      <c r="E78" s="110">
        <v>9.7954341265636152E-2</v>
      </c>
      <c r="F78" s="110">
        <v>4.4066898569421087E-2</v>
      </c>
      <c r="G78" s="110">
        <v>6.2014789559768711E-2</v>
      </c>
      <c r="H78" s="109">
        <v>0.52326130944155103</v>
      </c>
      <c r="I78" s="127">
        <v>0.16260128558977396</v>
      </c>
      <c r="J78" s="127">
        <v>9.1121664887475945E-2</v>
      </c>
      <c r="K78" s="127">
        <v>8.9893376471633896E-2</v>
      </c>
      <c r="L78" s="127">
        <v>4.0440497601794051E-2</v>
      </c>
      <c r="M78" s="127">
        <v>5.6911401298567407E-2</v>
      </c>
      <c r="N78" s="111">
        <v>8.2293083592305832E-2</v>
      </c>
      <c r="O78" s="112">
        <v>434.09</v>
      </c>
      <c r="P78" s="113">
        <v>38.925940317000027</v>
      </c>
      <c r="Q78" s="106">
        <f t="shared" si="9"/>
        <v>0</v>
      </c>
      <c r="S78" s="286">
        <f t="shared" si="10"/>
        <v>23.627295619999998</v>
      </c>
      <c r="T78" s="272">
        <v>894.24166666666667</v>
      </c>
      <c r="U78" s="194">
        <f>2020*13.08</f>
        <v>26421.599999999999</v>
      </c>
      <c r="V78" s="290">
        <v>66326</v>
      </c>
      <c r="W78" s="272">
        <f t="shared" si="11"/>
        <v>1.7524390416</v>
      </c>
      <c r="X78" s="282">
        <f t="shared" si="12"/>
        <v>22.212436149254088</v>
      </c>
      <c r="Y78" s="283">
        <f>0.605</f>
        <v>0.60499999999999998</v>
      </c>
      <c r="Z78" s="284">
        <f>Y78/P78</f>
        <v>1.5542334881908553E-2</v>
      </c>
    </row>
    <row r="79" spans="1:26" x14ac:dyDescent="0.2">
      <c r="A79" s="108">
        <v>2017</v>
      </c>
      <c r="B79" s="109">
        <v>0.45771324324976387</v>
      </c>
      <c r="C79" s="110">
        <v>0.15082223991477878</v>
      </c>
      <c r="D79" s="110">
        <v>0.10906162020514705</v>
      </c>
      <c r="E79" s="110">
        <v>6.8464626331349421E-2</v>
      </c>
      <c r="F79" s="110">
        <v>6.4678666674090113E-2</v>
      </c>
      <c r="G79" s="110">
        <v>6.4686090124398465E-2</v>
      </c>
      <c r="H79" s="109">
        <v>0.49019833626441106</v>
      </c>
      <c r="I79" s="127">
        <v>0.14178739915696617</v>
      </c>
      <c r="J79" s="127">
        <v>0.10252840353962538</v>
      </c>
      <c r="K79" s="127">
        <v>6.4363328029478264E-2</v>
      </c>
      <c r="L79" s="127">
        <v>6.0804162130474834E-2</v>
      </c>
      <c r="M79" s="127">
        <v>6.0811140887139542E-2</v>
      </c>
      <c r="N79" s="111">
        <v>5.9903902520726908E-2</v>
      </c>
      <c r="O79" s="112">
        <v>538.83299999999997</v>
      </c>
      <c r="P79" s="113">
        <v>34.335000000000001</v>
      </c>
      <c r="Q79" s="106">
        <f t="shared" si="9"/>
        <v>0</v>
      </c>
      <c r="S79" s="286">
        <f t="shared" si="10"/>
        <v>23.047960966666668</v>
      </c>
      <c r="T79" s="272">
        <v>870.98333333333335</v>
      </c>
      <c r="U79" s="194">
        <f>2020*13.1</f>
        <v>26462</v>
      </c>
      <c r="V79" s="290">
        <v>71619</v>
      </c>
      <c r="W79" s="272">
        <f t="shared" si="11"/>
        <v>1.8951819780000001</v>
      </c>
      <c r="X79" s="282">
        <f t="shared" si="12"/>
        <v>18.116993723333096</v>
      </c>
      <c r="Y79" s="285">
        <v>0.55700000000000005</v>
      </c>
      <c r="Z79" s="284">
        <f>Y79/P79</f>
        <v>1.6222513470219892E-2</v>
      </c>
    </row>
    <row r="80" spans="1:26" x14ac:dyDescent="0.2">
      <c r="A80" s="108">
        <v>2018</v>
      </c>
      <c r="B80" s="109">
        <v>0.47367200435788598</v>
      </c>
      <c r="C80" s="110">
        <v>0.17905446099026848</v>
      </c>
      <c r="D80" s="110">
        <v>5.6533862607935886E-2</v>
      </c>
      <c r="E80" s="110">
        <v>7.2433674377464119E-2</v>
      </c>
      <c r="F80" s="110">
        <v>7.126869495337386E-2</v>
      </c>
      <c r="G80" s="110">
        <v>9.4381311428843664E-2</v>
      </c>
      <c r="H80" s="109">
        <v>0.50713470415725304</v>
      </c>
      <c r="I80" s="127">
        <v>0.16767059821750244</v>
      </c>
      <c r="J80" s="127">
        <v>5.2939572187111747E-2</v>
      </c>
      <c r="K80" s="127">
        <v>6.7828511207108449E-2</v>
      </c>
      <c r="L80" s="127">
        <v>6.6737598443092405E-2</v>
      </c>
      <c r="M80" s="127">
        <v>8.8380768958818037E-2</v>
      </c>
      <c r="N80" s="111">
        <v>6.3577655143620002E-2</v>
      </c>
      <c r="O80" s="112">
        <v>556.23300000000006</v>
      </c>
      <c r="P80" s="113">
        <v>37.765000000000001</v>
      </c>
      <c r="Q80" s="106">
        <f t="shared" si="9"/>
        <v>0</v>
      </c>
      <c r="S80" s="286">
        <f t="shared" si="10"/>
        <v>22.630059359999997</v>
      </c>
      <c r="T80" s="272">
        <v>863.4</v>
      </c>
      <c r="U80" s="194">
        <f>13.04*2010</f>
        <v>26210.399999999998</v>
      </c>
      <c r="V80" s="290">
        <v>73835</v>
      </c>
      <c r="W80" s="272">
        <f t="shared" si="11"/>
        <v>1.9352448839999998</v>
      </c>
      <c r="X80" s="282">
        <f t="shared" si="12"/>
        <v>19.514326229320755</v>
      </c>
      <c r="Y80" s="285">
        <v>0.58699999999999997</v>
      </c>
      <c r="Z80" s="284">
        <f>Y80/P80</f>
        <v>1.5543492651926385E-2</v>
      </c>
    </row>
    <row r="81" spans="1:26" x14ac:dyDescent="0.2">
      <c r="A81" s="114">
        <v>2019</v>
      </c>
      <c r="B81" s="115">
        <v>0.45228023263325418</v>
      </c>
      <c r="C81" s="116">
        <v>0.16256726573709937</v>
      </c>
      <c r="D81" s="116">
        <v>6.1564421441253445E-2</v>
      </c>
      <c r="E81" s="116">
        <v>7.9536534422243843E-2</v>
      </c>
      <c r="F81" s="116">
        <v>6.1284494183189882E-2</v>
      </c>
      <c r="G81" s="116">
        <v>8.7327516849467643E-2</v>
      </c>
      <c r="H81" s="115">
        <v>0.48585934499670164</v>
      </c>
      <c r="I81" s="128">
        <v>0.15260073758156303</v>
      </c>
      <c r="J81" s="128">
        <v>5.7790085095670601E-2</v>
      </c>
      <c r="K81" s="128">
        <v>7.4660379889417886E-2</v>
      </c>
      <c r="L81" s="128">
        <v>5.7527319366936717E-2</v>
      </c>
      <c r="M81" s="128">
        <v>8.1973719752081453E-2</v>
      </c>
      <c r="N81" s="117">
        <v>6.1307103311031931E-2</v>
      </c>
      <c r="O81" s="118">
        <v>510.84699999999998</v>
      </c>
      <c r="P81" s="119">
        <v>33.363999999999997</v>
      </c>
      <c r="Q81" s="106">
        <f t="shared" si="9"/>
        <v>0</v>
      </c>
      <c r="S81" s="286">
        <f>T81*U81/1000000</f>
        <v>23.974275837499999</v>
      </c>
      <c r="T81" s="272">
        <v>880.25833333333333</v>
      </c>
      <c r="U81" s="194">
        <f>13.55*2010</f>
        <v>27235.5</v>
      </c>
      <c r="V81" s="290">
        <v>73556</v>
      </c>
      <c r="W81" s="272">
        <f t="shared" si="11"/>
        <v>2.003334438</v>
      </c>
      <c r="X81" s="282">
        <f t="shared" si="12"/>
        <v>16.654233745069778</v>
      </c>
      <c r="Y81" s="285">
        <v>1.2170000000000001</v>
      </c>
      <c r="Z81" s="284">
        <f>Y81/P81</f>
        <v>3.6476441673660237E-2</v>
      </c>
    </row>
    <row r="82" spans="1:26" x14ac:dyDescent="0.2">
      <c r="A82" s="108">
        <v>2020</v>
      </c>
      <c r="B82" s="109">
        <v>0.48140354775909683</v>
      </c>
      <c r="C82" s="110">
        <v>0.20551122592831794</v>
      </c>
      <c r="D82" s="110">
        <v>6.7341680729459646E-2</v>
      </c>
      <c r="E82" s="110">
        <v>5.7758147739189011E-2</v>
      </c>
      <c r="F82" s="110">
        <v>4.7207001997726802E-2</v>
      </c>
      <c r="G82" s="110">
        <v>0.10358549136440343</v>
      </c>
      <c r="H82" s="109">
        <v>0.51954491351855636</v>
      </c>
      <c r="I82" s="127">
        <v>0.19039643136708237</v>
      </c>
      <c r="J82" s="127">
        <v>6.2388882335910445E-2</v>
      </c>
      <c r="K82" s="127">
        <v>5.3510192264387663E-2</v>
      </c>
      <c r="L82" s="127">
        <v>4.3735054741199049E-2</v>
      </c>
      <c r="M82" s="127">
        <v>9.5967058773067979E-2</v>
      </c>
      <c r="N82" s="111">
        <v>7.3547294036908753E-2</v>
      </c>
      <c r="O82" s="112">
        <v>431.99100000000004</v>
      </c>
      <c r="P82" s="113">
        <v>34.293999999999997</v>
      </c>
      <c r="Q82" s="106">
        <v>0</v>
      </c>
      <c r="S82" s="286">
        <f t="shared" si="10"/>
        <v>23.701209608333333</v>
      </c>
      <c r="T82" s="272">
        <v>835.10833333333335</v>
      </c>
      <c r="U82" s="194">
        <f>14.05*2020</f>
        <v>28381</v>
      </c>
      <c r="V82" s="290">
        <f>'US-CBCR-2020'!K63</f>
        <v>81948.733600000007</v>
      </c>
      <c r="W82" s="283">
        <f t="shared" si="11"/>
        <v>2.3257870083015999</v>
      </c>
      <c r="X82" s="282">
        <f t="shared" si="12"/>
        <v>14.745116331629655</v>
      </c>
      <c r="Y82" s="285">
        <f>'US-CBCR-2020'!G63/1000000000</f>
        <v>0.4378550531821</v>
      </c>
      <c r="Z82" s="284">
        <f>Y82/P82</f>
        <v>1.2767686860153381E-2</v>
      </c>
    </row>
    <row r="83" spans="1:26" x14ac:dyDescent="0.2">
      <c r="A83" s="108">
        <v>2021</v>
      </c>
      <c r="B83" s="109">
        <v>0.42399536629533036</v>
      </c>
      <c r="C83" s="110">
        <v>0.15783393830729858</v>
      </c>
      <c r="D83" s="110">
        <v>7.1640198038810526E-2</v>
      </c>
      <c r="E83" s="110">
        <v>5.6479783673675253E-2</v>
      </c>
      <c r="F83" s="110">
        <v>4.9151761962946634E-2</v>
      </c>
      <c r="G83" s="110">
        <v>8.8889684312599346E-2</v>
      </c>
      <c r="H83" s="109">
        <v>0.45233528043166182</v>
      </c>
      <c r="I83" s="127">
        <v>0.15006837532795408</v>
      </c>
      <c r="J83" s="127">
        <v>6.8115439829711411E-2</v>
      </c>
      <c r="K83" s="127">
        <v>5.3700930646997679E-2</v>
      </c>
      <c r="L83" s="127">
        <v>4.6733453789416374E-2</v>
      </c>
      <c r="M83" s="127">
        <v>8.4516236819959414E-2</v>
      </c>
      <c r="N83" s="111">
        <v>4.920084401762289E-2</v>
      </c>
      <c r="O83" s="112">
        <v>614.62700000000007</v>
      </c>
      <c r="P83" s="113">
        <v>31.805</v>
      </c>
      <c r="Q83" s="106">
        <v>0</v>
      </c>
      <c r="S83" s="286">
        <f t="shared" si="10"/>
        <v>25.450893040000004</v>
      </c>
      <c r="T83" s="272">
        <v>879.85</v>
      </c>
      <c r="U83" s="194">
        <f>14.32*2020</f>
        <v>28926.400000000001</v>
      </c>
      <c r="V83" s="291"/>
      <c r="Z83" s="98"/>
    </row>
    <row r="84" spans="1:26" x14ac:dyDescent="0.2">
      <c r="A84" s="108">
        <v>2022</v>
      </c>
      <c r="B84" s="109">
        <v>0.38628722434060764</v>
      </c>
      <c r="C84" s="110">
        <v>0.14614561566025405</v>
      </c>
      <c r="D84" s="110">
        <v>6.633634215874247E-2</v>
      </c>
      <c r="E84" s="110">
        <v>5.4308221489763532E-2</v>
      </c>
      <c r="F84" s="110">
        <v>3.2725105380698997E-2</v>
      </c>
      <c r="G84" s="110">
        <v>8.67719396511486E-2</v>
      </c>
      <c r="H84" s="109">
        <v>0.4130959084728536</v>
      </c>
      <c r="I84" s="127">
        <v>0.13976156793802963</v>
      </c>
      <c r="J84" s="127">
        <v>6.3438585889107127E-2</v>
      </c>
      <c r="K84" s="127">
        <v>5.1935887046931022E-2</v>
      </c>
      <c r="L84" s="127">
        <v>3.1295581590188033E-2</v>
      </c>
      <c r="M84" s="127">
        <v>8.2981499539892048E-2</v>
      </c>
      <c r="N84" s="111">
        <v>4.3682786468705791E-2</v>
      </c>
      <c r="O84" s="112">
        <v>696.28500000000008</v>
      </c>
      <c r="P84" s="113">
        <v>31.805</v>
      </c>
      <c r="Q84" s="106"/>
      <c r="S84" s="286">
        <f t="shared" si="10"/>
        <v>27.827789333333335</v>
      </c>
      <c r="T84" s="272">
        <v>923.33333333333337</v>
      </c>
      <c r="U84" s="194">
        <f>14.92*2020</f>
        <v>30138.400000000001</v>
      </c>
      <c r="V84" s="291"/>
      <c r="Z84" s="98"/>
    </row>
    <row r="85" spans="1:26" x14ac:dyDescent="0.2">
      <c r="A85" s="280">
        <v>2023</v>
      </c>
      <c r="B85" s="484">
        <f>SUM(C85:G85)</f>
        <v>0.39930466427800071</v>
      </c>
      <c r="C85" s="110">
        <f>'BEA2023_Table.II.F1'!D22/1000/('Wright-Zucman'!O85)</f>
        <v>0.18606533847114237</v>
      </c>
      <c r="D85" s="110">
        <f>(('BEA2023_Table.II.F1'!D24+'BEA2023_Table.II.F1'!D25)/1000)/'Wright-Zucman'!O85</f>
        <v>5.2286876867252849E-2</v>
      </c>
      <c r="E85" s="110">
        <f>'BEA2023_Table.II.F1'!D33/1000/'Wright-Zucman'!O85</f>
        <v>4.3731118627797945E-2</v>
      </c>
      <c r="F85" s="110">
        <f>SUM('BEA2023_Table.II.F1'!D58:D62)/1000/(O85)</f>
        <v>4.0214949566136637E-2</v>
      </c>
      <c r="G85" s="110">
        <f>'BEA2023_Table.II.F1'!D86/1000/(O85)</f>
        <v>7.7006380745670872E-2</v>
      </c>
      <c r="H85" s="484">
        <f>SUM(I85:N85)</f>
        <v>0.42809311663809546</v>
      </c>
      <c r="I85" s="127">
        <f>'BEA2023_Table.II.F1'!D22/1000/('Wright-Zucman'!O85+'Wright-Zucman'!P85)</f>
        <v>0.1771481173543791</v>
      </c>
      <c r="J85" s="127">
        <f>(('BEA2023_Table.II.F1'!D24+'BEA2023_Table.II.F1'!D25)/1000)/('Wright-Zucman'!O85+P85)</f>
        <v>4.9781017117331822E-2</v>
      </c>
      <c r="K85" s="127">
        <f>'BEA2023_Table.II.F1'!D33/1000/('Wright-Zucman'!O85+P85)</f>
        <v>4.1635295420253252E-2</v>
      </c>
      <c r="L85" s="127">
        <f>SUM('BEA2023_Table.II.F1'!D58:D62)/1000/(O85+P85)</f>
        <v>3.8287639512435578E-2</v>
      </c>
      <c r="M85" s="127">
        <f>'BEA2023_Table.II.F1'!D86/1000/(O85+P85)</f>
        <v>7.3315833488706572E-2</v>
      </c>
      <c r="N85" s="127">
        <f>P85/(O85+P85)</f>
        <v>4.7925213744989162E-2</v>
      </c>
      <c r="O85" s="112">
        <v>658.38699999999994</v>
      </c>
      <c r="P85" s="113">
        <v>33.141658782958984</v>
      </c>
      <c r="Q85" s="106"/>
      <c r="S85" s="485"/>
      <c r="T85" s="272"/>
      <c r="U85" s="194"/>
    </row>
    <row r="86" spans="1:26" s="129" customFormat="1" ht="17" thickBot="1" x14ac:dyDescent="0.25"/>
    <row r="87" spans="1:26" s="129" customFormat="1" x14ac:dyDescent="0.2">
      <c r="A87" s="557" t="s">
        <v>506</v>
      </c>
      <c r="B87" s="558"/>
      <c r="C87" s="558"/>
      <c r="D87" s="558"/>
      <c r="E87" s="558"/>
      <c r="F87" s="558"/>
      <c r="G87" s="558"/>
      <c r="H87" s="558"/>
      <c r="I87" s="558"/>
      <c r="J87" s="558"/>
      <c r="K87" s="558"/>
      <c r="L87" s="558"/>
      <c r="M87" s="558"/>
      <c r="N87" s="558"/>
      <c r="O87" s="558"/>
      <c r="P87" s="559"/>
    </row>
    <row r="88" spans="1:26" s="129" customFormat="1" x14ac:dyDescent="0.2">
      <c r="A88" s="130" t="s">
        <v>507</v>
      </c>
      <c r="B88" s="95"/>
      <c r="C88" s="95"/>
      <c r="D88" s="95"/>
      <c r="E88" s="95"/>
      <c r="F88" s="95"/>
      <c r="G88" s="95"/>
      <c r="H88" s="95"/>
      <c r="P88" s="131"/>
    </row>
    <row r="89" spans="1:26" x14ac:dyDescent="0.2">
      <c r="A89" s="130" t="s">
        <v>508</v>
      </c>
      <c r="I89" s="129"/>
      <c r="J89" s="129"/>
      <c r="K89" s="129"/>
      <c r="L89" s="129"/>
      <c r="M89" s="129"/>
      <c r="N89" s="129"/>
      <c r="O89" s="129"/>
      <c r="P89" s="131"/>
    </row>
    <row r="90" spans="1:26" s="129" customFormat="1" ht="17" thickBot="1" x14ac:dyDescent="0.25">
      <c r="A90" s="132" t="s">
        <v>1116</v>
      </c>
      <c r="B90" s="133"/>
      <c r="C90" s="133"/>
      <c r="D90" s="133"/>
      <c r="E90" s="133"/>
      <c r="F90" s="133"/>
      <c r="G90" s="133"/>
      <c r="H90" s="133"/>
      <c r="I90" s="134"/>
      <c r="J90" s="134"/>
      <c r="K90" s="134"/>
      <c r="L90" s="134"/>
      <c r="M90" s="134"/>
      <c r="N90" s="134"/>
      <c r="O90" s="134"/>
      <c r="P90" s="135"/>
    </row>
    <row r="93" spans="1:26" x14ac:dyDescent="0.2">
      <c r="I93" s="504">
        <v>201715</v>
      </c>
      <c r="J93" s="504">
        <v>96458</v>
      </c>
      <c r="K93" s="504">
        <v>65872</v>
      </c>
      <c r="L93" s="504">
        <v>101183</v>
      </c>
      <c r="M93" s="504">
        <v>78132</v>
      </c>
    </row>
    <row r="94" spans="1:26" x14ac:dyDescent="0.2">
      <c r="J94" s="504">
        <v>244282</v>
      </c>
    </row>
    <row r="96" spans="1:26" x14ac:dyDescent="0.2">
      <c r="I96" s="95">
        <f>I93/1000</f>
        <v>201.715</v>
      </c>
      <c r="J96" s="95">
        <f>(J93+J94)/1000</f>
        <v>340.74</v>
      </c>
      <c r="K96" s="95">
        <f>K93/1000</f>
        <v>65.872</v>
      </c>
      <c r="L96" s="95">
        <f>L93/1000</f>
        <v>101.18300000000001</v>
      </c>
      <c r="M96" s="95">
        <f>M93/1000</f>
        <v>78.132000000000005</v>
      </c>
      <c r="N96" s="95">
        <v>33.141658782958984</v>
      </c>
    </row>
  </sheetData>
  <mergeCells count="21">
    <mergeCell ref="S7:U7"/>
    <mergeCell ref="U8:U9"/>
    <mergeCell ref="V8:V9"/>
    <mergeCell ref="W8:W9"/>
    <mergeCell ref="X8:X9"/>
    <mergeCell ref="S6:Z6"/>
    <mergeCell ref="A87:P87"/>
    <mergeCell ref="A3:P3"/>
    <mergeCell ref="B6:G6"/>
    <mergeCell ref="H6:N6"/>
    <mergeCell ref="O6:O9"/>
    <mergeCell ref="P6:P9"/>
    <mergeCell ref="B7:G7"/>
    <mergeCell ref="H7:N7"/>
    <mergeCell ref="B8:B9"/>
    <mergeCell ref="H8:H9"/>
    <mergeCell ref="Y8:Y9"/>
    <mergeCell ref="Z8:Z9"/>
    <mergeCell ref="V7:Z7"/>
    <mergeCell ref="T8:T9"/>
    <mergeCell ref="S8:S9"/>
  </mergeCells>
  <pageMargins left="0.75" right="0.75" top="1" bottom="1" header="0.5" footer="0.5"/>
  <pageSetup scale="48" orientation="portrait" horizontalDpi="4294967292" verticalDpi="4294967292" r:id="rId1"/>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B8DF6-6AD1-4BBD-A09B-FD1AF14881C9}">
  <sheetPr>
    <tabColor theme="7" tint="0.39997558519241921"/>
  </sheetPr>
  <dimension ref="A1:L94"/>
  <sheetViews>
    <sheetView zoomScale="73" workbookViewId="0">
      <selection activeCell="H1" sqref="H1"/>
    </sheetView>
  </sheetViews>
  <sheetFormatPr baseColWidth="10" defaultColWidth="8.83203125" defaultRowHeight="16" x14ac:dyDescent="0.2"/>
  <cols>
    <col min="1" max="8" width="19.6640625" customWidth="1"/>
    <col min="10" max="11" width="12" customWidth="1"/>
    <col min="12" max="12" width="12.83203125" customWidth="1"/>
  </cols>
  <sheetData>
    <row r="1" spans="1:12" x14ac:dyDescent="0.2">
      <c r="A1" s="1" t="s">
        <v>1092</v>
      </c>
      <c r="B1" s="1"/>
      <c r="C1" s="1"/>
      <c r="D1" s="1"/>
      <c r="E1" s="1"/>
      <c r="F1" s="1"/>
      <c r="G1" s="1"/>
      <c r="H1" s="1"/>
    </row>
    <row r="3" spans="1:12" x14ac:dyDescent="0.2">
      <c r="A3" s="585" t="s">
        <v>1093</v>
      </c>
      <c r="B3" s="586"/>
      <c r="C3" s="586"/>
      <c r="D3" s="586"/>
      <c r="E3" s="586"/>
      <c r="F3" s="586"/>
      <c r="G3" s="586"/>
      <c r="H3" s="1"/>
    </row>
    <row r="4" spans="1:12" x14ac:dyDescent="0.2">
      <c r="A4" s="587" t="s">
        <v>1094</v>
      </c>
      <c r="B4" s="586"/>
      <c r="C4" s="586"/>
      <c r="D4" s="586"/>
      <c r="E4" s="586"/>
      <c r="F4" s="586"/>
      <c r="G4" s="586"/>
      <c r="H4" s="1"/>
    </row>
    <row r="5" spans="1:12" ht="32" x14ac:dyDescent="0.2">
      <c r="A5" s="588" t="s">
        <v>1095</v>
      </c>
      <c r="B5" s="505" t="s">
        <v>523</v>
      </c>
      <c r="C5" s="505" t="s">
        <v>1096</v>
      </c>
      <c r="D5" s="505" t="s">
        <v>1097</v>
      </c>
      <c r="E5" s="505" t="s">
        <v>1098</v>
      </c>
      <c r="F5" s="505" t="s">
        <v>1099</v>
      </c>
      <c r="G5" s="505" t="s">
        <v>1100</v>
      </c>
      <c r="H5" s="519"/>
      <c r="J5" s="517" t="s">
        <v>1117</v>
      </c>
      <c r="K5" s="517" t="s">
        <v>1118</v>
      </c>
      <c r="L5" s="519" t="s">
        <v>1122</v>
      </c>
    </row>
    <row r="6" spans="1:12" x14ac:dyDescent="0.2">
      <c r="A6" s="588" t="s">
        <v>1095</v>
      </c>
      <c r="B6" s="505" t="s">
        <v>524</v>
      </c>
      <c r="C6" s="505" t="s">
        <v>525</v>
      </c>
      <c r="D6" s="505" t="s">
        <v>526</v>
      </c>
      <c r="E6" s="505" t="s">
        <v>527</v>
      </c>
      <c r="F6" s="505" t="s">
        <v>528</v>
      </c>
      <c r="G6" s="505" t="s">
        <v>529</v>
      </c>
      <c r="H6" s="519"/>
      <c r="I6" s="519" t="s">
        <v>1119</v>
      </c>
      <c r="J6" s="515">
        <f>D24+D22+D25+D33+D86+SUM(D58:D62)</f>
        <v>262897</v>
      </c>
      <c r="K6" s="515">
        <f>D7-J6</f>
        <v>395490</v>
      </c>
      <c r="L6" s="515">
        <f>K6-SUM(D72:D74)</f>
        <v>384313</v>
      </c>
    </row>
    <row r="7" spans="1:12" x14ac:dyDescent="0.2">
      <c r="A7" s="509" t="s">
        <v>1101</v>
      </c>
      <c r="B7" s="513">
        <v>1645556</v>
      </c>
      <c r="C7" s="513">
        <v>706529</v>
      </c>
      <c r="D7" s="513">
        <v>658387</v>
      </c>
      <c r="E7" s="513">
        <v>-64275</v>
      </c>
      <c r="F7" s="513">
        <v>193714</v>
      </c>
      <c r="G7" s="513">
        <v>151201</v>
      </c>
      <c r="H7" s="520"/>
      <c r="I7" t="s">
        <v>1120</v>
      </c>
      <c r="J7" s="515">
        <f>C24+C22+C25+C33+C86+SUM(C58:C62)</f>
        <v>75052</v>
      </c>
      <c r="K7" s="515">
        <f>C7-J7</f>
        <v>631477</v>
      </c>
      <c r="L7" s="515">
        <f>K7-SUM(C72:C74)</f>
        <v>622958</v>
      </c>
    </row>
    <row r="8" spans="1:12" x14ac:dyDescent="0.2">
      <c r="A8" s="510" t="s">
        <v>1095</v>
      </c>
      <c r="B8" s="514" t="s">
        <v>1095</v>
      </c>
      <c r="C8" s="514" t="s">
        <v>1095</v>
      </c>
      <c r="D8" s="514" t="s">
        <v>1095</v>
      </c>
      <c r="E8" s="514" t="s">
        <v>1095</v>
      </c>
      <c r="F8" s="514" t="s">
        <v>1095</v>
      </c>
      <c r="G8" s="514" t="s">
        <v>1095</v>
      </c>
      <c r="H8" s="521"/>
      <c r="I8" t="s">
        <v>1121</v>
      </c>
      <c r="J8" s="518">
        <f>J6/J7</f>
        <v>3.5028646804881949</v>
      </c>
      <c r="K8" s="518">
        <f>K6/K7</f>
        <v>0.62629359422433439</v>
      </c>
      <c r="L8" s="518">
        <f>L6/L7</f>
        <v>0.61691638922688208</v>
      </c>
    </row>
    <row r="9" spans="1:12" x14ac:dyDescent="0.2">
      <c r="A9" s="510" t="s">
        <v>1102</v>
      </c>
      <c r="B9" s="513">
        <v>145101</v>
      </c>
      <c r="C9" s="513">
        <v>66685</v>
      </c>
      <c r="D9" s="513">
        <v>44564</v>
      </c>
      <c r="E9" s="513">
        <v>-2417</v>
      </c>
      <c r="F9" s="513">
        <v>21839</v>
      </c>
      <c r="G9" s="513">
        <v>14430</v>
      </c>
      <c r="H9" s="520"/>
    </row>
    <row r="10" spans="1:12" x14ac:dyDescent="0.2">
      <c r="A10" s="510" t="s">
        <v>1095</v>
      </c>
      <c r="B10" s="514" t="s">
        <v>1095</v>
      </c>
      <c r="C10" s="514" t="s">
        <v>1095</v>
      </c>
      <c r="D10" s="514" t="s">
        <v>1095</v>
      </c>
      <c r="E10" s="514" t="s">
        <v>1095</v>
      </c>
      <c r="F10" s="514" t="s">
        <v>1095</v>
      </c>
      <c r="G10" s="514" t="s">
        <v>1095</v>
      </c>
      <c r="H10" s="521"/>
    </row>
    <row r="11" spans="1:12" x14ac:dyDescent="0.2">
      <c r="A11" s="510" t="s">
        <v>1103</v>
      </c>
      <c r="B11" s="513">
        <v>782373</v>
      </c>
      <c r="C11" s="513">
        <v>342984</v>
      </c>
      <c r="D11" s="513">
        <v>304824</v>
      </c>
      <c r="E11" s="513">
        <v>-14695</v>
      </c>
      <c r="F11" s="513">
        <v>93267</v>
      </c>
      <c r="G11" s="513">
        <v>55993</v>
      </c>
      <c r="H11" s="520"/>
    </row>
    <row r="12" spans="1:12" x14ac:dyDescent="0.2">
      <c r="A12" s="506" t="s">
        <v>187</v>
      </c>
      <c r="B12" s="504">
        <v>4786</v>
      </c>
      <c r="C12" s="504">
        <v>2683</v>
      </c>
      <c r="D12" s="504">
        <v>418</v>
      </c>
      <c r="E12" s="504">
        <v>94</v>
      </c>
      <c r="F12" s="504">
        <v>1057</v>
      </c>
      <c r="G12" s="504">
        <v>535</v>
      </c>
      <c r="H12" s="522"/>
    </row>
    <row r="13" spans="1:12" x14ac:dyDescent="0.2">
      <c r="A13" s="506" t="s">
        <v>65</v>
      </c>
      <c r="B13" s="504">
        <v>31029</v>
      </c>
      <c r="C13" s="504">
        <v>11960</v>
      </c>
      <c r="D13" s="504">
        <v>10358</v>
      </c>
      <c r="E13" s="504">
        <v>-27</v>
      </c>
      <c r="F13" s="504">
        <v>6315</v>
      </c>
      <c r="G13" s="504">
        <v>2423</v>
      </c>
      <c r="H13" s="522"/>
    </row>
    <row r="14" spans="1:12" x14ac:dyDescent="0.2">
      <c r="A14" s="506" t="s">
        <v>572</v>
      </c>
      <c r="B14" s="504">
        <v>5431</v>
      </c>
      <c r="C14" s="504">
        <v>2613</v>
      </c>
      <c r="D14" s="504">
        <v>1080</v>
      </c>
      <c r="E14" s="514" t="s">
        <v>1104</v>
      </c>
      <c r="F14" s="514" t="s">
        <v>1104</v>
      </c>
      <c r="G14" s="504">
        <v>619</v>
      </c>
      <c r="H14" s="522"/>
    </row>
    <row r="15" spans="1:12" x14ac:dyDescent="0.2">
      <c r="A15" s="506" t="s">
        <v>190</v>
      </c>
      <c r="B15" s="504">
        <v>3887</v>
      </c>
      <c r="C15" s="504">
        <v>3062</v>
      </c>
      <c r="D15" s="504">
        <v>107</v>
      </c>
      <c r="E15" s="504">
        <v>-27</v>
      </c>
      <c r="F15" s="504">
        <v>341</v>
      </c>
      <c r="G15" s="504">
        <v>403</v>
      </c>
      <c r="H15" s="522"/>
    </row>
    <row r="16" spans="1:12" x14ac:dyDescent="0.2">
      <c r="A16" s="506" t="s">
        <v>192</v>
      </c>
      <c r="B16" s="504">
        <v>3002</v>
      </c>
      <c r="C16" s="504">
        <v>1627</v>
      </c>
      <c r="D16" s="504">
        <v>170</v>
      </c>
      <c r="E16" s="514" t="s">
        <v>1104</v>
      </c>
      <c r="F16" s="514" t="s">
        <v>1104</v>
      </c>
      <c r="G16" s="504">
        <v>292</v>
      </c>
      <c r="H16" s="522"/>
    </row>
    <row r="17" spans="1:8" x14ac:dyDescent="0.2">
      <c r="A17" s="506" t="s">
        <v>71</v>
      </c>
      <c r="B17" s="504">
        <v>55611</v>
      </c>
      <c r="C17" s="504">
        <v>35090</v>
      </c>
      <c r="D17" s="504">
        <v>9547</v>
      </c>
      <c r="E17" s="504">
        <v>397</v>
      </c>
      <c r="F17" s="504">
        <v>6415</v>
      </c>
      <c r="G17" s="504">
        <v>4161</v>
      </c>
      <c r="H17" s="522"/>
    </row>
    <row r="18" spans="1:8" x14ac:dyDescent="0.2">
      <c r="A18" s="510" t="s">
        <v>1095</v>
      </c>
      <c r="B18" s="514" t="s">
        <v>1095</v>
      </c>
      <c r="C18" s="514" t="s">
        <v>1095</v>
      </c>
      <c r="D18" s="514" t="s">
        <v>1095</v>
      </c>
      <c r="E18" s="514" t="s">
        <v>1095</v>
      </c>
      <c r="F18" s="514" t="s">
        <v>1095</v>
      </c>
      <c r="G18" s="514" t="s">
        <v>1095</v>
      </c>
      <c r="H18" s="521"/>
    </row>
    <row r="19" spans="1:8" x14ac:dyDescent="0.2">
      <c r="A19" s="506" t="s">
        <v>75</v>
      </c>
      <c r="B19" s="504">
        <v>92054</v>
      </c>
      <c r="C19" s="504">
        <v>50333</v>
      </c>
      <c r="D19" s="504">
        <v>16321</v>
      </c>
      <c r="E19" s="504">
        <v>5726</v>
      </c>
      <c r="F19" s="504">
        <v>12576</v>
      </c>
      <c r="G19" s="504">
        <v>7098</v>
      </c>
      <c r="H19" s="522"/>
    </row>
    <row r="20" spans="1:8" x14ac:dyDescent="0.2">
      <c r="A20" s="506" t="s">
        <v>193</v>
      </c>
      <c r="B20" s="504">
        <v>2622</v>
      </c>
      <c r="C20" s="504">
        <v>912</v>
      </c>
      <c r="D20" s="504">
        <v>422</v>
      </c>
      <c r="E20" s="514" t="s">
        <v>1104</v>
      </c>
      <c r="F20" s="514" t="s">
        <v>1104</v>
      </c>
      <c r="G20" s="504">
        <v>170</v>
      </c>
      <c r="H20" s="522"/>
    </row>
    <row r="21" spans="1:8" x14ac:dyDescent="0.2">
      <c r="A21" s="506" t="s">
        <v>194</v>
      </c>
      <c r="B21" s="504">
        <v>4904</v>
      </c>
      <c r="C21" s="504">
        <v>1903</v>
      </c>
      <c r="D21" s="504">
        <v>2706</v>
      </c>
      <c r="E21" s="504">
        <v>-1242</v>
      </c>
      <c r="F21" s="504">
        <v>1079</v>
      </c>
      <c r="G21" s="504">
        <v>458</v>
      </c>
      <c r="H21" s="522"/>
    </row>
    <row r="22" spans="1:8" x14ac:dyDescent="0.2">
      <c r="A22" s="506" t="s">
        <v>59</v>
      </c>
      <c r="B22" s="504">
        <v>143485</v>
      </c>
      <c r="C22" s="504">
        <v>15664</v>
      </c>
      <c r="D22" s="504">
        <v>122503</v>
      </c>
      <c r="E22" s="504">
        <v>-2994</v>
      </c>
      <c r="F22" s="504">
        <v>1988</v>
      </c>
      <c r="G22" s="504">
        <v>6323</v>
      </c>
      <c r="H22" s="522"/>
    </row>
    <row r="23" spans="1:8" x14ac:dyDescent="0.2">
      <c r="A23" s="506" t="s">
        <v>74</v>
      </c>
      <c r="B23" s="504">
        <v>32993</v>
      </c>
      <c r="C23" s="504">
        <v>17159</v>
      </c>
      <c r="D23" s="504">
        <v>7195</v>
      </c>
      <c r="E23" s="504">
        <v>139</v>
      </c>
      <c r="F23" s="504">
        <v>5876</v>
      </c>
      <c r="G23" s="504">
        <v>2624</v>
      </c>
      <c r="H23" s="522"/>
    </row>
    <row r="24" spans="1:8" x14ac:dyDescent="0.2">
      <c r="A24" s="506" t="s">
        <v>60</v>
      </c>
      <c r="B24" s="504">
        <v>6491</v>
      </c>
      <c r="C24" s="504">
        <v>2083</v>
      </c>
      <c r="D24" s="504">
        <v>3629</v>
      </c>
      <c r="E24" s="504">
        <v>-2530</v>
      </c>
      <c r="F24" s="504">
        <v>2850</v>
      </c>
      <c r="G24" s="504">
        <v>460</v>
      </c>
      <c r="H24" s="522"/>
    </row>
    <row r="25" spans="1:8" x14ac:dyDescent="0.2">
      <c r="A25" s="506" t="s">
        <v>64</v>
      </c>
      <c r="B25" s="504">
        <v>51187</v>
      </c>
      <c r="C25" s="504">
        <v>19445</v>
      </c>
      <c r="D25" s="504">
        <v>30796</v>
      </c>
      <c r="E25" s="504">
        <v>-8147</v>
      </c>
      <c r="F25" s="504">
        <v>4537</v>
      </c>
      <c r="G25" s="504">
        <v>4556</v>
      </c>
      <c r="H25" s="522"/>
    </row>
    <row r="26" spans="1:8" x14ac:dyDescent="0.2">
      <c r="A26" s="510" t="s">
        <v>1095</v>
      </c>
      <c r="B26" s="514" t="s">
        <v>1095</v>
      </c>
      <c r="C26" s="514" t="s">
        <v>1095</v>
      </c>
      <c r="D26" s="514" t="s">
        <v>1095</v>
      </c>
      <c r="E26" s="514" t="s">
        <v>1095</v>
      </c>
      <c r="F26" s="514" t="s">
        <v>1095</v>
      </c>
      <c r="G26" s="514" t="s">
        <v>1095</v>
      </c>
      <c r="H26" s="521"/>
    </row>
    <row r="27" spans="1:8" x14ac:dyDescent="0.2">
      <c r="A27" s="506" t="s">
        <v>200</v>
      </c>
      <c r="B27" s="504">
        <v>11738</v>
      </c>
      <c r="C27" s="504">
        <v>3234</v>
      </c>
      <c r="D27" s="504">
        <v>6026</v>
      </c>
      <c r="E27" s="504">
        <v>-331</v>
      </c>
      <c r="F27" s="504">
        <v>1887</v>
      </c>
      <c r="G27" s="504">
        <v>922</v>
      </c>
      <c r="H27" s="522"/>
    </row>
    <row r="28" spans="1:8" x14ac:dyDescent="0.2">
      <c r="A28" s="506" t="s">
        <v>580</v>
      </c>
      <c r="B28" s="504">
        <v>14499</v>
      </c>
      <c r="C28" s="504">
        <v>7285</v>
      </c>
      <c r="D28" s="504">
        <v>2379</v>
      </c>
      <c r="E28" s="504">
        <v>-212</v>
      </c>
      <c r="F28" s="504">
        <v>3132</v>
      </c>
      <c r="G28" s="504">
        <v>1916</v>
      </c>
      <c r="H28" s="522"/>
    </row>
    <row r="29" spans="1:8" x14ac:dyDescent="0.2">
      <c r="A29" s="506" t="s">
        <v>202</v>
      </c>
      <c r="B29" s="504">
        <v>4028</v>
      </c>
      <c r="C29" s="504">
        <v>1550</v>
      </c>
      <c r="D29" s="504">
        <v>732</v>
      </c>
      <c r="E29" s="514" t="s">
        <v>1104</v>
      </c>
      <c r="F29" s="514" t="s">
        <v>1104</v>
      </c>
      <c r="G29" s="504">
        <v>365</v>
      </c>
      <c r="H29" s="522"/>
    </row>
    <row r="30" spans="1:8" x14ac:dyDescent="0.2">
      <c r="A30" s="506" t="s">
        <v>87</v>
      </c>
      <c r="B30" s="504">
        <v>6920</v>
      </c>
      <c r="C30" s="504">
        <v>2413</v>
      </c>
      <c r="D30" s="504">
        <v>922</v>
      </c>
      <c r="E30" s="514" t="s">
        <v>1104</v>
      </c>
      <c r="F30" s="514" t="s">
        <v>1104</v>
      </c>
      <c r="G30" s="504">
        <v>530</v>
      </c>
      <c r="H30" s="522"/>
    </row>
    <row r="31" spans="1:8" x14ac:dyDescent="0.2">
      <c r="A31" s="506" t="s">
        <v>72</v>
      </c>
      <c r="B31" s="504">
        <v>19452</v>
      </c>
      <c r="C31" s="504">
        <v>12783</v>
      </c>
      <c r="D31" s="504">
        <v>4329</v>
      </c>
      <c r="E31" s="504">
        <v>-881</v>
      </c>
      <c r="F31" s="504">
        <v>849</v>
      </c>
      <c r="G31" s="504">
        <v>2371</v>
      </c>
      <c r="H31" s="522"/>
    </row>
    <row r="32" spans="1:8" x14ac:dyDescent="0.2">
      <c r="A32" s="506" t="s">
        <v>205</v>
      </c>
      <c r="B32" s="504">
        <v>9852</v>
      </c>
      <c r="C32" s="504">
        <v>5385</v>
      </c>
      <c r="D32" s="504">
        <v>3151</v>
      </c>
      <c r="E32" s="504">
        <v>-99</v>
      </c>
      <c r="F32" s="504">
        <v>336</v>
      </c>
      <c r="G32" s="504">
        <v>1079</v>
      </c>
      <c r="H32" s="522"/>
    </row>
    <row r="33" spans="1:8" x14ac:dyDescent="0.2">
      <c r="A33" s="506" t="s">
        <v>61</v>
      </c>
      <c r="B33" s="504">
        <v>45705</v>
      </c>
      <c r="C33" s="504">
        <v>14316</v>
      </c>
      <c r="D33" s="504">
        <v>28792</v>
      </c>
      <c r="E33" s="504">
        <v>-937</v>
      </c>
      <c r="F33" s="504">
        <v>1682</v>
      </c>
      <c r="G33" s="504">
        <v>1852</v>
      </c>
      <c r="H33" s="522"/>
    </row>
    <row r="34" spans="1:8" x14ac:dyDescent="0.2">
      <c r="A34" s="506" t="s">
        <v>85</v>
      </c>
      <c r="B34" s="504">
        <v>8295</v>
      </c>
      <c r="C34" s="504">
        <v>1758</v>
      </c>
      <c r="D34" s="504">
        <v>891</v>
      </c>
      <c r="E34" s="514" t="s">
        <v>1104</v>
      </c>
      <c r="F34" s="514" t="s">
        <v>1104</v>
      </c>
      <c r="G34" s="504">
        <v>279</v>
      </c>
      <c r="H34" s="522"/>
    </row>
    <row r="35" spans="1:8" x14ac:dyDescent="0.2">
      <c r="A35" s="506" t="s">
        <v>70</v>
      </c>
      <c r="B35" s="504">
        <v>197932</v>
      </c>
      <c r="C35" s="504">
        <v>123509</v>
      </c>
      <c r="D35" s="504">
        <v>40816</v>
      </c>
      <c r="E35" s="504">
        <v>-3531</v>
      </c>
      <c r="F35" s="504">
        <v>23905</v>
      </c>
      <c r="G35" s="504">
        <v>13234</v>
      </c>
      <c r="H35" s="522"/>
    </row>
    <row r="36" spans="1:8" x14ac:dyDescent="0.2">
      <c r="A36" s="506" t="s">
        <v>225</v>
      </c>
      <c r="B36" s="504">
        <v>26468</v>
      </c>
      <c r="C36" s="504">
        <v>6217</v>
      </c>
      <c r="D36" s="504">
        <v>11534</v>
      </c>
      <c r="E36" s="504">
        <v>-24</v>
      </c>
      <c r="F36" s="504">
        <v>5421</v>
      </c>
      <c r="G36" s="504">
        <v>3320</v>
      </c>
      <c r="H36" s="522"/>
    </row>
    <row r="37" spans="1:8" x14ac:dyDescent="0.2">
      <c r="A37" s="510" t="s">
        <v>1095</v>
      </c>
      <c r="B37" s="514" t="s">
        <v>1095</v>
      </c>
      <c r="C37" s="514" t="s">
        <v>1095</v>
      </c>
      <c r="D37" s="514" t="s">
        <v>1095</v>
      </c>
      <c r="E37" s="514" t="s">
        <v>1095</v>
      </c>
      <c r="F37" s="514" t="s">
        <v>1095</v>
      </c>
      <c r="G37" s="514" t="s">
        <v>1095</v>
      </c>
      <c r="H37" s="521"/>
    </row>
    <row r="38" spans="1:8" x14ac:dyDescent="0.2">
      <c r="A38" s="510" t="s">
        <v>1105</v>
      </c>
      <c r="B38" s="513">
        <v>193843</v>
      </c>
      <c r="C38" s="513">
        <v>75046</v>
      </c>
      <c r="D38" s="513">
        <v>94463</v>
      </c>
      <c r="E38" s="513">
        <v>-21754</v>
      </c>
      <c r="F38" s="513">
        <v>20841</v>
      </c>
      <c r="G38" s="513">
        <v>25246</v>
      </c>
      <c r="H38" s="520"/>
    </row>
    <row r="39" spans="1:8" x14ac:dyDescent="0.2">
      <c r="A39" s="510" t="s">
        <v>1095</v>
      </c>
      <c r="B39" s="514" t="s">
        <v>1095</v>
      </c>
      <c r="C39" s="514" t="s">
        <v>1095</v>
      </c>
      <c r="D39" s="514" t="s">
        <v>1095</v>
      </c>
      <c r="E39" s="514" t="s">
        <v>1095</v>
      </c>
      <c r="F39" s="514" t="s">
        <v>1095</v>
      </c>
      <c r="G39" s="514" t="s">
        <v>1095</v>
      </c>
      <c r="H39" s="521"/>
    </row>
    <row r="40" spans="1:8" x14ac:dyDescent="0.2">
      <c r="A40" s="506" t="s">
        <v>1106</v>
      </c>
      <c r="B40" s="504">
        <v>88102</v>
      </c>
      <c r="C40" s="504">
        <v>33251</v>
      </c>
      <c r="D40" s="504">
        <v>35241</v>
      </c>
      <c r="E40" s="504">
        <v>-2571</v>
      </c>
      <c r="F40" s="504">
        <v>10620</v>
      </c>
      <c r="G40" s="504">
        <v>11561</v>
      </c>
      <c r="H40" s="522"/>
    </row>
    <row r="41" spans="1:8" x14ac:dyDescent="0.2">
      <c r="A41" s="511" t="s">
        <v>212</v>
      </c>
      <c r="B41" s="504">
        <v>9168</v>
      </c>
      <c r="C41" s="504">
        <v>4393</v>
      </c>
      <c r="D41" s="504">
        <v>1482</v>
      </c>
      <c r="E41" s="504">
        <v>-344</v>
      </c>
      <c r="F41" s="504">
        <v>2579</v>
      </c>
      <c r="G41" s="504">
        <v>1059</v>
      </c>
      <c r="H41" s="522"/>
    </row>
    <row r="42" spans="1:8" x14ac:dyDescent="0.2">
      <c r="A42" s="511" t="s">
        <v>83</v>
      </c>
      <c r="B42" s="504">
        <v>42190</v>
      </c>
      <c r="C42" s="504">
        <v>18192</v>
      </c>
      <c r="D42" s="504">
        <v>15418</v>
      </c>
      <c r="E42" s="504">
        <v>-1429</v>
      </c>
      <c r="F42" s="504">
        <v>5138</v>
      </c>
      <c r="G42" s="504">
        <v>4871</v>
      </c>
      <c r="H42" s="522"/>
    </row>
    <row r="43" spans="1:8" x14ac:dyDescent="0.2">
      <c r="A43" s="511" t="s">
        <v>188</v>
      </c>
      <c r="B43" s="504">
        <v>11232</v>
      </c>
      <c r="C43" s="504">
        <v>4286</v>
      </c>
      <c r="D43" s="504">
        <v>5623</v>
      </c>
      <c r="E43" s="504">
        <v>-954</v>
      </c>
      <c r="F43" s="504">
        <v>434</v>
      </c>
      <c r="G43" s="504">
        <v>1843</v>
      </c>
      <c r="H43" s="522"/>
    </row>
    <row r="44" spans="1:8" x14ac:dyDescent="0.2">
      <c r="A44" s="511" t="s">
        <v>209</v>
      </c>
      <c r="B44" s="504">
        <v>4871</v>
      </c>
      <c r="C44" s="504">
        <v>2703</v>
      </c>
      <c r="D44" s="504">
        <v>905</v>
      </c>
      <c r="E44" s="504">
        <v>-70</v>
      </c>
      <c r="F44" s="504">
        <v>669</v>
      </c>
      <c r="G44" s="504">
        <v>663</v>
      </c>
      <c r="H44" s="522"/>
    </row>
    <row r="45" spans="1:8" x14ac:dyDescent="0.2">
      <c r="A45" s="511" t="s">
        <v>344</v>
      </c>
      <c r="B45" s="504">
        <v>1068</v>
      </c>
      <c r="C45" s="504">
        <v>497</v>
      </c>
      <c r="D45" s="504">
        <v>245</v>
      </c>
      <c r="E45" s="504">
        <v>6</v>
      </c>
      <c r="F45" s="504">
        <v>169</v>
      </c>
      <c r="G45" s="504">
        <v>151</v>
      </c>
      <c r="H45" s="522"/>
    </row>
    <row r="46" spans="1:8" x14ac:dyDescent="0.2">
      <c r="A46" s="511" t="s">
        <v>412</v>
      </c>
      <c r="B46" s="504">
        <v>9497</v>
      </c>
      <c r="C46" s="504">
        <v>2013</v>
      </c>
      <c r="D46" s="504">
        <v>4978</v>
      </c>
      <c r="E46" s="504">
        <v>208</v>
      </c>
      <c r="F46" s="504">
        <v>1234</v>
      </c>
      <c r="G46" s="504">
        <v>1063</v>
      </c>
      <c r="H46" s="522"/>
    </row>
    <row r="47" spans="1:8" x14ac:dyDescent="0.2">
      <c r="A47" s="511" t="s">
        <v>551</v>
      </c>
      <c r="B47" s="504">
        <v>623</v>
      </c>
      <c r="C47" s="504">
        <v>338</v>
      </c>
      <c r="D47" s="504">
        <v>-21</v>
      </c>
      <c r="E47" s="504">
        <v>-91</v>
      </c>
      <c r="F47" s="504">
        <v>253</v>
      </c>
      <c r="G47" s="504">
        <v>144</v>
      </c>
      <c r="H47" s="522"/>
    </row>
    <row r="48" spans="1:8" x14ac:dyDescent="0.2">
      <c r="A48" s="511" t="s">
        <v>225</v>
      </c>
      <c r="B48" s="504">
        <v>9453</v>
      </c>
      <c r="C48" s="504">
        <v>829</v>
      </c>
      <c r="D48" s="504">
        <v>6611</v>
      </c>
      <c r="E48" s="504">
        <v>104</v>
      </c>
      <c r="F48" s="504">
        <v>143</v>
      </c>
      <c r="G48" s="504">
        <v>1768</v>
      </c>
      <c r="H48" s="522"/>
    </row>
    <row r="49" spans="1:8" x14ac:dyDescent="0.2">
      <c r="A49" s="510" t="s">
        <v>1095</v>
      </c>
      <c r="B49" s="514" t="s">
        <v>1095</v>
      </c>
      <c r="C49" s="514" t="s">
        <v>1095</v>
      </c>
      <c r="D49" s="514" t="s">
        <v>1095</v>
      </c>
      <c r="E49" s="514" t="s">
        <v>1095</v>
      </c>
      <c r="F49" s="514" t="s">
        <v>1095</v>
      </c>
      <c r="G49" s="514" t="s">
        <v>1095</v>
      </c>
      <c r="H49" s="521"/>
    </row>
    <row r="50" spans="1:8" x14ac:dyDescent="0.2">
      <c r="A50" s="506" t="s">
        <v>1107</v>
      </c>
      <c r="B50" s="504">
        <v>88684</v>
      </c>
      <c r="C50" s="504">
        <v>38574</v>
      </c>
      <c r="D50" s="504">
        <v>32746</v>
      </c>
      <c r="E50" s="504">
        <v>-2470</v>
      </c>
      <c r="F50" s="504">
        <v>9460</v>
      </c>
      <c r="G50" s="504">
        <v>10372</v>
      </c>
      <c r="H50" s="522"/>
    </row>
    <row r="51" spans="1:8" x14ac:dyDescent="0.2">
      <c r="A51" s="511" t="s">
        <v>210</v>
      </c>
      <c r="B51" s="504">
        <v>4793</v>
      </c>
      <c r="C51" s="504">
        <v>2741</v>
      </c>
      <c r="D51" s="504">
        <v>1499</v>
      </c>
      <c r="E51" s="504">
        <v>-112</v>
      </c>
      <c r="F51" s="504">
        <v>150</v>
      </c>
      <c r="G51" s="504">
        <v>515</v>
      </c>
      <c r="H51" s="522"/>
    </row>
    <row r="52" spans="1:8" x14ac:dyDescent="0.2">
      <c r="A52" s="511" t="s">
        <v>365</v>
      </c>
      <c r="B52" s="504">
        <v>716</v>
      </c>
      <c r="C52" s="504">
        <v>395</v>
      </c>
      <c r="D52" s="504">
        <v>169</v>
      </c>
      <c r="E52" s="504">
        <v>10</v>
      </c>
      <c r="F52" s="504">
        <v>20</v>
      </c>
      <c r="G52" s="504">
        <v>121</v>
      </c>
      <c r="H52" s="522"/>
    </row>
    <row r="53" spans="1:8" x14ac:dyDescent="0.2">
      <c r="A53" s="511" t="s">
        <v>81</v>
      </c>
      <c r="B53" s="504">
        <v>80117</v>
      </c>
      <c r="C53" s="504">
        <v>33979</v>
      </c>
      <c r="D53" s="504">
        <v>30325</v>
      </c>
      <c r="E53" s="504">
        <v>-2385</v>
      </c>
      <c r="F53" s="504">
        <v>8944</v>
      </c>
      <c r="G53" s="504">
        <v>9254</v>
      </c>
      <c r="H53" s="522"/>
    </row>
    <row r="54" spans="1:8" x14ac:dyDescent="0.2">
      <c r="A54" s="511" t="s">
        <v>409</v>
      </c>
      <c r="B54" s="504">
        <v>897</v>
      </c>
      <c r="C54" s="504">
        <v>617</v>
      </c>
      <c r="D54" s="504">
        <v>105</v>
      </c>
      <c r="E54" s="504">
        <v>-11</v>
      </c>
      <c r="F54" s="504">
        <v>36</v>
      </c>
      <c r="G54" s="504">
        <v>149</v>
      </c>
      <c r="H54" s="522"/>
    </row>
    <row r="55" spans="1:8" x14ac:dyDescent="0.2">
      <c r="A55" s="511" t="s">
        <v>225</v>
      </c>
      <c r="B55" s="504">
        <v>2161</v>
      </c>
      <c r="C55" s="504">
        <v>841</v>
      </c>
      <c r="D55" s="504">
        <v>649</v>
      </c>
      <c r="E55" s="504">
        <v>28</v>
      </c>
      <c r="F55" s="504">
        <v>310</v>
      </c>
      <c r="G55" s="504">
        <v>333</v>
      </c>
      <c r="H55" s="522"/>
    </row>
    <row r="56" spans="1:8" x14ac:dyDescent="0.2">
      <c r="A56" s="510" t="s">
        <v>1095</v>
      </c>
      <c r="B56" s="514" t="s">
        <v>1095</v>
      </c>
      <c r="C56" s="514" t="s">
        <v>1095</v>
      </c>
      <c r="D56" s="514" t="s">
        <v>1095</v>
      </c>
      <c r="E56" s="514" t="s">
        <v>1095</v>
      </c>
      <c r="F56" s="514" t="s">
        <v>1095</v>
      </c>
      <c r="G56" s="514" t="s">
        <v>1095</v>
      </c>
      <c r="H56" s="521"/>
    </row>
    <row r="57" spans="1:8" x14ac:dyDescent="0.2">
      <c r="A57" s="506" t="s">
        <v>1108</v>
      </c>
      <c r="B57" s="504">
        <v>17057</v>
      </c>
      <c r="C57" s="504">
        <v>3221</v>
      </c>
      <c r="D57" s="504">
        <v>26476</v>
      </c>
      <c r="E57" s="504">
        <v>-16714</v>
      </c>
      <c r="F57" s="504">
        <v>761</v>
      </c>
      <c r="G57" s="504">
        <v>3313</v>
      </c>
      <c r="H57" s="522"/>
    </row>
    <row r="58" spans="1:8" x14ac:dyDescent="0.2">
      <c r="A58" s="511" t="s">
        <v>310</v>
      </c>
      <c r="B58" s="504">
        <v>2081</v>
      </c>
      <c r="C58" s="504">
        <v>69</v>
      </c>
      <c r="D58" s="504">
        <v>4380</v>
      </c>
      <c r="E58" s="504">
        <v>-2425</v>
      </c>
      <c r="F58" s="504">
        <v>42</v>
      </c>
      <c r="G58" s="504">
        <v>15</v>
      </c>
      <c r="H58" s="522"/>
    </row>
    <row r="59" spans="1:8" x14ac:dyDescent="0.2">
      <c r="A59" s="511" t="s">
        <v>224</v>
      </c>
      <c r="B59" s="504">
        <v>7636</v>
      </c>
      <c r="C59" s="504">
        <v>832</v>
      </c>
      <c r="D59" s="504">
        <v>12049</v>
      </c>
      <c r="E59" s="504">
        <v>-6195</v>
      </c>
      <c r="F59" s="504">
        <v>501</v>
      </c>
      <c r="G59" s="504">
        <v>450</v>
      </c>
      <c r="H59" s="522"/>
    </row>
    <row r="60" spans="1:8" x14ac:dyDescent="0.2">
      <c r="A60" s="511" t="s">
        <v>549</v>
      </c>
      <c r="B60" s="504">
        <v>1423</v>
      </c>
      <c r="C60" s="504">
        <v>358</v>
      </c>
      <c r="D60" s="504">
        <v>766</v>
      </c>
      <c r="E60" s="504">
        <v>12</v>
      </c>
      <c r="F60" s="504">
        <v>83</v>
      </c>
      <c r="G60" s="504">
        <v>204</v>
      </c>
      <c r="H60" s="522"/>
    </row>
    <row r="61" spans="1:8" x14ac:dyDescent="0.2">
      <c r="A61" s="511" t="s">
        <v>1109</v>
      </c>
      <c r="B61" s="504">
        <v>3093</v>
      </c>
      <c r="C61" s="504">
        <v>1149</v>
      </c>
      <c r="D61" s="504">
        <v>9105</v>
      </c>
      <c r="E61" s="504">
        <v>-7989</v>
      </c>
      <c r="F61" s="504">
        <v>75</v>
      </c>
      <c r="G61" s="504">
        <v>752</v>
      </c>
      <c r="H61" s="522"/>
    </row>
    <row r="62" spans="1:8" x14ac:dyDescent="0.2">
      <c r="A62" s="511" t="s">
        <v>225</v>
      </c>
      <c r="B62" s="504">
        <v>2823</v>
      </c>
      <c r="C62" s="504">
        <v>813</v>
      </c>
      <c r="D62" s="504">
        <v>177</v>
      </c>
      <c r="E62" s="504">
        <v>-118</v>
      </c>
      <c r="F62" s="504">
        <v>59</v>
      </c>
      <c r="G62" s="504">
        <v>1892</v>
      </c>
      <c r="H62" s="522"/>
    </row>
    <row r="63" spans="1:8" x14ac:dyDescent="0.2">
      <c r="A63" s="510" t="s">
        <v>1095</v>
      </c>
      <c r="B63" s="514" t="s">
        <v>1095</v>
      </c>
      <c r="C63" s="514" t="s">
        <v>1095</v>
      </c>
      <c r="D63" s="514" t="s">
        <v>1095</v>
      </c>
      <c r="E63" s="514" t="s">
        <v>1095</v>
      </c>
      <c r="F63" s="514" t="s">
        <v>1095</v>
      </c>
      <c r="G63" s="514" t="s">
        <v>1095</v>
      </c>
      <c r="H63" s="521"/>
    </row>
    <row r="64" spans="1:8" x14ac:dyDescent="0.2">
      <c r="A64" s="510" t="s">
        <v>1110</v>
      </c>
      <c r="B64" s="513">
        <v>29429</v>
      </c>
      <c r="C64" s="513">
        <v>6883</v>
      </c>
      <c r="D64" s="513">
        <v>10793</v>
      </c>
      <c r="E64" s="513">
        <v>-146</v>
      </c>
      <c r="F64" s="513">
        <v>5050</v>
      </c>
      <c r="G64" s="513">
        <v>6849</v>
      </c>
      <c r="H64" s="520"/>
    </row>
    <row r="65" spans="1:8" x14ac:dyDescent="0.2">
      <c r="A65" s="506" t="s">
        <v>213</v>
      </c>
      <c r="B65" s="504">
        <v>4649</v>
      </c>
      <c r="C65" s="504">
        <v>516</v>
      </c>
      <c r="D65" s="504">
        <v>2401</v>
      </c>
      <c r="E65" s="504">
        <v>-146</v>
      </c>
      <c r="F65" s="504">
        <v>1509</v>
      </c>
      <c r="G65" s="504">
        <v>370</v>
      </c>
      <c r="H65" s="522"/>
    </row>
    <row r="66" spans="1:8" x14ac:dyDescent="0.2">
      <c r="A66" s="506" t="s">
        <v>215</v>
      </c>
      <c r="B66" s="504">
        <v>5427</v>
      </c>
      <c r="C66" s="504">
        <v>787</v>
      </c>
      <c r="D66" s="504">
        <v>1678</v>
      </c>
      <c r="E66" s="504">
        <v>-4</v>
      </c>
      <c r="F66" s="514" t="s">
        <v>1104</v>
      </c>
      <c r="G66" s="514" t="s">
        <v>1104</v>
      </c>
      <c r="H66" s="521"/>
    </row>
    <row r="67" spans="1:8" x14ac:dyDescent="0.2">
      <c r="A67" s="506" t="s">
        <v>86</v>
      </c>
      <c r="B67" s="504">
        <v>7203</v>
      </c>
      <c r="C67" s="504">
        <v>3170</v>
      </c>
      <c r="D67" s="504">
        <v>1127</v>
      </c>
      <c r="E67" s="504">
        <v>128</v>
      </c>
      <c r="F67" s="504">
        <v>2105</v>
      </c>
      <c r="G67" s="504">
        <v>674</v>
      </c>
      <c r="H67" s="522"/>
    </row>
    <row r="68" spans="1:8" x14ac:dyDescent="0.2">
      <c r="A68" s="506" t="s">
        <v>225</v>
      </c>
      <c r="B68" s="504">
        <v>12150</v>
      </c>
      <c r="C68" s="504">
        <v>2411</v>
      </c>
      <c r="D68" s="504">
        <v>5588</v>
      </c>
      <c r="E68" s="504">
        <v>-124</v>
      </c>
      <c r="F68" s="514" t="s">
        <v>1104</v>
      </c>
      <c r="G68" s="514" t="s">
        <v>1104</v>
      </c>
      <c r="H68" s="521"/>
    </row>
    <row r="69" spans="1:8" x14ac:dyDescent="0.2">
      <c r="A69" s="510" t="s">
        <v>1095</v>
      </c>
      <c r="B69" s="514" t="s">
        <v>1095</v>
      </c>
      <c r="C69" s="514" t="s">
        <v>1095</v>
      </c>
      <c r="D69" s="514" t="s">
        <v>1095</v>
      </c>
      <c r="E69" s="514" t="s">
        <v>1095</v>
      </c>
      <c r="F69" s="514" t="s">
        <v>1095</v>
      </c>
      <c r="G69" s="514" t="s">
        <v>1095</v>
      </c>
      <c r="H69" s="521"/>
    </row>
    <row r="70" spans="1:8" x14ac:dyDescent="0.2">
      <c r="A70" s="510" t="s">
        <v>1111</v>
      </c>
      <c r="B70" s="513">
        <v>35658</v>
      </c>
      <c r="C70" s="513">
        <v>18533</v>
      </c>
      <c r="D70" s="513">
        <v>13062</v>
      </c>
      <c r="E70" s="513">
        <v>-3858</v>
      </c>
      <c r="F70" s="513">
        <v>4352</v>
      </c>
      <c r="G70" s="513">
        <v>3568</v>
      </c>
      <c r="H70" s="520"/>
    </row>
    <row r="71" spans="1:8" x14ac:dyDescent="0.2">
      <c r="A71" s="506" t="s">
        <v>196</v>
      </c>
      <c r="B71" s="504">
        <v>14160</v>
      </c>
      <c r="C71" s="504">
        <v>10014</v>
      </c>
      <c r="D71" s="504">
        <v>1886</v>
      </c>
      <c r="E71" s="504">
        <v>-591</v>
      </c>
      <c r="F71" s="504">
        <v>1408</v>
      </c>
      <c r="G71" s="504">
        <v>1443</v>
      </c>
      <c r="H71" s="522"/>
    </row>
    <row r="72" spans="1:8" x14ac:dyDescent="0.2">
      <c r="A72" s="506" t="s">
        <v>420</v>
      </c>
      <c r="B72" s="504">
        <v>4767</v>
      </c>
      <c r="C72" s="504">
        <v>2519</v>
      </c>
      <c r="D72" s="504">
        <v>1140</v>
      </c>
      <c r="E72" s="514" t="s">
        <v>1104</v>
      </c>
      <c r="F72" s="514" t="s">
        <v>1104</v>
      </c>
      <c r="G72" s="504">
        <v>274</v>
      </c>
      <c r="H72" s="522"/>
    </row>
    <row r="73" spans="1:8" x14ac:dyDescent="0.2">
      <c r="A73" s="506" t="s">
        <v>566</v>
      </c>
      <c r="B73" s="504">
        <v>14464</v>
      </c>
      <c r="C73" s="504">
        <v>4994</v>
      </c>
      <c r="D73" s="504">
        <v>9773</v>
      </c>
      <c r="E73" s="514" t="s">
        <v>1104</v>
      </c>
      <c r="F73" s="514" t="s">
        <v>1104</v>
      </c>
      <c r="G73" s="504">
        <v>889</v>
      </c>
      <c r="H73" s="522"/>
    </row>
    <row r="74" spans="1:8" x14ac:dyDescent="0.2">
      <c r="A74" s="506" t="s">
        <v>225</v>
      </c>
      <c r="B74" s="504">
        <v>2268</v>
      </c>
      <c r="C74" s="504">
        <v>1006</v>
      </c>
      <c r="D74" s="504">
        <v>264</v>
      </c>
      <c r="E74" s="504">
        <v>3</v>
      </c>
      <c r="F74" s="504">
        <v>32</v>
      </c>
      <c r="G74" s="504">
        <v>962</v>
      </c>
      <c r="H74" s="522"/>
    </row>
    <row r="75" spans="1:8" x14ac:dyDescent="0.2">
      <c r="A75" s="510" t="s">
        <v>1095</v>
      </c>
      <c r="B75" s="514" t="s">
        <v>1095</v>
      </c>
      <c r="C75" s="514" t="s">
        <v>1095</v>
      </c>
      <c r="D75" s="514" t="s">
        <v>1095</v>
      </c>
      <c r="E75" s="514" t="s">
        <v>1095</v>
      </c>
      <c r="F75" s="514" t="s">
        <v>1095</v>
      </c>
      <c r="G75" s="514" t="s">
        <v>1095</v>
      </c>
      <c r="H75" s="521"/>
    </row>
    <row r="76" spans="1:8" x14ac:dyDescent="0.2">
      <c r="A76" s="510" t="s">
        <v>1112</v>
      </c>
      <c r="B76" s="513">
        <v>459152</v>
      </c>
      <c r="C76" s="513">
        <v>196397</v>
      </c>
      <c r="D76" s="513">
        <v>190680</v>
      </c>
      <c r="E76" s="513">
        <v>-21405</v>
      </c>
      <c r="F76" s="513">
        <v>48365</v>
      </c>
      <c r="G76" s="513">
        <v>45115</v>
      </c>
      <c r="H76" s="520"/>
    </row>
    <row r="77" spans="1:8" x14ac:dyDescent="0.2">
      <c r="A77" s="506" t="s">
        <v>68</v>
      </c>
      <c r="B77" s="504">
        <v>62965</v>
      </c>
      <c r="C77" s="504">
        <v>28780</v>
      </c>
      <c r="D77" s="504">
        <v>21148</v>
      </c>
      <c r="E77" s="504">
        <v>-1228</v>
      </c>
      <c r="F77" s="504">
        <v>8565</v>
      </c>
      <c r="G77" s="504">
        <v>5701</v>
      </c>
      <c r="H77" s="522"/>
    </row>
    <row r="78" spans="1:8" x14ac:dyDescent="0.2">
      <c r="A78" s="506" t="s">
        <v>88</v>
      </c>
      <c r="B78" s="504">
        <v>84915</v>
      </c>
      <c r="C78" s="504">
        <v>38354</v>
      </c>
      <c r="D78" s="504">
        <v>30661</v>
      </c>
      <c r="E78" s="504">
        <v>-1096</v>
      </c>
      <c r="F78" s="504">
        <v>7842</v>
      </c>
      <c r="G78" s="504">
        <v>9154</v>
      </c>
      <c r="H78" s="522"/>
    </row>
    <row r="79" spans="1:8" x14ac:dyDescent="0.2">
      <c r="A79" s="506" t="s">
        <v>63</v>
      </c>
      <c r="B79" s="504">
        <v>23599</v>
      </c>
      <c r="C79" s="504">
        <v>11808</v>
      </c>
      <c r="D79" s="504">
        <v>11749</v>
      </c>
      <c r="E79" s="504">
        <v>-1996</v>
      </c>
      <c r="F79" s="504">
        <v>1027</v>
      </c>
      <c r="G79" s="504">
        <v>1012</v>
      </c>
      <c r="H79" s="522"/>
    </row>
    <row r="80" spans="1:8" x14ac:dyDescent="0.2">
      <c r="A80" s="506" t="s">
        <v>84</v>
      </c>
      <c r="B80" s="504">
        <v>60554</v>
      </c>
      <c r="C80" s="504">
        <v>40948</v>
      </c>
      <c r="D80" s="504">
        <v>14726</v>
      </c>
      <c r="E80" s="504">
        <v>-1656</v>
      </c>
      <c r="F80" s="504">
        <v>2865</v>
      </c>
      <c r="G80" s="504">
        <v>3671</v>
      </c>
      <c r="H80" s="522"/>
    </row>
    <row r="81" spans="1:8" x14ac:dyDescent="0.2">
      <c r="A81" s="506" t="s">
        <v>366</v>
      </c>
      <c r="B81" s="504">
        <v>18035</v>
      </c>
      <c r="C81" s="504">
        <v>1946</v>
      </c>
      <c r="D81" s="504">
        <v>8196</v>
      </c>
      <c r="E81" s="514" t="s">
        <v>1104</v>
      </c>
      <c r="F81" s="514" t="s">
        <v>1104</v>
      </c>
      <c r="G81" s="504">
        <v>1139</v>
      </c>
      <c r="H81" s="522"/>
    </row>
    <row r="82" spans="1:8" x14ac:dyDescent="0.2">
      <c r="A82" s="506" t="s">
        <v>73</v>
      </c>
      <c r="B82" s="504">
        <v>47774</v>
      </c>
      <c r="C82" s="504">
        <v>23779</v>
      </c>
      <c r="D82" s="504">
        <v>22195</v>
      </c>
      <c r="E82" s="504">
        <v>-8069</v>
      </c>
      <c r="F82" s="504">
        <v>4695</v>
      </c>
      <c r="G82" s="504">
        <v>5173</v>
      </c>
      <c r="H82" s="522"/>
    </row>
    <row r="83" spans="1:8" x14ac:dyDescent="0.2">
      <c r="A83" s="506" t="s">
        <v>214</v>
      </c>
      <c r="B83" s="504">
        <v>14681</v>
      </c>
      <c r="C83" s="504">
        <v>3851</v>
      </c>
      <c r="D83" s="504">
        <v>8286</v>
      </c>
      <c r="E83" s="504">
        <v>-68</v>
      </c>
      <c r="F83" s="504">
        <v>440</v>
      </c>
      <c r="G83" s="504">
        <v>2173</v>
      </c>
      <c r="H83" s="522"/>
    </row>
    <row r="84" spans="1:8" x14ac:dyDescent="0.2">
      <c r="A84" s="506" t="s">
        <v>199</v>
      </c>
      <c r="B84" s="504">
        <v>4294</v>
      </c>
      <c r="C84" s="504">
        <v>1653</v>
      </c>
      <c r="D84" s="504">
        <v>1174</v>
      </c>
      <c r="E84" s="504">
        <v>7</v>
      </c>
      <c r="F84" s="504">
        <v>1052</v>
      </c>
      <c r="G84" s="504">
        <v>408</v>
      </c>
      <c r="H84" s="522"/>
    </row>
    <row r="85" spans="1:8" x14ac:dyDescent="0.2">
      <c r="A85" s="506" t="s">
        <v>413</v>
      </c>
      <c r="B85" s="504">
        <v>7357</v>
      </c>
      <c r="C85" s="504">
        <v>4264</v>
      </c>
      <c r="D85" s="504">
        <v>1924</v>
      </c>
      <c r="E85" s="504">
        <v>-130</v>
      </c>
      <c r="F85" s="504">
        <v>466</v>
      </c>
      <c r="G85" s="504">
        <v>833</v>
      </c>
      <c r="H85" s="522"/>
    </row>
    <row r="86" spans="1:8" x14ac:dyDescent="0.2">
      <c r="A86" s="506" t="s">
        <v>62</v>
      </c>
      <c r="B86" s="504">
        <v>73529</v>
      </c>
      <c r="C86" s="504">
        <v>20323</v>
      </c>
      <c r="D86" s="504">
        <v>50700</v>
      </c>
      <c r="E86" s="504">
        <v>-7014</v>
      </c>
      <c r="F86" s="504">
        <v>3430</v>
      </c>
      <c r="G86" s="504">
        <v>6090</v>
      </c>
      <c r="H86" s="522"/>
    </row>
    <row r="87" spans="1:8" x14ac:dyDescent="0.2">
      <c r="A87" s="506" t="s">
        <v>1113</v>
      </c>
      <c r="B87" s="504">
        <v>20489</v>
      </c>
      <c r="C87" s="504">
        <v>7992</v>
      </c>
      <c r="D87" s="504">
        <v>7747</v>
      </c>
      <c r="E87" s="504">
        <v>-399</v>
      </c>
      <c r="F87" s="504">
        <v>3282</v>
      </c>
      <c r="G87" s="504">
        <v>1868</v>
      </c>
      <c r="H87" s="522"/>
    </row>
    <row r="88" spans="1:8" x14ac:dyDescent="0.2">
      <c r="A88" s="506" t="s">
        <v>565</v>
      </c>
      <c r="B88" s="504">
        <v>13733</v>
      </c>
      <c r="C88" s="504">
        <v>5231</v>
      </c>
      <c r="D88" s="504">
        <v>3866</v>
      </c>
      <c r="E88" s="504">
        <v>-87</v>
      </c>
      <c r="F88" s="504">
        <v>909</v>
      </c>
      <c r="G88" s="504">
        <v>3815</v>
      </c>
      <c r="H88" s="522"/>
    </row>
    <row r="89" spans="1:8" x14ac:dyDescent="0.2">
      <c r="A89" s="506" t="s">
        <v>216</v>
      </c>
      <c r="B89" s="504">
        <v>10486</v>
      </c>
      <c r="C89" s="504">
        <v>3458</v>
      </c>
      <c r="D89" s="504">
        <v>3128</v>
      </c>
      <c r="E89" s="504">
        <v>-140</v>
      </c>
      <c r="F89" s="504">
        <v>2506</v>
      </c>
      <c r="G89" s="504">
        <v>1534</v>
      </c>
      <c r="H89" s="522"/>
    </row>
    <row r="90" spans="1:8" x14ac:dyDescent="0.2">
      <c r="A90" s="506" t="s">
        <v>452</v>
      </c>
      <c r="B90" s="504">
        <v>2889</v>
      </c>
      <c r="C90" s="504">
        <v>950</v>
      </c>
      <c r="D90" s="504">
        <v>1186</v>
      </c>
      <c r="E90" s="504">
        <v>-16</v>
      </c>
      <c r="F90" s="504">
        <v>281</v>
      </c>
      <c r="G90" s="504">
        <v>487</v>
      </c>
      <c r="H90" s="522"/>
    </row>
    <row r="91" spans="1:8" x14ac:dyDescent="0.2">
      <c r="A91" s="506" t="s">
        <v>225</v>
      </c>
      <c r="B91" s="504">
        <v>13852</v>
      </c>
      <c r="C91" s="504">
        <v>3060</v>
      </c>
      <c r="D91" s="504">
        <v>3994</v>
      </c>
      <c r="E91" s="514" t="s">
        <v>1104</v>
      </c>
      <c r="F91" s="514" t="s">
        <v>1104</v>
      </c>
      <c r="G91" s="504">
        <v>2059</v>
      </c>
      <c r="H91" s="522"/>
    </row>
    <row r="92" spans="1:8" x14ac:dyDescent="0.2">
      <c r="A92" s="510" t="s">
        <v>1095</v>
      </c>
      <c r="B92" s="514" t="s">
        <v>1095</v>
      </c>
      <c r="C92" s="514" t="s">
        <v>1095</v>
      </c>
      <c r="D92" s="514" t="s">
        <v>1095</v>
      </c>
      <c r="E92" s="514" t="s">
        <v>1095</v>
      </c>
      <c r="F92" s="514" t="s">
        <v>1095</v>
      </c>
      <c r="G92" s="514" t="s">
        <v>1095</v>
      </c>
      <c r="H92" s="521"/>
    </row>
    <row r="93" spans="1:8" x14ac:dyDescent="0.2">
      <c r="A93" s="507" t="s">
        <v>1114</v>
      </c>
      <c r="B93" s="514" t="s">
        <v>1095</v>
      </c>
      <c r="C93" s="514" t="s">
        <v>1095</v>
      </c>
      <c r="D93" s="514" t="s">
        <v>1095</v>
      </c>
      <c r="E93" s="514" t="s">
        <v>1095</v>
      </c>
      <c r="F93" s="514" t="s">
        <v>1095</v>
      </c>
      <c r="G93" s="514" t="s">
        <v>1095</v>
      </c>
      <c r="H93" s="521"/>
    </row>
    <row r="94" spans="1:8" x14ac:dyDescent="0.2">
      <c r="A94" s="508" t="s">
        <v>1115</v>
      </c>
      <c r="B94" s="512">
        <v>494240</v>
      </c>
      <c r="C94" s="512">
        <v>195950</v>
      </c>
      <c r="D94" s="512">
        <v>216858</v>
      </c>
      <c r="E94" s="512">
        <v>-10110</v>
      </c>
      <c r="F94" s="512">
        <v>54539</v>
      </c>
      <c r="G94" s="512">
        <v>37004</v>
      </c>
      <c r="H94" s="522"/>
    </row>
  </sheetData>
  <mergeCells count="3">
    <mergeCell ref="A3:G3"/>
    <mergeCell ref="A4:G4"/>
    <mergeCell ref="A5:A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DA16B-638D-4045-8DBA-B6E04445BDBA}">
  <sheetPr>
    <tabColor theme="1"/>
  </sheetPr>
  <dimension ref="A1"/>
  <sheetViews>
    <sheetView zoomScale="85" zoomScaleNormal="85" workbookViewId="0">
      <selection activeCell="G32" sqref="G32"/>
    </sheetView>
  </sheetViews>
  <sheetFormatPr baseColWidth="10" defaultColWidth="10.83203125" defaultRowHeight="16" x14ac:dyDescent="0.2"/>
  <sheetData/>
  <pageMargins left="0.7" right="0.7" top="0.75" bottom="0.75" header="0.3" footer="0.3"/>
  <pageSetup orientation="portrait" horizontalDpi="0" verticalDpi="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0D4680-E6F0-F340-8001-262820522EA5}">
  <sheetPr>
    <tabColor rgb="FFFF0000"/>
  </sheetPr>
  <dimension ref="A1:IS170"/>
  <sheetViews>
    <sheetView zoomScale="84" zoomScaleNormal="132" workbookViewId="0">
      <pane xSplit="1" ySplit="5" topLeftCell="D8" activePane="bottomRight" state="frozen"/>
      <selection pane="topRight" activeCell="Z81" sqref="Z81"/>
      <selection pane="bottomLeft" activeCell="Z81" sqref="Z81"/>
      <selection pane="bottomRight" activeCell="F7" sqref="F7"/>
    </sheetView>
  </sheetViews>
  <sheetFormatPr baseColWidth="10" defaultColWidth="9.1640625" defaultRowHeight="15" x14ac:dyDescent="0.2"/>
  <cols>
    <col min="1" max="1" width="50.6640625" style="199" customWidth="1"/>
    <col min="2" max="2" width="16" style="198" customWidth="1"/>
    <col min="3" max="3" width="15.6640625" style="198" customWidth="1"/>
    <col min="4" max="4" width="15.5" style="198" bestFit="1" customWidth="1"/>
    <col min="5" max="5" width="14.1640625" style="198" customWidth="1"/>
    <col min="6" max="6" width="14.33203125" style="197" customWidth="1"/>
    <col min="7" max="7" width="12.5" style="197" customWidth="1"/>
    <col min="8" max="8" width="12.83203125" style="197" customWidth="1"/>
    <col min="9" max="9" width="15.1640625" style="197" customWidth="1"/>
    <col min="10" max="10" width="14.6640625" style="197" customWidth="1"/>
    <col min="11" max="11" width="11.6640625" style="197" customWidth="1"/>
    <col min="12" max="12" width="14.6640625" style="197" customWidth="1"/>
    <col min="13" max="13" width="12.33203125" style="197" customWidth="1"/>
    <col min="14" max="16384" width="9.1640625" style="197"/>
  </cols>
  <sheetData>
    <row r="1" spans="1:253" ht="27.75" customHeight="1" x14ac:dyDescent="0.15">
      <c r="A1" s="589" t="s">
        <v>509</v>
      </c>
      <c r="B1" s="590"/>
      <c r="C1" s="590"/>
      <c r="D1" s="590"/>
      <c r="E1" s="590"/>
      <c r="F1" s="590"/>
      <c r="G1" s="590"/>
      <c r="H1" s="590"/>
      <c r="I1" s="590"/>
      <c r="J1" s="590"/>
      <c r="K1" s="590"/>
      <c r="L1" s="590"/>
    </row>
    <row r="2" spans="1:253" ht="14.25" customHeight="1" thickBot="1" x14ac:dyDescent="0.2">
      <c r="A2" s="601" t="s">
        <v>510</v>
      </c>
      <c r="B2" s="602"/>
      <c r="C2" s="602"/>
      <c r="D2" s="602"/>
      <c r="E2" s="602"/>
      <c r="F2" s="602"/>
      <c r="G2" s="602"/>
      <c r="H2" s="602"/>
      <c r="I2" s="602"/>
      <c r="J2" s="602"/>
      <c r="K2" s="602"/>
      <c r="L2" s="602"/>
    </row>
    <row r="3" spans="1:253" ht="14.25" customHeight="1" x14ac:dyDescent="0.15">
      <c r="A3" s="594" t="s">
        <v>511</v>
      </c>
      <c r="B3" s="596" t="s">
        <v>512</v>
      </c>
      <c r="C3" s="591" t="s">
        <v>513</v>
      </c>
      <c r="D3" s="592"/>
      <c r="E3" s="593"/>
      <c r="F3" s="596" t="s">
        <v>514</v>
      </c>
      <c r="G3" s="603" t="s">
        <v>515</v>
      </c>
      <c r="H3" s="596" t="s">
        <v>516</v>
      </c>
      <c r="I3" s="603" t="s">
        <v>517</v>
      </c>
      <c r="J3" s="603" t="s">
        <v>518</v>
      </c>
      <c r="K3" s="603" t="s">
        <v>519</v>
      </c>
      <c r="L3" s="608" t="s">
        <v>520</v>
      </c>
    </row>
    <row r="4" spans="1:253" ht="63.75" customHeight="1" x14ac:dyDescent="0.15">
      <c r="A4" s="595"/>
      <c r="B4" s="597"/>
      <c r="C4" s="267" t="s">
        <v>521</v>
      </c>
      <c r="D4" s="267" t="s">
        <v>522</v>
      </c>
      <c r="E4" s="267" t="s">
        <v>523</v>
      </c>
      <c r="F4" s="598"/>
      <c r="G4" s="604"/>
      <c r="H4" s="598"/>
      <c r="I4" s="604"/>
      <c r="J4" s="604"/>
      <c r="K4" s="604"/>
      <c r="L4" s="609"/>
    </row>
    <row r="5" spans="1:253" s="262" customFormat="1" ht="14.25" customHeight="1" x14ac:dyDescent="0.15">
      <c r="A5" s="266"/>
      <c r="B5" s="264" t="s">
        <v>524</v>
      </c>
      <c r="C5" s="264" t="s">
        <v>525</v>
      </c>
      <c r="D5" s="265" t="s">
        <v>526</v>
      </c>
      <c r="E5" s="264" t="s">
        <v>527</v>
      </c>
      <c r="F5" s="264" t="s">
        <v>528</v>
      </c>
      <c r="G5" s="264" t="s">
        <v>529</v>
      </c>
      <c r="H5" s="264" t="s">
        <v>530</v>
      </c>
      <c r="I5" s="264" t="s">
        <v>531</v>
      </c>
      <c r="J5" s="264" t="s">
        <v>532</v>
      </c>
      <c r="K5" s="264" t="s">
        <v>533</v>
      </c>
      <c r="L5" s="263" t="s">
        <v>534</v>
      </c>
    </row>
    <row r="6" spans="1:253" s="206" customFormat="1" ht="15" customHeight="1" x14ac:dyDescent="0.2">
      <c r="A6" s="261" t="s">
        <v>535</v>
      </c>
      <c r="B6" s="208">
        <v>1759.1095</v>
      </c>
      <c r="C6" s="207">
        <v>16278155919237.6</v>
      </c>
      <c r="D6" s="428">
        <v>6560028647123.96</v>
      </c>
      <c r="E6" s="428">
        <v>22838184566361.602</v>
      </c>
      <c r="F6" s="260">
        <v>1669526983315.3201</v>
      </c>
      <c r="G6" s="260">
        <v>310773985362.836</v>
      </c>
      <c r="H6" s="259">
        <v>288859433299.53497</v>
      </c>
      <c r="I6" s="259">
        <v>32065572108732.102</v>
      </c>
      <c r="J6" s="207">
        <v>13340940420242.9</v>
      </c>
      <c r="K6" s="208">
        <v>39393388.759300001</v>
      </c>
      <c r="L6" s="207">
        <v>8597427301096.3799</v>
      </c>
      <c r="M6" s="271">
        <f>F6-F7</f>
        <v>794826040249.83008</v>
      </c>
      <c r="N6" s="243"/>
      <c r="O6" s="243"/>
      <c r="P6" s="243"/>
      <c r="Q6" s="243"/>
      <c r="R6" s="243"/>
      <c r="S6" s="243"/>
      <c r="T6" s="243"/>
      <c r="U6" s="243"/>
      <c r="V6" s="243"/>
      <c r="W6" s="243"/>
      <c r="X6" s="243"/>
      <c r="Y6" s="243"/>
      <c r="Z6" s="243"/>
      <c r="AA6" s="243"/>
      <c r="AB6" s="243"/>
      <c r="AC6" s="243"/>
      <c r="AD6" s="243"/>
      <c r="AE6" s="243"/>
      <c r="AF6" s="243"/>
      <c r="AG6" s="243"/>
      <c r="AH6" s="243"/>
      <c r="AI6" s="243"/>
      <c r="AJ6" s="243"/>
      <c r="AK6" s="243"/>
      <c r="AL6" s="243"/>
      <c r="AM6" s="243"/>
      <c r="AN6" s="243"/>
      <c r="AO6" s="243"/>
      <c r="AP6" s="243"/>
      <c r="AQ6" s="243"/>
      <c r="AR6" s="243"/>
      <c r="AS6" s="243"/>
      <c r="AT6" s="243"/>
      <c r="AU6" s="243"/>
      <c r="AV6" s="243"/>
      <c r="AW6" s="243"/>
      <c r="AX6" s="243"/>
      <c r="AY6" s="243"/>
      <c r="AZ6" s="243"/>
      <c r="BA6" s="243"/>
      <c r="BB6" s="243"/>
      <c r="BC6" s="243"/>
      <c r="BD6" s="243"/>
      <c r="BE6" s="243"/>
      <c r="BF6" s="243"/>
      <c r="BG6" s="243"/>
      <c r="BH6" s="243"/>
      <c r="BI6" s="243"/>
      <c r="BJ6" s="243"/>
      <c r="BK6" s="243"/>
      <c r="BL6" s="243"/>
      <c r="BM6" s="243"/>
      <c r="BN6" s="243"/>
      <c r="BO6" s="243"/>
      <c r="BP6" s="243"/>
      <c r="BQ6" s="243"/>
      <c r="BR6" s="243"/>
      <c r="BS6" s="243"/>
      <c r="BT6" s="243"/>
      <c r="BU6" s="243"/>
      <c r="BV6" s="243"/>
      <c r="BW6" s="243"/>
      <c r="BX6" s="243"/>
      <c r="BY6" s="243"/>
      <c r="BZ6" s="243"/>
      <c r="CA6" s="243"/>
      <c r="CB6" s="243"/>
      <c r="CC6" s="243"/>
      <c r="CD6" s="243"/>
      <c r="CE6" s="243"/>
      <c r="CF6" s="243"/>
      <c r="CG6" s="243"/>
      <c r="CH6" s="243"/>
      <c r="CI6" s="243"/>
      <c r="CJ6" s="243"/>
      <c r="CK6" s="243"/>
      <c r="CL6" s="243"/>
      <c r="CM6" s="243"/>
      <c r="CN6" s="243"/>
      <c r="CO6" s="243"/>
      <c r="CP6" s="243"/>
      <c r="CQ6" s="243"/>
      <c r="CR6" s="243"/>
      <c r="CS6" s="243"/>
      <c r="CT6" s="243"/>
      <c r="CU6" s="243"/>
      <c r="CV6" s="243"/>
      <c r="CW6" s="243"/>
      <c r="CX6" s="243"/>
      <c r="CY6" s="243"/>
      <c r="CZ6" s="243"/>
      <c r="DA6" s="243"/>
      <c r="DB6" s="243"/>
      <c r="DC6" s="243"/>
      <c r="DD6" s="243"/>
      <c r="DE6" s="243"/>
      <c r="DF6" s="243"/>
      <c r="DG6" s="243"/>
      <c r="DH6" s="243"/>
      <c r="DI6" s="243"/>
      <c r="DJ6" s="243"/>
      <c r="DK6" s="243"/>
      <c r="DL6" s="243"/>
      <c r="DM6" s="243"/>
      <c r="DN6" s="243"/>
      <c r="DO6" s="243"/>
      <c r="DP6" s="243"/>
      <c r="DQ6" s="243"/>
      <c r="DR6" s="243"/>
      <c r="DS6" s="243"/>
      <c r="DT6" s="243"/>
      <c r="DU6" s="243"/>
      <c r="DV6" s="243"/>
      <c r="DW6" s="243"/>
      <c r="DX6" s="243"/>
      <c r="DY6" s="243"/>
      <c r="DZ6" s="243"/>
      <c r="EA6" s="243"/>
      <c r="EB6" s="243"/>
      <c r="EC6" s="243"/>
      <c r="ED6" s="243"/>
      <c r="EE6" s="243"/>
      <c r="EF6" s="243"/>
      <c r="EG6" s="243"/>
      <c r="EH6" s="243"/>
      <c r="EI6" s="243"/>
      <c r="EJ6" s="243"/>
      <c r="EK6" s="243"/>
      <c r="EL6" s="243"/>
      <c r="EM6" s="243"/>
      <c r="EN6" s="243"/>
      <c r="EO6" s="243"/>
      <c r="EP6" s="243"/>
      <c r="EQ6" s="243"/>
      <c r="ER6" s="243"/>
      <c r="ES6" s="243"/>
      <c r="ET6" s="243"/>
      <c r="EU6" s="243"/>
      <c r="EV6" s="243"/>
      <c r="EW6" s="243"/>
      <c r="EX6" s="243"/>
      <c r="EY6" s="243"/>
      <c r="EZ6" s="243"/>
      <c r="FA6" s="243"/>
      <c r="FB6" s="243"/>
      <c r="FC6" s="243"/>
      <c r="FD6" s="243"/>
      <c r="FE6" s="243"/>
      <c r="FF6" s="243"/>
      <c r="FG6" s="243"/>
      <c r="FH6" s="243"/>
      <c r="FI6" s="243"/>
      <c r="FJ6" s="243"/>
      <c r="FK6" s="243"/>
      <c r="FL6" s="243"/>
      <c r="FM6" s="243"/>
      <c r="FN6" s="243"/>
      <c r="FO6" s="243"/>
      <c r="FP6" s="243"/>
      <c r="FQ6" s="243"/>
      <c r="FR6" s="243"/>
      <c r="FS6" s="243"/>
      <c r="FT6" s="243"/>
      <c r="FU6" s="243"/>
      <c r="FV6" s="243"/>
      <c r="FW6" s="243"/>
      <c r="FX6" s="243"/>
      <c r="FY6" s="243"/>
      <c r="FZ6" s="243"/>
      <c r="GA6" s="243"/>
      <c r="GB6" s="243"/>
      <c r="GC6" s="243"/>
      <c r="GD6" s="243"/>
      <c r="GE6" s="243"/>
      <c r="GF6" s="243"/>
      <c r="GG6" s="243"/>
      <c r="GH6" s="243"/>
      <c r="GI6" s="243"/>
      <c r="GJ6" s="243"/>
      <c r="GK6" s="243"/>
      <c r="GL6" s="243"/>
      <c r="GM6" s="243"/>
      <c r="GN6" s="243"/>
      <c r="GO6" s="243"/>
      <c r="GP6" s="243"/>
      <c r="GQ6" s="243"/>
      <c r="GR6" s="243"/>
      <c r="GS6" s="243"/>
      <c r="GT6" s="243"/>
      <c r="GU6" s="243"/>
      <c r="GV6" s="243"/>
      <c r="GW6" s="243"/>
      <c r="GX6" s="243"/>
      <c r="GY6" s="243"/>
      <c r="GZ6" s="243"/>
      <c r="HA6" s="243"/>
      <c r="HB6" s="243"/>
      <c r="HC6" s="243"/>
      <c r="HD6" s="243"/>
      <c r="HE6" s="243"/>
      <c r="HF6" s="243"/>
      <c r="HG6" s="243"/>
      <c r="HH6" s="243"/>
      <c r="HI6" s="243"/>
      <c r="HJ6" s="243"/>
      <c r="HK6" s="243"/>
      <c r="HL6" s="243"/>
      <c r="HM6" s="243"/>
      <c r="HN6" s="243"/>
      <c r="HO6" s="243"/>
      <c r="HP6" s="243"/>
      <c r="HQ6" s="243"/>
      <c r="HR6" s="243"/>
      <c r="HS6" s="243"/>
      <c r="HT6" s="243"/>
      <c r="HU6" s="243"/>
      <c r="HV6" s="243"/>
      <c r="HW6" s="243"/>
      <c r="HX6" s="243"/>
      <c r="HY6" s="243"/>
      <c r="HZ6" s="243"/>
      <c r="IA6" s="243"/>
      <c r="IB6" s="243"/>
      <c r="IC6" s="243"/>
      <c r="ID6" s="243"/>
      <c r="IE6" s="243"/>
      <c r="IF6" s="243"/>
      <c r="IG6" s="243"/>
      <c r="IH6" s="243"/>
      <c r="II6" s="243"/>
      <c r="IJ6" s="243"/>
      <c r="IK6" s="243"/>
      <c r="IL6" s="243"/>
      <c r="IM6" s="243"/>
      <c r="IN6" s="243"/>
      <c r="IO6" s="243"/>
      <c r="IP6" s="243"/>
      <c r="IQ6" s="243"/>
      <c r="IR6" s="243"/>
      <c r="IS6" s="243"/>
    </row>
    <row r="7" spans="1:253" s="206" customFormat="1" ht="15" customHeight="1" x14ac:dyDescent="0.2">
      <c r="A7" s="206" t="s">
        <v>67</v>
      </c>
      <c r="B7" s="208">
        <v>1691.1074000000001</v>
      </c>
      <c r="C7" s="207">
        <v>11369863196300.199</v>
      </c>
      <c r="D7" s="242">
        <v>3400397915553.5498</v>
      </c>
      <c r="E7" s="242">
        <v>14770261111853.801</v>
      </c>
      <c r="F7" s="241">
        <v>874700943065.48999</v>
      </c>
      <c r="G7" s="241">
        <v>192792909852.93799</v>
      </c>
      <c r="H7" s="240">
        <v>170209780256.405</v>
      </c>
      <c r="I7" s="240">
        <v>17358806748275.1</v>
      </c>
      <c r="J7" s="207">
        <v>9666094007756.25</v>
      </c>
      <c r="K7" s="208">
        <v>24091251.211199999</v>
      </c>
      <c r="L7" s="207">
        <v>6216869138428.7998</v>
      </c>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3"/>
      <c r="AR7" s="243"/>
      <c r="AS7" s="243"/>
      <c r="AT7" s="243"/>
      <c r="AU7" s="243"/>
      <c r="AV7" s="243"/>
      <c r="AW7" s="243"/>
      <c r="AX7" s="243"/>
      <c r="AY7" s="243"/>
      <c r="AZ7" s="243"/>
      <c r="BA7" s="243"/>
      <c r="BB7" s="243"/>
      <c r="BC7" s="243"/>
      <c r="BD7" s="243"/>
      <c r="BE7" s="243"/>
      <c r="BF7" s="243"/>
      <c r="BG7" s="243"/>
      <c r="BH7" s="243"/>
      <c r="BI7" s="243"/>
      <c r="BJ7" s="243"/>
      <c r="BK7" s="243"/>
      <c r="BL7" s="243"/>
      <c r="BM7" s="243"/>
      <c r="BN7" s="243"/>
      <c r="BO7" s="243"/>
      <c r="BP7" s="243"/>
      <c r="BQ7" s="243"/>
      <c r="BR7" s="243"/>
      <c r="BS7" s="243"/>
      <c r="BT7" s="243"/>
      <c r="BU7" s="243"/>
      <c r="BV7" s="243"/>
      <c r="BW7" s="243"/>
      <c r="BX7" s="243"/>
      <c r="BY7" s="243"/>
      <c r="BZ7" s="243"/>
      <c r="CA7" s="243"/>
      <c r="CB7" s="243"/>
      <c r="CC7" s="243"/>
      <c r="CD7" s="243"/>
      <c r="CE7" s="243"/>
      <c r="CF7" s="243"/>
      <c r="CG7" s="243"/>
      <c r="CH7" s="243"/>
      <c r="CI7" s="243"/>
      <c r="CJ7" s="243"/>
      <c r="CK7" s="243"/>
      <c r="CL7" s="243"/>
      <c r="CM7" s="243"/>
      <c r="CN7" s="243"/>
      <c r="CO7" s="243"/>
      <c r="CP7" s="243"/>
      <c r="CQ7" s="243"/>
      <c r="CR7" s="243"/>
      <c r="CS7" s="243"/>
      <c r="CT7" s="243"/>
      <c r="CU7" s="243"/>
      <c r="CV7" s="243"/>
      <c r="CW7" s="243"/>
      <c r="CX7" s="243"/>
      <c r="CY7" s="243"/>
      <c r="CZ7" s="243"/>
      <c r="DA7" s="243"/>
      <c r="DB7" s="243"/>
      <c r="DC7" s="243"/>
      <c r="DD7" s="243"/>
      <c r="DE7" s="243"/>
      <c r="DF7" s="243"/>
      <c r="DG7" s="243"/>
      <c r="DH7" s="243"/>
      <c r="DI7" s="243"/>
      <c r="DJ7" s="243"/>
      <c r="DK7" s="243"/>
      <c r="DL7" s="243"/>
      <c r="DM7" s="243"/>
      <c r="DN7" s="243"/>
      <c r="DO7" s="243"/>
      <c r="DP7" s="243"/>
      <c r="DQ7" s="243"/>
      <c r="DR7" s="243"/>
      <c r="DS7" s="243"/>
      <c r="DT7" s="243"/>
      <c r="DU7" s="243"/>
      <c r="DV7" s="243"/>
      <c r="DW7" s="243"/>
      <c r="DX7" s="243"/>
      <c r="DY7" s="243"/>
      <c r="DZ7" s="243"/>
      <c r="EA7" s="243"/>
      <c r="EB7" s="243"/>
      <c r="EC7" s="243"/>
      <c r="ED7" s="243"/>
      <c r="EE7" s="243"/>
      <c r="EF7" s="243"/>
      <c r="EG7" s="243"/>
      <c r="EH7" s="243"/>
      <c r="EI7" s="243"/>
      <c r="EJ7" s="243"/>
      <c r="EK7" s="243"/>
      <c r="EL7" s="243"/>
      <c r="EM7" s="243"/>
      <c r="EN7" s="243"/>
      <c r="EO7" s="243"/>
      <c r="EP7" s="243"/>
      <c r="EQ7" s="243"/>
      <c r="ER7" s="243"/>
      <c r="ES7" s="243"/>
      <c r="ET7" s="243"/>
      <c r="EU7" s="243"/>
      <c r="EV7" s="243"/>
      <c r="EW7" s="243"/>
      <c r="EX7" s="243"/>
      <c r="EY7" s="243"/>
      <c r="EZ7" s="243"/>
      <c r="FA7" s="243"/>
      <c r="FB7" s="243"/>
      <c r="FC7" s="243"/>
      <c r="FD7" s="243"/>
      <c r="FE7" s="243"/>
      <c r="FF7" s="243"/>
      <c r="FG7" s="243"/>
      <c r="FH7" s="243"/>
      <c r="FI7" s="243"/>
      <c r="FJ7" s="243"/>
      <c r="FK7" s="243"/>
      <c r="FL7" s="243"/>
      <c r="FM7" s="243"/>
      <c r="FN7" s="243"/>
      <c r="FO7" s="243"/>
      <c r="FP7" s="243"/>
      <c r="FQ7" s="243"/>
      <c r="FR7" s="243"/>
      <c r="FS7" s="243"/>
      <c r="FT7" s="243"/>
      <c r="FU7" s="243"/>
      <c r="FV7" s="243"/>
      <c r="FW7" s="243"/>
      <c r="FX7" s="243"/>
      <c r="FY7" s="243"/>
      <c r="FZ7" s="243"/>
      <c r="GA7" s="243"/>
      <c r="GB7" s="243"/>
      <c r="GC7" s="243"/>
      <c r="GD7" s="243"/>
      <c r="GE7" s="243"/>
      <c r="GF7" s="243"/>
      <c r="GG7" s="243"/>
      <c r="GH7" s="243"/>
      <c r="GI7" s="243"/>
      <c r="GJ7" s="243"/>
      <c r="GK7" s="243"/>
      <c r="GL7" s="243"/>
      <c r="GM7" s="243"/>
      <c r="GN7" s="243"/>
      <c r="GO7" s="243"/>
      <c r="GP7" s="243"/>
      <c r="GQ7" s="243"/>
      <c r="GR7" s="243"/>
      <c r="GS7" s="243"/>
      <c r="GT7" s="243"/>
      <c r="GU7" s="243"/>
      <c r="GV7" s="243"/>
      <c r="GW7" s="243"/>
      <c r="GX7" s="243"/>
      <c r="GY7" s="243"/>
      <c r="GZ7" s="243"/>
      <c r="HA7" s="243"/>
      <c r="HB7" s="243"/>
      <c r="HC7" s="243"/>
      <c r="HD7" s="243"/>
      <c r="HE7" s="243"/>
      <c r="HF7" s="243"/>
      <c r="HG7" s="243"/>
      <c r="HH7" s="243"/>
      <c r="HI7" s="243"/>
      <c r="HJ7" s="243"/>
      <c r="HK7" s="243"/>
      <c r="HL7" s="243"/>
      <c r="HM7" s="243"/>
      <c r="HN7" s="243"/>
      <c r="HO7" s="243"/>
      <c r="HP7" s="243"/>
      <c r="HQ7" s="243"/>
      <c r="HR7" s="243"/>
      <c r="HS7" s="243"/>
      <c r="HT7" s="243"/>
      <c r="HU7" s="243"/>
      <c r="HV7" s="243"/>
      <c r="HW7" s="243"/>
      <c r="HX7" s="243"/>
      <c r="HY7" s="243"/>
      <c r="HZ7" s="243"/>
      <c r="IA7" s="243"/>
      <c r="IB7" s="243"/>
      <c r="IC7" s="243"/>
      <c r="ID7" s="243"/>
      <c r="IE7" s="243"/>
      <c r="IF7" s="243"/>
      <c r="IG7" s="243"/>
      <c r="IH7" s="243"/>
      <c r="II7" s="243"/>
      <c r="IJ7" s="243"/>
      <c r="IK7" s="243"/>
      <c r="IL7" s="243"/>
      <c r="IM7" s="243"/>
      <c r="IN7" s="243"/>
      <c r="IO7" s="243"/>
      <c r="IP7" s="243"/>
      <c r="IQ7" s="243"/>
      <c r="IR7" s="243"/>
      <c r="IS7" s="243"/>
    </row>
    <row r="8" spans="1:253" s="206" customFormat="1" ht="15" customHeight="1" x14ac:dyDescent="0.2">
      <c r="A8" s="206" t="s">
        <v>536</v>
      </c>
      <c r="B8" s="208">
        <v>599.0308</v>
      </c>
      <c r="C8" s="207">
        <v>634728911393.979</v>
      </c>
      <c r="D8" s="242">
        <v>147505427260.52499</v>
      </c>
      <c r="E8" s="242">
        <v>782234338654.50403</v>
      </c>
      <c r="F8" s="241">
        <v>170666336433.642</v>
      </c>
      <c r="G8" s="241">
        <v>1913711247.1127999</v>
      </c>
      <c r="H8" s="240">
        <v>7156845645.5592003</v>
      </c>
      <c r="I8" s="240">
        <v>1800051177692.1899</v>
      </c>
      <c r="J8" s="207">
        <v>665984949324.672</v>
      </c>
      <c r="K8" s="208">
        <v>1102550.6377000001</v>
      </c>
      <c r="L8" s="207">
        <v>487789076791.65601</v>
      </c>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3"/>
      <c r="AY8" s="243"/>
      <c r="AZ8" s="243"/>
      <c r="BA8" s="243"/>
      <c r="BB8" s="243"/>
      <c r="BC8" s="243"/>
      <c r="BD8" s="243"/>
      <c r="BE8" s="243"/>
      <c r="BF8" s="243"/>
      <c r="BG8" s="243"/>
      <c r="BH8" s="243"/>
      <c r="BI8" s="243"/>
      <c r="BJ8" s="243"/>
      <c r="BK8" s="243"/>
      <c r="BL8" s="243"/>
      <c r="BM8" s="243"/>
      <c r="BN8" s="243"/>
      <c r="BO8" s="243"/>
      <c r="BP8" s="243"/>
      <c r="BQ8" s="243"/>
      <c r="BR8" s="243"/>
      <c r="BS8" s="243"/>
      <c r="BT8" s="243"/>
      <c r="BU8" s="243"/>
      <c r="BV8" s="243"/>
      <c r="BW8" s="243"/>
      <c r="BX8" s="243"/>
      <c r="BY8" s="243"/>
      <c r="BZ8" s="243"/>
      <c r="CA8" s="243"/>
      <c r="CB8" s="243"/>
      <c r="CC8" s="243"/>
      <c r="CD8" s="243"/>
      <c r="CE8" s="243"/>
      <c r="CF8" s="243"/>
      <c r="CG8" s="243"/>
      <c r="CH8" s="243"/>
      <c r="CI8" s="243"/>
      <c r="CJ8" s="243"/>
      <c r="CK8" s="243"/>
      <c r="CL8" s="243"/>
      <c r="CM8" s="243"/>
      <c r="CN8" s="243"/>
      <c r="CO8" s="243"/>
      <c r="CP8" s="243"/>
      <c r="CQ8" s="243"/>
      <c r="CR8" s="243"/>
      <c r="CS8" s="243"/>
      <c r="CT8" s="243"/>
      <c r="CU8" s="243"/>
      <c r="CV8" s="243"/>
      <c r="CW8" s="243"/>
      <c r="CX8" s="243"/>
      <c r="CY8" s="243"/>
      <c r="CZ8" s="243"/>
      <c r="DA8" s="243"/>
      <c r="DB8" s="243"/>
      <c r="DC8" s="243"/>
      <c r="DD8" s="243"/>
      <c r="DE8" s="243"/>
      <c r="DF8" s="243"/>
      <c r="DG8" s="243"/>
      <c r="DH8" s="243"/>
      <c r="DI8" s="243"/>
      <c r="DJ8" s="243"/>
      <c r="DK8" s="243"/>
      <c r="DL8" s="243"/>
      <c r="DM8" s="243"/>
      <c r="DN8" s="243"/>
      <c r="DO8" s="243"/>
      <c r="DP8" s="243"/>
      <c r="DQ8" s="243"/>
      <c r="DR8" s="243"/>
      <c r="DS8" s="243"/>
      <c r="DT8" s="243"/>
      <c r="DU8" s="243"/>
      <c r="DV8" s="243"/>
      <c r="DW8" s="243"/>
      <c r="DX8" s="243"/>
      <c r="DY8" s="243"/>
      <c r="DZ8" s="243"/>
      <c r="EA8" s="243"/>
      <c r="EB8" s="243"/>
      <c r="EC8" s="243"/>
      <c r="ED8" s="243"/>
      <c r="EE8" s="243"/>
      <c r="EF8" s="243"/>
      <c r="EG8" s="243"/>
      <c r="EH8" s="243"/>
      <c r="EI8" s="243"/>
      <c r="EJ8" s="243"/>
      <c r="EK8" s="243"/>
      <c r="EL8" s="243"/>
      <c r="EM8" s="243"/>
      <c r="EN8" s="243"/>
      <c r="EO8" s="243"/>
      <c r="EP8" s="243"/>
      <c r="EQ8" s="243"/>
      <c r="ER8" s="243"/>
      <c r="ES8" s="243"/>
      <c r="ET8" s="243"/>
      <c r="EU8" s="243"/>
      <c r="EV8" s="243"/>
      <c r="EW8" s="243"/>
      <c r="EX8" s="243"/>
      <c r="EY8" s="243"/>
      <c r="EZ8" s="243"/>
      <c r="FA8" s="243"/>
      <c r="FB8" s="243"/>
      <c r="FC8" s="243"/>
      <c r="FD8" s="243"/>
      <c r="FE8" s="243"/>
      <c r="FF8" s="243"/>
      <c r="FG8" s="243"/>
      <c r="FH8" s="243"/>
      <c r="FI8" s="243"/>
      <c r="FJ8" s="243"/>
      <c r="FK8" s="243"/>
      <c r="FL8" s="243"/>
      <c r="FM8" s="243"/>
      <c r="FN8" s="243"/>
      <c r="FO8" s="243"/>
      <c r="FP8" s="243"/>
      <c r="FQ8" s="243"/>
      <c r="FR8" s="243"/>
      <c r="FS8" s="243"/>
      <c r="FT8" s="243"/>
      <c r="FU8" s="243"/>
      <c r="FV8" s="243"/>
      <c r="FW8" s="243"/>
      <c r="FX8" s="243"/>
      <c r="FY8" s="243"/>
      <c r="FZ8" s="243"/>
      <c r="GA8" s="243"/>
      <c r="GB8" s="243"/>
      <c r="GC8" s="243"/>
      <c r="GD8" s="243"/>
      <c r="GE8" s="243"/>
      <c r="GF8" s="243"/>
      <c r="GG8" s="243"/>
      <c r="GH8" s="243"/>
      <c r="GI8" s="243"/>
      <c r="GJ8" s="243"/>
      <c r="GK8" s="243"/>
      <c r="GL8" s="243"/>
      <c r="GM8" s="243"/>
      <c r="GN8" s="243"/>
      <c r="GO8" s="243"/>
      <c r="GP8" s="243"/>
      <c r="GQ8" s="243"/>
      <c r="GR8" s="243"/>
      <c r="GS8" s="243"/>
      <c r="GT8" s="243"/>
      <c r="GU8" s="243"/>
      <c r="GV8" s="243"/>
      <c r="GW8" s="243"/>
      <c r="GX8" s="243"/>
      <c r="GY8" s="243"/>
      <c r="GZ8" s="243"/>
      <c r="HA8" s="243"/>
      <c r="HB8" s="243"/>
      <c r="HC8" s="243"/>
      <c r="HD8" s="243"/>
      <c r="HE8" s="243"/>
      <c r="HF8" s="243"/>
      <c r="HG8" s="243"/>
      <c r="HH8" s="243"/>
      <c r="HI8" s="243"/>
      <c r="HJ8" s="243"/>
      <c r="HK8" s="243"/>
      <c r="HL8" s="243"/>
      <c r="HM8" s="243"/>
      <c r="HN8" s="243"/>
      <c r="HO8" s="243"/>
      <c r="HP8" s="243"/>
      <c r="HQ8" s="243"/>
      <c r="HR8" s="243"/>
      <c r="HS8" s="243"/>
      <c r="HT8" s="243"/>
      <c r="HU8" s="243"/>
      <c r="HV8" s="243"/>
      <c r="HW8" s="243"/>
      <c r="HX8" s="243"/>
      <c r="HY8" s="243"/>
      <c r="HZ8" s="243"/>
      <c r="IA8" s="243"/>
      <c r="IB8" s="243"/>
      <c r="IC8" s="243"/>
      <c r="ID8" s="243"/>
      <c r="IE8" s="243"/>
      <c r="IF8" s="243"/>
      <c r="IG8" s="243"/>
      <c r="IH8" s="243"/>
      <c r="II8" s="243"/>
      <c r="IJ8" s="243"/>
      <c r="IK8" s="243"/>
      <c r="IL8" s="243"/>
      <c r="IM8" s="243"/>
      <c r="IN8" s="243"/>
      <c r="IO8" s="243"/>
      <c r="IP8" s="243"/>
      <c r="IQ8" s="243"/>
      <c r="IR8" s="243"/>
      <c r="IS8" s="243"/>
    </row>
    <row r="9" spans="1:253" s="206" customFormat="1" ht="15" customHeight="1" x14ac:dyDescent="0.2">
      <c r="A9" s="206" t="s">
        <v>537</v>
      </c>
      <c r="B9" s="208">
        <v>626.01530000000002</v>
      </c>
      <c r="C9" s="207">
        <v>52367019558.806702</v>
      </c>
      <c r="D9" s="242">
        <v>16906198304.4405</v>
      </c>
      <c r="E9" s="242">
        <v>69273217863.247192</v>
      </c>
      <c r="F9" s="241">
        <v>5544452280.4756002</v>
      </c>
      <c r="G9" s="241">
        <v>2717207574.7670002</v>
      </c>
      <c r="H9" s="240">
        <v>2294646506.9232001</v>
      </c>
      <c r="I9" s="240">
        <v>73159302826.4935</v>
      </c>
      <c r="J9" s="207">
        <v>14846277833.287901</v>
      </c>
      <c r="K9" s="208">
        <v>272951.07250000001</v>
      </c>
      <c r="L9" s="207">
        <v>49050010617.5933</v>
      </c>
      <c r="M9" s="243"/>
      <c r="N9" s="243"/>
      <c r="O9" s="243"/>
      <c r="P9" s="243"/>
      <c r="Q9" s="243"/>
      <c r="R9" s="243"/>
      <c r="S9" s="243"/>
      <c r="T9" s="243"/>
      <c r="U9" s="243"/>
      <c r="V9" s="243"/>
      <c r="W9" s="243"/>
      <c r="X9" s="243"/>
      <c r="Y9" s="243"/>
      <c r="Z9" s="243"/>
      <c r="AA9" s="243"/>
      <c r="AB9" s="243"/>
      <c r="AC9" s="243"/>
      <c r="AD9" s="243"/>
      <c r="AE9" s="243"/>
      <c r="AF9" s="243"/>
      <c r="AG9" s="243"/>
      <c r="AH9" s="243"/>
      <c r="AI9" s="243"/>
      <c r="AJ9" s="243"/>
      <c r="AK9" s="243"/>
      <c r="AL9" s="243"/>
      <c r="AM9" s="243"/>
      <c r="AN9" s="243"/>
      <c r="AO9" s="243"/>
      <c r="AP9" s="243"/>
      <c r="AQ9" s="243"/>
      <c r="AR9" s="243"/>
      <c r="AS9" s="243"/>
      <c r="AT9" s="243"/>
      <c r="AU9" s="243"/>
      <c r="AV9" s="243"/>
      <c r="AW9" s="243"/>
      <c r="AX9" s="243"/>
      <c r="AY9" s="243"/>
      <c r="AZ9" s="243"/>
      <c r="BA9" s="243"/>
      <c r="BB9" s="243"/>
      <c r="BC9" s="243"/>
      <c r="BD9" s="243"/>
      <c r="BE9" s="243"/>
      <c r="BF9" s="243"/>
      <c r="BG9" s="243"/>
      <c r="BH9" s="243"/>
      <c r="BI9" s="243"/>
      <c r="BJ9" s="243"/>
      <c r="BK9" s="243"/>
      <c r="BL9" s="243"/>
      <c r="BM9" s="243"/>
      <c r="BN9" s="243"/>
      <c r="BO9" s="243"/>
      <c r="BP9" s="243"/>
      <c r="BQ9" s="243"/>
      <c r="BR9" s="243"/>
      <c r="BS9" s="243"/>
      <c r="BT9" s="243"/>
      <c r="BU9" s="243"/>
      <c r="BV9" s="243"/>
      <c r="BW9" s="243"/>
      <c r="BX9" s="243"/>
      <c r="BY9" s="243"/>
      <c r="BZ9" s="243"/>
      <c r="CA9" s="243"/>
      <c r="CB9" s="243"/>
      <c r="CC9" s="243"/>
      <c r="CD9" s="243"/>
      <c r="CE9" s="243"/>
      <c r="CF9" s="243"/>
      <c r="CG9" s="243"/>
      <c r="CH9" s="243"/>
      <c r="CI9" s="243"/>
      <c r="CJ9" s="243"/>
      <c r="CK9" s="243"/>
      <c r="CL9" s="243"/>
      <c r="CM9" s="243"/>
      <c r="CN9" s="243"/>
      <c r="CO9" s="243"/>
      <c r="CP9" s="243"/>
      <c r="CQ9" s="243"/>
      <c r="CR9" s="243"/>
      <c r="CS9" s="243"/>
      <c r="CT9" s="243"/>
      <c r="CU9" s="243"/>
      <c r="CV9" s="243"/>
      <c r="CW9" s="243"/>
      <c r="CX9" s="243"/>
      <c r="CY9" s="243"/>
      <c r="CZ9" s="243"/>
      <c r="DA9" s="243"/>
      <c r="DB9" s="243"/>
      <c r="DC9" s="243"/>
      <c r="DD9" s="243"/>
      <c r="DE9" s="243"/>
      <c r="DF9" s="243"/>
      <c r="DG9" s="243"/>
      <c r="DH9" s="243"/>
      <c r="DI9" s="243"/>
      <c r="DJ9" s="243"/>
      <c r="DK9" s="243"/>
      <c r="DL9" s="243"/>
      <c r="DM9" s="243"/>
      <c r="DN9" s="243"/>
      <c r="DO9" s="243"/>
      <c r="DP9" s="243"/>
      <c r="DQ9" s="243"/>
      <c r="DR9" s="243"/>
      <c r="DS9" s="243"/>
      <c r="DT9" s="243"/>
      <c r="DU9" s="243"/>
      <c r="DV9" s="243"/>
      <c r="DW9" s="243"/>
      <c r="DX9" s="243"/>
      <c r="DY9" s="243"/>
      <c r="DZ9" s="243"/>
      <c r="EA9" s="243"/>
      <c r="EB9" s="243"/>
      <c r="EC9" s="243"/>
      <c r="ED9" s="243"/>
      <c r="EE9" s="243"/>
      <c r="EF9" s="243"/>
      <c r="EG9" s="243"/>
      <c r="EH9" s="243"/>
      <c r="EI9" s="243"/>
      <c r="EJ9" s="243"/>
      <c r="EK9" s="243"/>
      <c r="EL9" s="243"/>
      <c r="EM9" s="243"/>
      <c r="EN9" s="243"/>
      <c r="EO9" s="243"/>
      <c r="EP9" s="243"/>
      <c r="EQ9" s="243"/>
      <c r="ER9" s="243"/>
      <c r="ES9" s="243"/>
      <c r="ET9" s="243"/>
      <c r="EU9" s="243"/>
      <c r="EV9" s="243"/>
      <c r="EW9" s="243"/>
      <c r="EX9" s="243"/>
      <c r="EY9" s="243"/>
      <c r="EZ9" s="243"/>
      <c r="FA9" s="243"/>
      <c r="FB9" s="243"/>
      <c r="FC9" s="243"/>
      <c r="FD9" s="243"/>
      <c r="FE9" s="243"/>
      <c r="FF9" s="243"/>
      <c r="FG9" s="243"/>
      <c r="FH9" s="243"/>
      <c r="FI9" s="243"/>
      <c r="FJ9" s="243"/>
      <c r="FK9" s="243"/>
      <c r="FL9" s="243"/>
      <c r="FM9" s="243"/>
      <c r="FN9" s="243"/>
      <c r="FO9" s="243"/>
      <c r="FP9" s="243"/>
      <c r="FQ9" s="243"/>
      <c r="FR9" s="243"/>
      <c r="FS9" s="243"/>
      <c r="FT9" s="243"/>
      <c r="FU9" s="243"/>
      <c r="FV9" s="243"/>
      <c r="FW9" s="243"/>
      <c r="FX9" s="243"/>
      <c r="FY9" s="243"/>
      <c r="FZ9" s="243"/>
      <c r="GA9" s="243"/>
      <c r="GB9" s="243"/>
      <c r="GC9" s="243"/>
      <c r="GD9" s="243"/>
      <c r="GE9" s="243"/>
      <c r="GF9" s="243"/>
      <c r="GG9" s="243"/>
      <c r="GH9" s="243"/>
      <c r="GI9" s="243"/>
      <c r="GJ9" s="243"/>
      <c r="GK9" s="243"/>
      <c r="GL9" s="243"/>
      <c r="GM9" s="243"/>
      <c r="GN9" s="243"/>
      <c r="GO9" s="243"/>
      <c r="GP9" s="243"/>
      <c r="GQ9" s="243"/>
      <c r="GR9" s="243"/>
      <c r="GS9" s="243"/>
      <c r="GT9" s="243"/>
      <c r="GU9" s="243"/>
      <c r="GV9" s="243"/>
      <c r="GW9" s="243"/>
      <c r="GX9" s="243"/>
      <c r="GY9" s="243"/>
      <c r="GZ9" s="243"/>
      <c r="HA9" s="243"/>
      <c r="HB9" s="243"/>
      <c r="HC9" s="243"/>
      <c r="HD9" s="243"/>
      <c r="HE9" s="243"/>
      <c r="HF9" s="243"/>
      <c r="HG9" s="243"/>
      <c r="HH9" s="243"/>
      <c r="HI9" s="243"/>
      <c r="HJ9" s="243"/>
      <c r="HK9" s="243"/>
      <c r="HL9" s="243"/>
      <c r="HM9" s="243"/>
      <c r="HN9" s="243"/>
      <c r="HO9" s="243"/>
      <c r="HP9" s="243"/>
      <c r="HQ9" s="243"/>
      <c r="HR9" s="243"/>
      <c r="HS9" s="243"/>
      <c r="HT9" s="243"/>
      <c r="HU9" s="243"/>
      <c r="HV9" s="243"/>
      <c r="HW9" s="243"/>
      <c r="HX9" s="243"/>
      <c r="HY9" s="243"/>
      <c r="HZ9" s="243"/>
      <c r="IA9" s="243"/>
      <c r="IB9" s="243"/>
      <c r="IC9" s="243"/>
      <c r="ID9" s="243"/>
      <c r="IE9" s="243"/>
      <c r="IF9" s="243"/>
      <c r="IG9" s="243"/>
      <c r="IH9" s="243"/>
      <c r="II9" s="243"/>
      <c r="IJ9" s="243"/>
      <c r="IK9" s="243"/>
      <c r="IL9" s="243"/>
      <c r="IM9" s="243"/>
      <c r="IN9" s="243"/>
      <c r="IO9" s="243"/>
      <c r="IP9" s="243"/>
      <c r="IQ9" s="243"/>
      <c r="IR9" s="243"/>
      <c r="IS9" s="243"/>
    </row>
    <row r="10" spans="1:253" s="206" customFormat="1" ht="15" customHeight="1" x14ac:dyDescent="0.2">
      <c r="A10" s="218" t="s">
        <v>299</v>
      </c>
      <c r="B10" s="214">
        <v>46</v>
      </c>
      <c r="C10" s="213">
        <v>1249818787</v>
      </c>
      <c r="D10" s="217">
        <v>518063075</v>
      </c>
      <c r="E10" s="217">
        <v>1767881862</v>
      </c>
      <c r="F10" s="226">
        <v>-636842907</v>
      </c>
      <c r="G10" s="216">
        <v>220704873</v>
      </c>
      <c r="H10" s="215">
        <v>243295118</v>
      </c>
      <c r="I10" s="215">
        <v>10201279434</v>
      </c>
      <c r="J10" s="226">
        <v>-7420776270</v>
      </c>
      <c r="K10" s="214">
        <v>3586</v>
      </c>
      <c r="L10" s="213">
        <v>1276819533</v>
      </c>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243"/>
      <c r="AK10" s="243"/>
      <c r="AL10" s="243"/>
      <c r="AM10" s="243"/>
      <c r="AN10" s="243"/>
      <c r="AO10" s="243"/>
      <c r="AP10" s="243"/>
      <c r="AQ10" s="243"/>
      <c r="AR10" s="243"/>
      <c r="AS10" s="243"/>
      <c r="AT10" s="243"/>
      <c r="AU10" s="243"/>
      <c r="AV10" s="243"/>
      <c r="AW10" s="243"/>
      <c r="AX10" s="243"/>
      <c r="AY10" s="243"/>
      <c r="AZ10" s="243"/>
      <c r="BA10" s="243"/>
      <c r="BB10" s="243"/>
      <c r="BC10" s="243"/>
      <c r="BD10" s="243"/>
      <c r="BE10" s="243"/>
      <c r="BF10" s="243"/>
      <c r="BG10" s="243"/>
      <c r="BH10" s="243"/>
      <c r="BI10" s="243"/>
      <c r="BJ10" s="243"/>
      <c r="BK10" s="243"/>
      <c r="BL10" s="243"/>
      <c r="BM10" s="243"/>
      <c r="BN10" s="243"/>
      <c r="BO10" s="243"/>
      <c r="BP10" s="243"/>
      <c r="BQ10" s="243"/>
      <c r="BR10" s="243"/>
      <c r="BS10" s="243"/>
      <c r="BT10" s="243"/>
      <c r="BU10" s="243"/>
      <c r="BV10" s="243"/>
      <c r="BW10" s="243"/>
      <c r="BX10" s="243"/>
      <c r="BY10" s="243"/>
      <c r="BZ10" s="243"/>
      <c r="CA10" s="243"/>
      <c r="CB10" s="243"/>
      <c r="CC10" s="243"/>
      <c r="CD10" s="243"/>
      <c r="CE10" s="243"/>
      <c r="CF10" s="243"/>
      <c r="CG10" s="243"/>
      <c r="CH10" s="243"/>
      <c r="CI10" s="243"/>
      <c r="CJ10" s="243"/>
      <c r="CK10" s="243"/>
      <c r="CL10" s="243"/>
      <c r="CM10" s="243"/>
      <c r="CN10" s="243"/>
      <c r="CO10" s="243"/>
      <c r="CP10" s="243"/>
      <c r="CQ10" s="243"/>
      <c r="CR10" s="243"/>
      <c r="CS10" s="243"/>
      <c r="CT10" s="243"/>
      <c r="CU10" s="243"/>
      <c r="CV10" s="243"/>
      <c r="CW10" s="243"/>
      <c r="CX10" s="243"/>
      <c r="CY10" s="243"/>
      <c r="CZ10" s="243"/>
      <c r="DA10" s="243"/>
      <c r="DB10" s="243"/>
      <c r="DC10" s="243"/>
      <c r="DD10" s="243"/>
      <c r="DE10" s="243"/>
      <c r="DF10" s="243"/>
      <c r="DG10" s="243"/>
      <c r="DH10" s="243"/>
      <c r="DI10" s="243"/>
      <c r="DJ10" s="243"/>
      <c r="DK10" s="243"/>
      <c r="DL10" s="243"/>
      <c r="DM10" s="243"/>
      <c r="DN10" s="243"/>
      <c r="DO10" s="243"/>
      <c r="DP10" s="243"/>
      <c r="DQ10" s="243"/>
      <c r="DR10" s="243"/>
      <c r="DS10" s="243"/>
      <c r="DT10" s="243"/>
      <c r="DU10" s="243"/>
      <c r="DV10" s="243"/>
      <c r="DW10" s="243"/>
      <c r="DX10" s="243"/>
      <c r="DY10" s="243"/>
      <c r="DZ10" s="243"/>
      <c r="EA10" s="243"/>
      <c r="EB10" s="243"/>
      <c r="EC10" s="243"/>
      <c r="ED10" s="243"/>
      <c r="EE10" s="243"/>
      <c r="EF10" s="243"/>
      <c r="EG10" s="243"/>
      <c r="EH10" s="243"/>
      <c r="EI10" s="243"/>
      <c r="EJ10" s="243"/>
      <c r="EK10" s="243"/>
      <c r="EL10" s="243"/>
      <c r="EM10" s="243"/>
      <c r="EN10" s="243"/>
      <c r="EO10" s="243"/>
      <c r="EP10" s="243"/>
      <c r="EQ10" s="243"/>
      <c r="ER10" s="243"/>
      <c r="ES10" s="243"/>
      <c r="ET10" s="243"/>
      <c r="EU10" s="243"/>
      <c r="EV10" s="243"/>
      <c r="EW10" s="243"/>
      <c r="EX10" s="243"/>
      <c r="EY10" s="243"/>
      <c r="EZ10" s="243"/>
      <c r="FA10" s="243"/>
      <c r="FB10" s="243"/>
      <c r="FC10" s="243"/>
      <c r="FD10" s="243"/>
      <c r="FE10" s="243"/>
      <c r="FF10" s="243"/>
      <c r="FG10" s="243"/>
      <c r="FH10" s="243"/>
      <c r="FI10" s="243"/>
      <c r="FJ10" s="243"/>
      <c r="FK10" s="243"/>
      <c r="FL10" s="243"/>
      <c r="FM10" s="243"/>
      <c r="FN10" s="243"/>
      <c r="FO10" s="243"/>
      <c r="FP10" s="243"/>
      <c r="FQ10" s="243"/>
      <c r="FR10" s="243"/>
      <c r="FS10" s="243"/>
      <c r="FT10" s="243"/>
      <c r="FU10" s="243"/>
      <c r="FV10" s="243"/>
      <c r="FW10" s="243"/>
      <c r="FX10" s="243"/>
      <c r="FY10" s="243"/>
      <c r="FZ10" s="243"/>
      <c r="GA10" s="243"/>
      <c r="GB10" s="243"/>
      <c r="GC10" s="243"/>
      <c r="GD10" s="243"/>
      <c r="GE10" s="243"/>
      <c r="GF10" s="243"/>
      <c r="GG10" s="243"/>
      <c r="GH10" s="243"/>
      <c r="GI10" s="243"/>
      <c r="GJ10" s="243"/>
      <c r="GK10" s="243"/>
      <c r="GL10" s="243"/>
      <c r="GM10" s="243"/>
      <c r="GN10" s="243"/>
      <c r="GO10" s="243"/>
      <c r="GP10" s="243"/>
      <c r="GQ10" s="243"/>
      <c r="GR10" s="243"/>
      <c r="GS10" s="243"/>
      <c r="GT10" s="243"/>
      <c r="GU10" s="243"/>
      <c r="GV10" s="243"/>
      <c r="GW10" s="243"/>
      <c r="GX10" s="243"/>
      <c r="GY10" s="243"/>
      <c r="GZ10" s="243"/>
      <c r="HA10" s="243"/>
      <c r="HB10" s="243"/>
      <c r="HC10" s="243"/>
      <c r="HD10" s="243"/>
      <c r="HE10" s="243"/>
      <c r="HF10" s="243"/>
      <c r="HG10" s="243"/>
      <c r="HH10" s="243"/>
      <c r="HI10" s="243"/>
      <c r="HJ10" s="243"/>
      <c r="HK10" s="243"/>
      <c r="HL10" s="243"/>
      <c r="HM10" s="243"/>
      <c r="HN10" s="243"/>
      <c r="HO10" s="243"/>
      <c r="HP10" s="243"/>
      <c r="HQ10" s="243"/>
      <c r="HR10" s="243"/>
      <c r="HS10" s="243"/>
      <c r="HT10" s="243"/>
      <c r="HU10" s="243"/>
      <c r="HV10" s="243"/>
      <c r="HW10" s="243"/>
      <c r="HX10" s="243"/>
      <c r="HY10" s="243"/>
      <c r="HZ10" s="243"/>
      <c r="IA10" s="243"/>
      <c r="IB10" s="243"/>
      <c r="IC10" s="243"/>
      <c r="ID10" s="243"/>
      <c r="IE10" s="243"/>
      <c r="IF10" s="243"/>
      <c r="IG10" s="243"/>
      <c r="IH10" s="243"/>
      <c r="II10" s="243"/>
      <c r="IJ10" s="243"/>
      <c r="IK10" s="243"/>
      <c r="IL10" s="243"/>
      <c r="IM10" s="243"/>
      <c r="IN10" s="243"/>
      <c r="IO10" s="243"/>
      <c r="IP10" s="243"/>
      <c r="IQ10" s="243"/>
      <c r="IR10" s="243"/>
      <c r="IS10" s="243"/>
    </row>
    <row r="11" spans="1:253" ht="15" customHeight="1" x14ac:dyDescent="0.15">
      <c r="A11" s="218" t="s">
        <v>301</v>
      </c>
      <c r="B11" s="214">
        <v>36</v>
      </c>
      <c r="C11" s="213">
        <v>29004003</v>
      </c>
      <c r="D11" s="217">
        <v>1382241503</v>
      </c>
      <c r="E11" s="217">
        <v>1411245506</v>
      </c>
      <c r="F11" s="216">
        <v>274904391</v>
      </c>
      <c r="G11" s="216">
        <v>105819922</v>
      </c>
      <c r="H11" s="215">
        <v>76596629</v>
      </c>
      <c r="I11" s="215">
        <v>1480915422</v>
      </c>
      <c r="J11" s="226">
        <v>-1830557277</v>
      </c>
      <c r="K11" s="214">
        <v>3714</v>
      </c>
      <c r="L11" s="213">
        <v>4021186077</v>
      </c>
    </row>
    <row r="12" spans="1:253" ht="15" customHeight="1" x14ac:dyDescent="0.15">
      <c r="A12" s="218" t="s">
        <v>318</v>
      </c>
      <c r="B12" s="214">
        <v>18</v>
      </c>
      <c r="C12" s="213">
        <v>358315091</v>
      </c>
      <c r="D12" s="244">
        <v>42299814</v>
      </c>
      <c r="E12" s="217">
        <v>400614905</v>
      </c>
      <c r="F12" s="216">
        <v>26089004</v>
      </c>
      <c r="G12" s="216">
        <v>5249592</v>
      </c>
      <c r="H12" s="215">
        <v>3976768</v>
      </c>
      <c r="I12" s="215">
        <v>42737309</v>
      </c>
      <c r="J12" s="213">
        <v>78119606</v>
      </c>
      <c r="K12" s="214">
        <v>1486</v>
      </c>
      <c r="L12" s="213">
        <v>58452830</v>
      </c>
    </row>
    <row r="13" spans="1:253" ht="15" customHeight="1" x14ac:dyDescent="0.15">
      <c r="A13" s="218" t="s">
        <v>325</v>
      </c>
      <c r="B13" s="214">
        <v>15</v>
      </c>
      <c r="C13" s="213">
        <v>105400268</v>
      </c>
      <c r="D13" s="244">
        <v>5675686</v>
      </c>
      <c r="E13" s="217">
        <v>111075954</v>
      </c>
      <c r="F13" s="216">
        <v>1641839</v>
      </c>
      <c r="G13" s="216">
        <v>9787830</v>
      </c>
      <c r="H13" s="245">
        <v>8318479</v>
      </c>
      <c r="I13" s="245">
        <v>89459244</v>
      </c>
      <c r="J13" s="213">
        <v>10612940</v>
      </c>
      <c r="K13" s="214">
        <v>300</v>
      </c>
      <c r="L13" s="213">
        <v>208645627</v>
      </c>
    </row>
    <row r="14" spans="1:253" ht="15" customHeight="1" x14ac:dyDescent="0.15">
      <c r="A14" s="218" t="s">
        <v>538</v>
      </c>
      <c r="B14" s="214">
        <v>31.0044</v>
      </c>
      <c r="C14" s="213">
        <v>308967623.84240001</v>
      </c>
      <c r="D14" s="217">
        <v>1377970911</v>
      </c>
      <c r="E14" s="217">
        <v>1686938534.8424001</v>
      </c>
      <c r="F14" s="226">
        <v>-31081470.514400002</v>
      </c>
      <c r="G14" s="216">
        <v>19458698.4452</v>
      </c>
      <c r="H14" s="215">
        <v>12085855</v>
      </c>
      <c r="I14" s="215">
        <v>276461973</v>
      </c>
      <c r="J14" s="213">
        <v>965638282.1092</v>
      </c>
      <c r="K14" s="214">
        <v>1299</v>
      </c>
      <c r="L14" s="213">
        <v>349909104</v>
      </c>
      <c r="M14" s="204"/>
    </row>
    <row r="15" spans="1:253" ht="15" customHeight="1" x14ac:dyDescent="0.15">
      <c r="A15" s="218" t="s">
        <v>213</v>
      </c>
      <c r="B15" s="214">
        <v>174</v>
      </c>
      <c r="C15" s="213">
        <v>9761599975</v>
      </c>
      <c r="D15" s="217">
        <v>1915953579</v>
      </c>
      <c r="E15" s="217">
        <v>11677553554</v>
      </c>
      <c r="F15" s="216">
        <v>597953971</v>
      </c>
      <c r="G15" s="216">
        <v>346297893</v>
      </c>
      <c r="H15" s="215">
        <v>313481648</v>
      </c>
      <c r="I15" s="215">
        <v>2147504476</v>
      </c>
      <c r="J15" s="213">
        <v>12541260726</v>
      </c>
      <c r="K15" s="214">
        <v>47213</v>
      </c>
      <c r="L15" s="213">
        <v>4710187097</v>
      </c>
    </row>
    <row r="16" spans="1:253" ht="15" customHeight="1" x14ac:dyDescent="0.15">
      <c r="A16" s="218" t="s">
        <v>539</v>
      </c>
      <c r="B16" s="214">
        <v>19</v>
      </c>
      <c r="C16" s="213">
        <v>311369380</v>
      </c>
      <c r="D16" s="244">
        <v>11076610</v>
      </c>
      <c r="E16" s="217">
        <v>322445990</v>
      </c>
      <c r="F16" s="216">
        <v>13814983</v>
      </c>
      <c r="G16" s="246">
        <v>20643915</v>
      </c>
      <c r="H16" s="245">
        <v>11850608</v>
      </c>
      <c r="I16" s="245">
        <v>114013947</v>
      </c>
      <c r="J16" s="226">
        <v>-48393290</v>
      </c>
      <c r="K16" s="214">
        <v>3471</v>
      </c>
      <c r="L16" s="247">
        <v>258614412</v>
      </c>
    </row>
    <row r="17" spans="1:253" ht="15" customHeight="1" x14ac:dyDescent="0.15">
      <c r="A17" s="218" t="s">
        <v>355</v>
      </c>
      <c r="B17" s="214">
        <v>24</v>
      </c>
      <c r="C17" s="213">
        <v>65952800</v>
      </c>
      <c r="D17" s="258">
        <v>-1916542</v>
      </c>
      <c r="E17" s="217">
        <v>64036258</v>
      </c>
      <c r="F17" s="216">
        <v>6150842</v>
      </c>
      <c r="G17" s="216">
        <v>11156154</v>
      </c>
      <c r="H17" s="215">
        <v>6987704</v>
      </c>
      <c r="I17" s="215">
        <v>270491927</v>
      </c>
      <c r="J17" s="226">
        <v>-442168652</v>
      </c>
      <c r="K17" s="214">
        <v>127</v>
      </c>
      <c r="L17" s="213">
        <v>25678123</v>
      </c>
    </row>
    <row r="18" spans="1:253" ht="15" customHeight="1" x14ac:dyDescent="0.15">
      <c r="A18" s="218" t="s">
        <v>358</v>
      </c>
      <c r="B18" s="214">
        <v>70.004400000000004</v>
      </c>
      <c r="C18" s="213">
        <v>2509767591</v>
      </c>
      <c r="D18" s="217">
        <v>304783816</v>
      </c>
      <c r="E18" s="217">
        <v>2814551407</v>
      </c>
      <c r="F18" s="226">
        <v>-643511239</v>
      </c>
      <c r="G18" s="216">
        <v>329766752</v>
      </c>
      <c r="H18" s="215">
        <v>231568295</v>
      </c>
      <c r="I18" s="215">
        <v>3610072799</v>
      </c>
      <c r="J18" s="213">
        <v>1465542754.3803999</v>
      </c>
      <c r="K18" s="214">
        <v>7356</v>
      </c>
      <c r="L18" s="213">
        <v>4891961393.1084003</v>
      </c>
      <c r="M18" s="204"/>
    </row>
    <row r="19" spans="1:253" ht="15" customHeight="1" x14ac:dyDescent="0.15">
      <c r="A19" s="218" t="s">
        <v>372</v>
      </c>
      <c r="B19" s="214">
        <v>125.0044</v>
      </c>
      <c r="C19" s="213">
        <v>827540391</v>
      </c>
      <c r="D19" s="217">
        <v>256814259.3716</v>
      </c>
      <c r="E19" s="217">
        <v>1084354650.3715999</v>
      </c>
      <c r="F19" s="216">
        <v>48383012.035599999</v>
      </c>
      <c r="G19" s="216">
        <v>59482415.723200001</v>
      </c>
      <c r="H19" s="215">
        <v>52157849</v>
      </c>
      <c r="I19" s="215">
        <v>850040437.04799998</v>
      </c>
      <c r="J19" s="226">
        <v>-115752773.0008</v>
      </c>
      <c r="K19" s="214">
        <v>4957</v>
      </c>
      <c r="L19" s="213">
        <v>646951147.76839995</v>
      </c>
    </row>
    <row r="20" spans="1:253" ht="15" customHeight="1" x14ac:dyDescent="0.15">
      <c r="A20" s="218" t="s">
        <v>381</v>
      </c>
      <c r="B20" s="214">
        <v>24</v>
      </c>
      <c r="C20" s="247">
        <v>269944058</v>
      </c>
      <c r="D20" s="244">
        <v>7965353</v>
      </c>
      <c r="E20" s="217">
        <v>277909411</v>
      </c>
      <c r="F20" s="216">
        <v>115141352</v>
      </c>
      <c r="G20" s="246">
        <v>202956336</v>
      </c>
      <c r="H20" s="215">
        <v>122795382</v>
      </c>
      <c r="I20" s="245">
        <v>1229778922</v>
      </c>
      <c r="J20" s="226">
        <v>-1092096803</v>
      </c>
      <c r="K20" s="254">
        <v>130</v>
      </c>
      <c r="L20" s="247">
        <v>1030609080</v>
      </c>
    </row>
    <row r="21" spans="1:253" ht="15" customHeight="1" x14ac:dyDescent="0.15">
      <c r="A21" s="218" t="s">
        <v>384</v>
      </c>
      <c r="B21" s="214">
        <v>15</v>
      </c>
      <c r="C21" s="213">
        <v>34007874</v>
      </c>
      <c r="D21" s="244">
        <v>210963588</v>
      </c>
      <c r="E21" s="217">
        <v>244971462</v>
      </c>
      <c r="F21" s="226">
        <v>-6742997</v>
      </c>
      <c r="G21" s="216">
        <v>4637484</v>
      </c>
      <c r="H21" s="245">
        <v>1905646</v>
      </c>
      <c r="I21" s="215">
        <v>34960502</v>
      </c>
      <c r="J21" s="213">
        <v>96903256</v>
      </c>
      <c r="K21" s="214">
        <v>6786</v>
      </c>
      <c r="L21" s="213">
        <v>324301599</v>
      </c>
    </row>
    <row r="22" spans="1:253" s="227" customFormat="1" ht="15" customHeight="1" x14ac:dyDescent="0.15">
      <c r="A22" s="236" t="s">
        <v>389</v>
      </c>
      <c r="B22" s="229">
        <v>216</v>
      </c>
      <c r="C22" s="228">
        <v>6755779678</v>
      </c>
      <c r="D22" s="234">
        <v>1117154897</v>
      </c>
      <c r="E22" s="234">
        <v>7872934575</v>
      </c>
      <c r="F22" s="233">
        <v>6478318185</v>
      </c>
      <c r="G22" s="233">
        <v>269661188</v>
      </c>
      <c r="H22" s="230">
        <v>210787088</v>
      </c>
      <c r="I22" s="230">
        <v>17645697284</v>
      </c>
      <c r="J22" s="228">
        <v>7191401302</v>
      </c>
      <c r="K22" s="229">
        <v>2951</v>
      </c>
      <c r="L22" s="228">
        <v>245008674</v>
      </c>
    </row>
    <row r="23" spans="1:253" ht="15" customHeight="1" x14ac:dyDescent="0.15">
      <c r="A23" s="218" t="s">
        <v>395</v>
      </c>
      <c r="B23" s="214">
        <v>149.00210000000001</v>
      </c>
      <c r="C23" s="213">
        <v>1771859203.4607</v>
      </c>
      <c r="D23" s="217">
        <v>847417116</v>
      </c>
      <c r="E23" s="217">
        <v>2619276319.4607</v>
      </c>
      <c r="F23" s="216">
        <v>98745891.146400005</v>
      </c>
      <c r="G23" s="216">
        <v>45280048.432599999</v>
      </c>
      <c r="H23" s="215">
        <v>59563860.024400003</v>
      </c>
      <c r="I23" s="215">
        <v>942466787</v>
      </c>
      <c r="J23" s="226">
        <v>-355185905</v>
      </c>
      <c r="K23" s="214">
        <v>30636</v>
      </c>
      <c r="L23" s="213">
        <v>863344347</v>
      </c>
    </row>
    <row r="24" spans="1:253" ht="15" customHeight="1" x14ac:dyDescent="0.15">
      <c r="A24" s="218" t="s">
        <v>540</v>
      </c>
      <c r="B24" s="214">
        <v>35</v>
      </c>
      <c r="C24" s="213">
        <v>236896578</v>
      </c>
      <c r="D24" s="217">
        <v>180698824</v>
      </c>
      <c r="E24" s="217">
        <v>417595402</v>
      </c>
      <c r="F24" s="226">
        <v>-3030658</v>
      </c>
      <c r="G24" s="216">
        <v>4641639</v>
      </c>
      <c r="H24" s="215">
        <v>3752862</v>
      </c>
      <c r="I24" s="215">
        <v>60149688</v>
      </c>
      <c r="J24" s="213">
        <v>53982456</v>
      </c>
      <c r="K24" s="214">
        <v>4465</v>
      </c>
      <c r="L24" s="213">
        <v>255990170</v>
      </c>
    </row>
    <row r="25" spans="1:253" ht="15" customHeight="1" x14ac:dyDescent="0.15">
      <c r="A25" s="218" t="s">
        <v>398</v>
      </c>
      <c r="B25" s="214">
        <v>25</v>
      </c>
      <c r="C25" s="213">
        <v>169252667</v>
      </c>
      <c r="D25" s="244">
        <v>4370790</v>
      </c>
      <c r="E25" s="217">
        <v>173623457</v>
      </c>
      <c r="F25" s="216">
        <v>22276888</v>
      </c>
      <c r="G25" s="216">
        <v>8890218</v>
      </c>
      <c r="H25" s="245">
        <v>8443315</v>
      </c>
      <c r="I25" s="215">
        <v>18422028</v>
      </c>
      <c r="J25" s="213">
        <v>24696925</v>
      </c>
      <c r="K25" s="214">
        <v>1048</v>
      </c>
      <c r="L25" s="213">
        <v>89910451</v>
      </c>
    </row>
    <row r="26" spans="1:253" ht="15" customHeight="1" x14ac:dyDescent="0.15">
      <c r="A26" s="218" t="s">
        <v>215</v>
      </c>
      <c r="B26" s="214">
        <v>123</v>
      </c>
      <c r="C26" s="213">
        <v>3158577174</v>
      </c>
      <c r="D26" s="217">
        <v>2591449292</v>
      </c>
      <c r="E26" s="217">
        <v>5750026466</v>
      </c>
      <c r="F26" s="226">
        <v>-1428029501</v>
      </c>
      <c r="G26" s="216">
        <v>379711391</v>
      </c>
      <c r="H26" s="215">
        <v>401056027</v>
      </c>
      <c r="I26" s="215">
        <v>4909920228</v>
      </c>
      <c r="J26" s="213">
        <v>23076083</v>
      </c>
      <c r="K26" s="214">
        <v>10123</v>
      </c>
      <c r="L26" s="213">
        <v>15902195305</v>
      </c>
    </row>
    <row r="27" spans="1:253" ht="15" customHeight="1" x14ac:dyDescent="0.15">
      <c r="A27" s="218" t="s">
        <v>421</v>
      </c>
      <c r="B27" s="214">
        <v>30</v>
      </c>
      <c r="C27" s="213">
        <v>242183952</v>
      </c>
      <c r="D27" s="217">
        <v>32310040</v>
      </c>
      <c r="E27" s="217">
        <v>274493992</v>
      </c>
      <c r="F27" s="216">
        <v>5982309</v>
      </c>
      <c r="G27" s="216">
        <v>11340606</v>
      </c>
      <c r="H27" s="215">
        <v>10099422</v>
      </c>
      <c r="I27" s="215">
        <v>68291286</v>
      </c>
      <c r="J27" s="213">
        <v>29250349</v>
      </c>
      <c r="K27" s="214">
        <v>716</v>
      </c>
      <c r="L27" s="213">
        <v>217397513</v>
      </c>
    </row>
    <row r="28" spans="1:253" ht="15" customHeight="1" x14ac:dyDescent="0.15">
      <c r="A28" s="218" t="s">
        <v>86</v>
      </c>
      <c r="B28" s="214">
        <v>446.01089999999999</v>
      </c>
      <c r="C28" s="213">
        <v>21503659877.503601</v>
      </c>
      <c r="D28" s="217">
        <v>4072979909.0689001</v>
      </c>
      <c r="E28" s="217">
        <v>25576639786.572498</v>
      </c>
      <c r="F28" s="216">
        <v>631075894.80799997</v>
      </c>
      <c r="G28" s="216">
        <v>345287250.16600001</v>
      </c>
      <c r="H28" s="215">
        <v>339041326.89880002</v>
      </c>
      <c r="I28" s="215">
        <v>25157200185.445499</v>
      </c>
      <c r="J28" s="213">
        <v>3540024248.7990999</v>
      </c>
      <c r="K28" s="214">
        <v>113854.07249999999</v>
      </c>
      <c r="L28" s="213">
        <v>8443482429.7165003</v>
      </c>
    </row>
    <row r="29" spans="1:253" s="206" customFormat="1" ht="15" customHeight="1" x14ac:dyDescent="0.2">
      <c r="A29" s="218" t="s">
        <v>541</v>
      </c>
      <c r="B29" s="214">
        <v>10</v>
      </c>
      <c r="C29" s="247">
        <v>265339758</v>
      </c>
      <c r="D29" s="244">
        <v>509048232</v>
      </c>
      <c r="E29" s="244">
        <v>774387990</v>
      </c>
      <c r="F29" s="246">
        <v>266261780</v>
      </c>
      <c r="G29" s="246">
        <v>6548128</v>
      </c>
      <c r="H29" s="245">
        <v>7206835</v>
      </c>
      <c r="I29" s="245">
        <v>50614762</v>
      </c>
      <c r="J29" s="247">
        <v>288295494</v>
      </c>
      <c r="K29" s="254">
        <v>636</v>
      </c>
      <c r="L29" s="247">
        <v>79567139</v>
      </c>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3"/>
      <c r="AY29" s="243"/>
      <c r="AZ29" s="243"/>
      <c r="BA29" s="243"/>
      <c r="BB29" s="243"/>
      <c r="BC29" s="243"/>
      <c r="BD29" s="243"/>
      <c r="BE29" s="243"/>
      <c r="BF29" s="243"/>
      <c r="BG29" s="243"/>
      <c r="BH29" s="243"/>
      <c r="BI29" s="243"/>
      <c r="BJ29" s="243"/>
      <c r="BK29" s="243"/>
      <c r="BL29" s="243"/>
      <c r="BM29" s="243"/>
      <c r="BN29" s="243"/>
      <c r="BO29" s="243"/>
      <c r="BP29" s="243"/>
      <c r="BQ29" s="243"/>
      <c r="BR29" s="243"/>
      <c r="BS29" s="243"/>
      <c r="BT29" s="243"/>
      <c r="BU29" s="243"/>
      <c r="BV29" s="243"/>
      <c r="BW29" s="243"/>
      <c r="BX29" s="243"/>
      <c r="BY29" s="243"/>
      <c r="BZ29" s="243"/>
      <c r="CA29" s="243"/>
      <c r="CB29" s="243"/>
      <c r="CC29" s="243"/>
      <c r="CD29" s="243"/>
      <c r="CE29" s="243"/>
      <c r="CF29" s="243"/>
      <c r="CG29" s="243"/>
      <c r="CH29" s="243"/>
      <c r="CI29" s="243"/>
      <c r="CJ29" s="243"/>
      <c r="CK29" s="243"/>
      <c r="CL29" s="243"/>
      <c r="CM29" s="243"/>
      <c r="CN29" s="243"/>
      <c r="CO29" s="243"/>
      <c r="CP29" s="243"/>
      <c r="CQ29" s="243"/>
      <c r="CR29" s="243"/>
      <c r="CS29" s="243"/>
      <c r="CT29" s="243"/>
      <c r="CU29" s="243"/>
      <c r="CV29" s="243"/>
      <c r="CW29" s="243"/>
      <c r="CX29" s="243"/>
      <c r="CY29" s="243"/>
      <c r="CZ29" s="243"/>
      <c r="DA29" s="243"/>
      <c r="DB29" s="243"/>
      <c r="DC29" s="243"/>
      <c r="DD29" s="243"/>
      <c r="DE29" s="243"/>
      <c r="DF29" s="243"/>
      <c r="DG29" s="243"/>
      <c r="DH29" s="243"/>
      <c r="DI29" s="243"/>
      <c r="DJ29" s="243"/>
      <c r="DK29" s="243"/>
      <c r="DL29" s="243"/>
      <c r="DM29" s="243"/>
      <c r="DN29" s="243"/>
      <c r="DO29" s="243"/>
      <c r="DP29" s="243"/>
      <c r="DQ29" s="243"/>
      <c r="DR29" s="243"/>
      <c r="DS29" s="243"/>
      <c r="DT29" s="243"/>
      <c r="DU29" s="243"/>
      <c r="DV29" s="243"/>
      <c r="DW29" s="243"/>
      <c r="DX29" s="243"/>
      <c r="DY29" s="243"/>
      <c r="DZ29" s="243"/>
      <c r="EA29" s="243"/>
      <c r="EB29" s="243"/>
      <c r="EC29" s="243"/>
      <c r="ED29" s="243"/>
      <c r="EE29" s="243"/>
      <c r="EF29" s="243"/>
      <c r="EG29" s="243"/>
      <c r="EH29" s="243"/>
      <c r="EI29" s="243"/>
      <c r="EJ29" s="243"/>
      <c r="EK29" s="243"/>
      <c r="EL29" s="243"/>
      <c r="EM29" s="243"/>
      <c r="EN29" s="243"/>
      <c r="EO29" s="243"/>
      <c r="EP29" s="243"/>
      <c r="EQ29" s="243"/>
      <c r="ER29" s="243"/>
      <c r="ES29" s="243"/>
      <c r="ET29" s="243"/>
      <c r="EU29" s="243"/>
      <c r="EV29" s="243"/>
      <c r="EW29" s="243"/>
      <c r="EX29" s="243"/>
      <c r="EY29" s="243"/>
      <c r="EZ29" s="243"/>
      <c r="FA29" s="243"/>
      <c r="FB29" s="243"/>
      <c r="FC29" s="243"/>
      <c r="FD29" s="243"/>
      <c r="FE29" s="243"/>
      <c r="FF29" s="243"/>
      <c r="FG29" s="243"/>
      <c r="FH29" s="243"/>
      <c r="FI29" s="243"/>
      <c r="FJ29" s="243"/>
      <c r="FK29" s="243"/>
      <c r="FL29" s="243"/>
      <c r="FM29" s="243"/>
      <c r="FN29" s="243"/>
      <c r="FO29" s="243"/>
      <c r="FP29" s="243"/>
      <c r="FQ29" s="243"/>
      <c r="FR29" s="243"/>
      <c r="FS29" s="243"/>
      <c r="FT29" s="243"/>
      <c r="FU29" s="243"/>
      <c r="FV29" s="243"/>
      <c r="FW29" s="243"/>
      <c r="FX29" s="243"/>
      <c r="FY29" s="243"/>
      <c r="FZ29" s="243"/>
      <c r="GA29" s="243"/>
      <c r="GB29" s="243"/>
      <c r="GC29" s="243"/>
      <c r="GD29" s="243"/>
      <c r="GE29" s="243"/>
      <c r="GF29" s="243"/>
      <c r="GG29" s="243"/>
      <c r="GH29" s="243"/>
      <c r="GI29" s="243"/>
      <c r="GJ29" s="243"/>
      <c r="GK29" s="243"/>
      <c r="GL29" s="243"/>
      <c r="GM29" s="243"/>
      <c r="GN29" s="243"/>
      <c r="GO29" s="243"/>
      <c r="GP29" s="243"/>
      <c r="GQ29" s="243"/>
      <c r="GR29" s="243"/>
      <c r="GS29" s="243"/>
      <c r="GT29" s="243"/>
      <c r="GU29" s="243"/>
      <c r="GV29" s="243"/>
      <c r="GW29" s="243"/>
      <c r="GX29" s="243"/>
      <c r="GY29" s="243"/>
      <c r="GZ29" s="243"/>
      <c r="HA29" s="243"/>
      <c r="HB29" s="243"/>
      <c r="HC29" s="243"/>
      <c r="HD29" s="243"/>
      <c r="HE29" s="243"/>
      <c r="HF29" s="243"/>
      <c r="HG29" s="243"/>
      <c r="HH29" s="243"/>
      <c r="HI29" s="243"/>
      <c r="HJ29" s="243"/>
      <c r="HK29" s="243"/>
      <c r="HL29" s="243"/>
      <c r="HM29" s="243"/>
      <c r="HN29" s="243"/>
      <c r="HO29" s="243"/>
      <c r="HP29" s="243"/>
      <c r="HQ29" s="243"/>
      <c r="HR29" s="243"/>
      <c r="HS29" s="243"/>
      <c r="HT29" s="243"/>
      <c r="HU29" s="243"/>
      <c r="HV29" s="243"/>
      <c r="HW29" s="243"/>
      <c r="HX29" s="243"/>
      <c r="HY29" s="243"/>
      <c r="HZ29" s="243"/>
      <c r="IA29" s="243"/>
      <c r="IB29" s="243"/>
      <c r="IC29" s="243"/>
      <c r="ID29" s="243"/>
      <c r="IE29" s="243"/>
      <c r="IF29" s="243"/>
      <c r="IG29" s="243"/>
      <c r="IH29" s="243"/>
      <c r="II29" s="243"/>
      <c r="IJ29" s="243"/>
      <c r="IK29" s="243"/>
      <c r="IL29" s="243"/>
      <c r="IM29" s="243"/>
      <c r="IN29" s="243"/>
      <c r="IO29" s="243"/>
      <c r="IP29" s="243"/>
      <c r="IQ29" s="243"/>
      <c r="IR29" s="243"/>
      <c r="IS29" s="243"/>
    </row>
    <row r="30" spans="1:253" ht="15" customHeight="1" x14ac:dyDescent="0.15">
      <c r="A30" s="218" t="s">
        <v>542</v>
      </c>
      <c r="B30" s="214">
        <v>38</v>
      </c>
      <c r="C30" s="213">
        <v>166762385</v>
      </c>
      <c r="D30" s="217">
        <v>73169861</v>
      </c>
      <c r="E30" s="217">
        <v>239932246</v>
      </c>
      <c r="F30" s="226">
        <v>-21647269</v>
      </c>
      <c r="G30" s="216">
        <v>1607673</v>
      </c>
      <c r="H30" s="215">
        <v>8484312</v>
      </c>
      <c r="I30" s="215">
        <v>218946613</v>
      </c>
      <c r="J30" s="226">
        <v>-167673437</v>
      </c>
      <c r="K30" s="214">
        <v>4351</v>
      </c>
      <c r="L30" s="213">
        <v>221680215</v>
      </c>
    </row>
    <row r="31" spans="1:253" ht="15" customHeight="1" x14ac:dyDescent="0.15">
      <c r="A31" s="218" t="s">
        <v>443</v>
      </c>
      <c r="B31" s="214">
        <v>66</v>
      </c>
      <c r="C31" s="213">
        <v>208239926</v>
      </c>
      <c r="D31" s="217">
        <v>249671596</v>
      </c>
      <c r="E31" s="217">
        <v>457911522</v>
      </c>
      <c r="F31" s="216">
        <v>22312385</v>
      </c>
      <c r="G31" s="216">
        <v>19265304</v>
      </c>
      <c r="H31" s="215">
        <v>8693177</v>
      </c>
      <c r="I31" s="215">
        <v>160793357</v>
      </c>
      <c r="J31" s="213">
        <v>156100292</v>
      </c>
      <c r="K31" s="214">
        <v>11883</v>
      </c>
      <c r="L31" s="213">
        <v>149301317</v>
      </c>
    </row>
    <row r="32" spans="1:253" ht="15" customHeight="1" x14ac:dyDescent="0.15">
      <c r="A32" s="218" t="s">
        <v>447</v>
      </c>
      <c r="B32" s="214">
        <v>31</v>
      </c>
      <c r="C32" s="213">
        <v>374909267</v>
      </c>
      <c r="D32" s="217">
        <v>19741816</v>
      </c>
      <c r="E32" s="217">
        <v>394651083</v>
      </c>
      <c r="F32" s="216">
        <v>47429648</v>
      </c>
      <c r="G32" s="216">
        <v>13364740</v>
      </c>
      <c r="H32" s="226">
        <v>-9451569</v>
      </c>
      <c r="I32" s="215">
        <v>878707627</v>
      </c>
      <c r="J32" s="226">
        <v>-11916430</v>
      </c>
      <c r="K32" s="214">
        <v>1641</v>
      </c>
      <c r="L32" s="213">
        <v>405891033</v>
      </c>
    </row>
    <row r="33" spans="1:253" ht="15" customHeight="1" x14ac:dyDescent="0.15">
      <c r="A33" s="218" t="s">
        <v>458</v>
      </c>
      <c r="B33" s="214">
        <v>32</v>
      </c>
      <c r="C33" s="213">
        <v>330191993</v>
      </c>
      <c r="D33" s="217">
        <v>82442837</v>
      </c>
      <c r="E33" s="217">
        <v>412634830</v>
      </c>
      <c r="F33" s="226">
        <v>-66578436</v>
      </c>
      <c r="G33" s="216">
        <v>8292743</v>
      </c>
      <c r="H33" s="215">
        <v>8924395</v>
      </c>
      <c r="I33" s="215">
        <v>282039557</v>
      </c>
      <c r="J33" s="226">
        <v>-371162174</v>
      </c>
      <c r="K33" s="214">
        <v>2126</v>
      </c>
      <c r="L33" s="213">
        <v>176424802</v>
      </c>
    </row>
    <row r="34" spans="1:253" ht="15" customHeight="1" x14ac:dyDescent="0.15">
      <c r="A34" s="218" t="s">
        <v>459</v>
      </c>
      <c r="B34" s="214">
        <v>25.002099999999999</v>
      </c>
      <c r="C34" s="247">
        <v>46017986</v>
      </c>
      <c r="D34" s="244">
        <v>193926658</v>
      </c>
      <c r="E34" s="217">
        <v>239944644</v>
      </c>
      <c r="F34" s="216">
        <v>25096386</v>
      </c>
      <c r="G34" s="246">
        <v>5667555</v>
      </c>
      <c r="H34" s="245">
        <v>4156152</v>
      </c>
      <c r="I34" s="215">
        <v>29527631</v>
      </c>
      <c r="J34" s="213">
        <v>180510811</v>
      </c>
      <c r="K34" s="214">
        <v>3760</v>
      </c>
      <c r="L34" s="247">
        <v>328924360</v>
      </c>
    </row>
    <row r="35" spans="1:253" ht="15" customHeight="1" x14ac:dyDescent="0.15">
      <c r="A35" s="218" t="s">
        <v>543</v>
      </c>
      <c r="B35" s="214">
        <v>69</v>
      </c>
      <c r="C35" s="213">
        <v>1305661272</v>
      </c>
      <c r="D35" s="217">
        <v>899924784</v>
      </c>
      <c r="E35" s="217">
        <v>2205586056</v>
      </c>
      <c r="F35" s="226">
        <v>-299662003</v>
      </c>
      <c r="G35" s="216">
        <v>261687226</v>
      </c>
      <c r="H35" s="215">
        <v>148869323</v>
      </c>
      <c r="I35" s="215">
        <v>2388809401</v>
      </c>
      <c r="J35" s="213">
        <v>56545319</v>
      </c>
      <c r="K35" s="214">
        <v>4336</v>
      </c>
      <c r="L35" s="213">
        <v>3867576839</v>
      </c>
    </row>
    <row r="36" spans="1:253" s="206" customFormat="1" ht="15" customHeight="1" x14ac:dyDescent="0.2">
      <c r="A36" s="206" t="s">
        <v>544</v>
      </c>
      <c r="B36" s="208">
        <v>1602.1022</v>
      </c>
      <c r="C36" s="207">
        <v>767446420908.672</v>
      </c>
      <c r="D36" s="242">
        <v>487924887429.94202</v>
      </c>
      <c r="E36" s="242">
        <v>1255371308338.6101</v>
      </c>
      <c r="F36" s="241">
        <v>172191896002.88101</v>
      </c>
      <c r="G36" s="241">
        <v>20328212310.254299</v>
      </c>
      <c r="H36" s="240">
        <v>19358095162.638802</v>
      </c>
      <c r="I36" s="240">
        <v>2184299500853.95</v>
      </c>
      <c r="J36" s="207">
        <v>543343361320.61401</v>
      </c>
      <c r="K36" s="208">
        <v>3709249.2162000001</v>
      </c>
      <c r="L36" s="207">
        <v>419185558403.04498</v>
      </c>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E36" s="243"/>
      <c r="DF36" s="243"/>
      <c r="DG36" s="243"/>
      <c r="DH36" s="243"/>
      <c r="DI36" s="243"/>
      <c r="DJ36" s="243"/>
      <c r="DK36" s="243"/>
      <c r="DL36" s="243"/>
      <c r="DM36" s="243"/>
      <c r="DN36" s="243"/>
      <c r="DO36" s="243"/>
      <c r="DP36" s="243"/>
      <c r="DQ36" s="243"/>
      <c r="DR36" s="243"/>
      <c r="DS36" s="243"/>
      <c r="DT36" s="243"/>
      <c r="DU36" s="243"/>
      <c r="DV36" s="243"/>
      <c r="DW36" s="243"/>
      <c r="DX36" s="243"/>
      <c r="DY36" s="243"/>
      <c r="DZ36" s="243"/>
      <c r="EA36" s="243"/>
      <c r="EB36" s="243"/>
      <c r="EC36" s="243"/>
      <c r="ED36" s="243"/>
      <c r="EE36" s="243"/>
      <c r="EF36" s="243"/>
      <c r="EG36" s="243"/>
      <c r="EH36" s="243"/>
      <c r="EI36" s="243"/>
      <c r="EJ36" s="243"/>
      <c r="EK36" s="243"/>
      <c r="EL36" s="243"/>
      <c r="EM36" s="243"/>
      <c r="EN36" s="243"/>
      <c r="EO36" s="243"/>
      <c r="EP36" s="243"/>
      <c r="EQ36" s="243"/>
      <c r="ER36" s="243"/>
      <c r="ES36" s="243"/>
      <c r="ET36" s="243"/>
      <c r="EU36" s="243"/>
      <c r="EV36" s="243"/>
      <c r="EW36" s="243"/>
      <c r="EX36" s="243"/>
      <c r="EY36" s="243"/>
      <c r="EZ36" s="243"/>
      <c r="FA36" s="243"/>
      <c r="FB36" s="243"/>
      <c r="FC36" s="243"/>
      <c r="FD36" s="243"/>
      <c r="FE36" s="243"/>
      <c r="FF36" s="243"/>
      <c r="FG36" s="243"/>
      <c r="FH36" s="243"/>
      <c r="FI36" s="243"/>
      <c r="FJ36" s="243"/>
      <c r="FK36" s="243"/>
      <c r="FL36" s="243"/>
      <c r="FM36" s="243"/>
      <c r="FN36" s="243"/>
      <c r="FO36" s="243"/>
      <c r="FP36" s="243"/>
      <c r="FQ36" s="243"/>
      <c r="FR36" s="243"/>
      <c r="FS36" s="243"/>
      <c r="FT36" s="243"/>
      <c r="FU36" s="243"/>
      <c r="FV36" s="243"/>
      <c r="FW36" s="243"/>
      <c r="FX36" s="243"/>
      <c r="FY36" s="243"/>
      <c r="FZ36" s="243"/>
      <c r="GA36" s="243"/>
      <c r="GB36" s="243"/>
      <c r="GC36" s="243"/>
      <c r="GD36" s="243"/>
      <c r="GE36" s="243"/>
      <c r="GF36" s="243"/>
      <c r="GG36" s="243"/>
      <c r="GH36" s="243"/>
      <c r="GI36" s="243"/>
      <c r="GJ36" s="243"/>
      <c r="GK36" s="243"/>
      <c r="GL36" s="243"/>
      <c r="GM36" s="243"/>
      <c r="GN36" s="243"/>
      <c r="GO36" s="243"/>
      <c r="GP36" s="243"/>
      <c r="GQ36" s="243"/>
      <c r="GR36" s="243"/>
      <c r="GS36" s="243"/>
      <c r="GT36" s="243"/>
      <c r="GU36" s="243"/>
      <c r="GV36" s="243"/>
      <c r="GW36" s="243"/>
      <c r="GX36" s="243"/>
      <c r="GY36" s="243"/>
      <c r="GZ36" s="243"/>
      <c r="HA36" s="243"/>
      <c r="HB36" s="243"/>
      <c r="HC36" s="243"/>
      <c r="HD36" s="243"/>
      <c r="HE36" s="243"/>
      <c r="HF36" s="243"/>
      <c r="HG36" s="243"/>
      <c r="HH36" s="243"/>
      <c r="HI36" s="243"/>
      <c r="HJ36" s="243"/>
      <c r="HK36" s="243"/>
      <c r="HL36" s="243"/>
      <c r="HM36" s="243"/>
      <c r="HN36" s="243"/>
      <c r="HO36" s="243"/>
      <c r="HP36" s="243"/>
      <c r="HQ36" s="243"/>
      <c r="HR36" s="243"/>
      <c r="HS36" s="243"/>
      <c r="HT36" s="243"/>
      <c r="HU36" s="243"/>
      <c r="HV36" s="243"/>
      <c r="HW36" s="243"/>
      <c r="HX36" s="243"/>
      <c r="HY36" s="243"/>
      <c r="HZ36" s="243"/>
      <c r="IA36" s="243"/>
      <c r="IB36" s="243"/>
      <c r="IC36" s="243"/>
      <c r="ID36" s="243"/>
      <c r="IE36" s="243"/>
      <c r="IF36" s="243"/>
      <c r="IG36" s="243"/>
      <c r="IH36" s="243"/>
      <c r="II36" s="243"/>
      <c r="IJ36" s="243"/>
      <c r="IK36" s="243"/>
      <c r="IL36" s="243"/>
      <c r="IM36" s="243"/>
      <c r="IN36" s="243"/>
      <c r="IO36" s="243"/>
      <c r="IP36" s="243"/>
      <c r="IQ36" s="243"/>
      <c r="IR36" s="243"/>
      <c r="IS36" s="243"/>
    </row>
    <row r="37" spans="1:253" ht="15" customHeight="1" x14ac:dyDescent="0.15">
      <c r="A37" s="218" t="s">
        <v>212</v>
      </c>
      <c r="B37" s="214">
        <v>421.00630000000001</v>
      </c>
      <c r="C37" s="213">
        <v>21094328630.3312</v>
      </c>
      <c r="D37" s="217">
        <v>11154651489</v>
      </c>
      <c r="E37" s="217">
        <v>32248980119.3312</v>
      </c>
      <c r="F37" s="226">
        <v>-685010947.16569996</v>
      </c>
      <c r="G37" s="216">
        <v>1018286304.7552</v>
      </c>
      <c r="H37" s="215">
        <v>876036089.35070002</v>
      </c>
      <c r="I37" s="215">
        <v>16875740640.1807</v>
      </c>
      <c r="J37" s="213">
        <v>890379440.90970004</v>
      </c>
      <c r="K37" s="214">
        <v>111097.22259999999</v>
      </c>
      <c r="L37" s="213">
        <v>11751446379.082899</v>
      </c>
    </row>
    <row r="38" spans="1:253" s="256" customFormat="1" ht="15" customHeight="1" x14ac:dyDescent="0.2">
      <c r="A38" s="225" t="s">
        <v>545</v>
      </c>
      <c r="B38" s="221">
        <v>31</v>
      </c>
      <c r="C38" s="220">
        <v>257355664</v>
      </c>
      <c r="D38" s="252">
        <v>24095179</v>
      </c>
      <c r="E38" s="224">
        <v>281450843</v>
      </c>
      <c r="F38" s="250">
        <v>-12326187</v>
      </c>
      <c r="G38" s="251">
        <v>6050279</v>
      </c>
      <c r="H38" s="253">
        <v>4903148</v>
      </c>
      <c r="I38" s="222">
        <v>1163487190</v>
      </c>
      <c r="J38" s="250">
        <v>-905351703</v>
      </c>
      <c r="K38" s="221">
        <v>1106</v>
      </c>
      <c r="L38" s="220">
        <v>104673936</v>
      </c>
      <c r="M38" s="257"/>
      <c r="N38" s="257"/>
      <c r="O38" s="257"/>
      <c r="P38" s="257"/>
      <c r="Q38" s="257"/>
      <c r="R38" s="257"/>
      <c r="S38" s="257"/>
      <c r="T38" s="257"/>
      <c r="U38" s="257"/>
      <c r="V38" s="257"/>
      <c r="W38" s="257"/>
      <c r="X38" s="257"/>
      <c r="Y38" s="257"/>
      <c r="Z38" s="257"/>
      <c r="AA38" s="257"/>
      <c r="AB38" s="257"/>
      <c r="AC38" s="257"/>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57"/>
      <c r="BB38" s="257"/>
      <c r="BC38" s="257"/>
      <c r="BD38" s="257"/>
      <c r="BE38" s="257"/>
      <c r="BF38" s="257"/>
      <c r="BG38" s="257"/>
      <c r="BH38" s="257"/>
      <c r="BI38" s="257"/>
      <c r="BJ38" s="257"/>
      <c r="BK38" s="257"/>
      <c r="BL38" s="257"/>
      <c r="BM38" s="257"/>
      <c r="BN38" s="257"/>
      <c r="BO38" s="257"/>
      <c r="BP38" s="257"/>
      <c r="BQ38" s="257"/>
      <c r="BR38" s="257"/>
      <c r="BS38" s="257"/>
      <c r="BT38" s="257"/>
      <c r="BU38" s="257"/>
      <c r="BV38" s="257"/>
      <c r="BW38" s="257"/>
      <c r="BX38" s="257"/>
      <c r="BY38" s="257"/>
      <c r="BZ38" s="257"/>
      <c r="CA38" s="257"/>
      <c r="CB38" s="257"/>
      <c r="CC38" s="257"/>
      <c r="CD38" s="257"/>
      <c r="CE38" s="257"/>
      <c r="CF38" s="257"/>
      <c r="CG38" s="257"/>
      <c r="CH38" s="257"/>
      <c r="CI38" s="257"/>
      <c r="CJ38" s="257"/>
      <c r="CK38" s="257"/>
      <c r="CL38" s="257"/>
      <c r="CM38" s="257"/>
      <c r="CN38" s="257"/>
      <c r="CO38" s="257"/>
      <c r="CP38" s="257"/>
      <c r="CQ38" s="257"/>
      <c r="CR38" s="257"/>
      <c r="CS38" s="257"/>
      <c r="CT38" s="257"/>
      <c r="CU38" s="257"/>
      <c r="CV38" s="257"/>
      <c r="CW38" s="257"/>
      <c r="CX38" s="257"/>
      <c r="CY38" s="257"/>
      <c r="CZ38" s="257"/>
      <c r="DA38" s="257"/>
      <c r="DB38" s="257"/>
      <c r="DC38" s="257"/>
      <c r="DD38" s="257"/>
      <c r="DE38" s="257"/>
      <c r="DF38" s="257"/>
      <c r="DG38" s="257"/>
      <c r="DH38" s="257"/>
      <c r="DI38" s="257"/>
      <c r="DJ38" s="257"/>
      <c r="DK38" s="257"/>
      <c r="DL38" s="257"/>
      <c r="DM38" s="257"/>
      <c r="DN38" s="257"/>
      <c r="DO38" s="257"/>
      <c r="DP38" s="257"/>
      <c r="DQ38" s="257"/>
      <c r="DR38" s="257"/>
      <c r="DS38" s="257"/>
      <c r="DT38" s="257"/>
      <c r="DU38" s="257"/>
      <c r="DV38" s="257"/>
      <c r="DW38" s="257"/>
      <c r="DX38" s="257"/>
      <c r="DY38" s="257"/>
      <c r="DZ38" s="257"/>
      <c r="EA38" s="257"/>
      <c r="EB38" s="257"/>
      <c r="EC38" s="257"/>
      <c r="ED38" s="257"/>
      <c r="EE38" s="257"/>
      <c r="EF38" s="257"/>
      <c r="EG38" s="257"/>
      <c r="EH38" s="257"/>
      <c r="EI38" s="257"/>
      <c r="EJ38" s="257"/>
      <c r="EK38" s="257"/>
      <c r="EL38" s="257"/>
      <c r="EM38" s="257"/>
      <c r="EN38" s="257"/>
      <c r="EO38" s="257"/>
      <c r="EP38" s="257"/>
      <c r="EQ38" s="257"/>
      <c r="ER38" s="257"/>
      <c r="ES38" s="257"/>
      <c r="ET38" s="257"/>
      <c r="EU38" s="257"/>
      <c r="EV38" s="257"/>
      <c r="EW38" s="257"/>
      <c r="EX38" s="257"/>
      <c r="EY38" s="257"/>
      <c r="EZ38" s="257"/>
      <c r="FA38" s="257"/>
      <c r="FB38" s="257"/>
      <c r="FC38" s="257"/>
      <c r="FD38" s="257"/>
      <c r="FE38" s="257"/>
      <c r="FF38" s="257"/>
      <c r="FG38" s="257"/>
      <c r="FH38" s="257"/>
      <c r="FI38" s="257"/>
      <c r="FJ38" s="257"/>
      <c r="FK38" s="257"/>
      <c r="FL38" s="257"/>
      <c r="FM38" s="257"/>
      <c r="FN38" s="257"/>
      <c r="FO38" s="257"/>
      <c r="FP38" s="257"/>
      <c r="FQ38" s="257"/>
      <c r="FR38" s="257"/>
      <c r="FS38" s="257"/>
      <c r="FT38" s="257"/>
      <c r="FU38" s="257"/>
      <c r="FV38" s="257"/>
      <c r="FW38" s="257"/>
      <c r="FX38" s="257"/>
      <c r="FY38" s="257"/>
      <c r="FZ38" s="257"/>
      <c r="GA38" s="257"/>
      <c r="GB38" s="257"/>
      <c r="GC38" s="257"/>
      <c r="GD38" s="257"/>
      <c r="GE38" s="257"/>
      <c r="GF38" s="257"/>
      <c r="GG38" s="257"/>
      <c r="GH38" s="257"/>
      <c r="GI38" s="257"/>
      <c r="GJ38" s="257"/>
      <c r="GK38" s="257"/>
      <c r="GL38" s="257"/>
      <c r="GM38" s="257"/>
      <c r="GN38" s="257"/>
      <c r="GO38" s="257"/>
      <c r="GP38" s="257"/>
      <c r="GQ38" s="257"/>
      <c r="GR38" s="257"/>
      <c r="GS38" s="257"/>
      <c r="GT38" s="257"/>
      <c r="GU38" s="257"/>
      <c r="GV38" s="257"/>
      <c r="GW38" s="257"/>
      <c r="GX38" s="257"/>
      <c r="GY38" s="257"/>
      <c r="GZ38" s="257"/>
      <c r="HA38" s="257"/>
      <c r="HB38" s="257"/>
      <c r="HC38" s="257"/>
      <c r="HD38" s="257"/>
      <c r="HE38" s="257"/>
      <c r="HF38" s="257"/>
      <c r="HG38" s="257"/>
      <c r="HH38" s="257"/>
      <c r="HI38" s="257"/>
      <c r="HJ38" s="257"/>
      <c r="HK38" s="257"/>
      <c r="HL38" s="257"/>
      <c r="HM38" s="257"/>
      <c r="HN38" s="257"/>
      <c r="HO38" s="257"/>
      <c r="HP38" s="257"/>
      <c r="HQ38" s="257"/>
      <c r="HR38" s="257"/>
      <c r="HS38" s="257"/>
      <c r="HT38" s="257"/>
      <c r="HU38" s="257"/>
      <c r="HV38" s="257"/>
      <c r="HW38" s="257"/>
      <c r="HX38" s="257"/>
      <c r="HY38" s="257"/>
      <c r="HZ38" s="257"/>
      <c r="IA38" s="257"/>
      <c r="IB38" s="257"/>
      <c r="IC38" s="257"/>
      <c r="ID38" s="257"/>
      <c r="IE38" s="257"/>
      <c r="IF38" s="257"/>
      <c r="IG38" s="257"/>
      <c r="IH38" s="257"/>
      <c r="II38" s="257"/>
      <c r="IJ38" s="257"/>
      <c r="IK38" s="257"/>
      <c r="IL38" s="257"/>
      <c r="IM38" s="257"/>
      <c r="IN38" s="257"/>
      <c r="IO38" s="257"/>
      <c r="IP38" s="257"/>
      <c r="IQ38" s="257"/>
      <c r="IR38" s="257"/>
      <c r="IS38" s="257"/>
    </row>
    <row r="39" spans="1:253" s="219" customFormat="1" ht="15" customHeight="1" x14ac:dyDescent="0.15">
      <c r="A39" s="225" t="s">
        <v>546</v>
      </c>
      <c r="B39" s="221">
        <v>74.008799999999994</v>
      </c>
      <c r="C39" s="220">
        <v>1299600893.8627999</v>
      </c>
      <c r="D39" s="224">
        <v>8564924256.1932001</v>
      </c>
      <c r="E39" s="224">
        <v>9864525150.0559998</v>
      </c>
      <c r="F39" s="223">
        <v>5889369502.3872004</v>
      </c>
      <c r="G39" s="251">
        <v>2562475</v>
      </c>
      <c r="H39" s="255">
        <v>-4548263</v>
      </c>
      <c r="I39" s="222">
        <v>53034681796.7444</v>
      </c>
      <c r="J39" s="250">
        <v>-8162019808.2511997</v>
      </c>
      <c r="K39" s="221">
        <v>2016</v>
      </c>
      <c r="L39" s="220">
        <v>1176496798.3340001</v>
      </c>
    </row>
    <row r="40" spans="1:253" s="219" customFormat="1" ht="15" customHeight="1" x14ac:dyDescent="0.15">
      <c r="A40" s="225" t="s">
        <v>310</v>
      </c>
      <c r="B40" s="221">
        <v>190</v>
      </c>
      <c r="C40" s="220">
        <v>1040933748</v>
      </c>
      <c r="D40" s="224">
        <v>23929658925</v>
      </c>
      <c r="E40" s="224">
        <v>24970592673</v>
      </c>
      <c r="F40" s="223">
        <v>7588705311</v>
      </c>
      <c r="G40" s="223">
        <v>104495861</v>
      </c>
      <c r="H40" s="222">
        <v>119162720</v>
      </c>
      <c r="I40" s="222">
        <v>189580427290</v>
      </c>
      <c r="J40" s="220">
        <v>8380390467</v>
      </c>
      <c r="K40" s="221">
        <v>1530</v>
      </c>
      <c r="L40" s="220">
        <v>5807573778</v>
      </c>
    </row>
    <row r="41" spans="1:253" s="219" customFormat="1" ht="15" customHeight="1" x14ac:dyDescent="0.15">
      <c r="A41" s="225" t="s">
        <v>224</v>
      </c>
      <c r="B41" s="221">
        <v>265</v>
      </c>
      <c r="C41" s="220">
        <v>17983305599</v>
      </c>
      <c r="D41" s="224">
        <v>56260173116</v>
      </c>
      <c r="E41" s="224">
        <v>74243478715</v>
      </c>
      <c r="F41" s="223">
        <v>39817271743</v>
      </c>
      <c r="G41" s="223">
        <v>609142094</v>
      </c>
      <c r="H41" s="222">
        <v>362133869</v>
      </c>
      <c r="I41" s="222">
        <v>640850448541</v>
      </c>
      <c r="J41" s="220">
        <v>370100538299</v>
      </c>
      <c r="K41" s="221">
        <v>810</v>
      </c>
      <c r="L41" s="220">
        <v>12302616805</v>
      </c>
    </row>
    <row r="42" spans="1:253" ht="15" customHeight="1" x14ac:dyDescent="0.15">
      <c r="A42" s="218" t="s">
        <v>316</v>
      </c>
      <c r="B42" s="214">
        <v>50.002099999999999</v>
      </c>
      <c r="C42" s="213">
        <v>346946120.9454</v>
      </c>
      <c r="D42" s="217">
        <v>123465707</v>
      </c>
      <c r="E42" s="217">
        <v>470411827.9454</v>
      </c>
      <c r="F42" s="226">
        <v>-9552948.6723999996</v>
      </c>
      <c r="G42" s="216">
        <v>8122648.6469000001</v>
      </c>
      <c r="H42" s="215">
        <v>11968743.293299999</v>
      </c>
      <c r="I42" s="215">
        <v>245682668</v>
      </c>
      <c r="J42" s="213">
        <v>120881572</v>
      </c>
      <c r="K42" s="214">
        <v>1769</v>
      </c>
      <c r="L42" s="213">
        <v>251436057</v>
      </c>
    </row>
    <row r="43" spans="1:253" ht="15" customHeight="1" x14ac:dyDescent="0.15">
      <c r="A43" s="218" t="s">
        <v>83</v>
      </c>
      <c r="B43" s="214">
        <v>768.04539999999997</v>
      </c>
      <c r="C43" s="213">
        <v>103437027230.39301</v>
      </c>
      <c r="D43" s="217">
        <v>30068874076.300598</v>
      </c>
      <c r="E43" s="217">
        <v>133505901306.69299</v>
      </c>
      <c r="F43" s="216">
        <v>5256128889.2058001</v>
      </c>
      <c r="G43" s="216">
        <v>3682350216.1479001</v>
      </c>
      <c r="H43" s="215">
        <v>3274796708.5544</v>
      </c>
      <c r="I43" s="215">
        <v>134047424148.955</v>
      </c>
      <c r="J43" s="226">
        <v>-11793969954.1602</v>
      </c>
      <c r="K43" s="214">
        <v>499763.36949999997</v>
      </c>
      <c r="L43" s="213">
        <v>42266745997.7005</v>
      </c>
    </row>
    <row r="44" spans="1:253" s="219" customFormat="1" ht="15" customHeight="1" x14ac:dyDescent="0.15">
      <c r="A44" s="225" t="s">
        <v>547</v>
      </c>
      <c r="B44" s="221">
        <v>165.00210000000001</v>
      </c>
      <c r="C44" s="220">
        <v>1816135621</v>
      </c>
      <c r="D44" s="224">
        <v>8727555450</v>
      </c>
      <c r="E44" s="224">
        <v>10543691071</v>
      </c>
      <c r="F44" s="223">
        <v>7567669055</v>
      </c>
      <c r="G44" s="223">
        <v>56134927</v>
      </c>
      <c r="H44" s="222">
        <v>59363230</v>
      </c>
      <c r="I44" s="222">
        <v>38116829576.059303</v>
      </c>
      <c r="J44" s="250">
        <v>-2701150704.0021</v>
      </c>
      <c r="K44" s="249">
        <v>109</v>
      </c>
      <c r="L44" s="220">
        <v>520044924</v>
      </c>
    </row>
    <row r="45" spans="1:253" ht="15" customHeight="1" x14ac:dyDescent="0.15">
      <c r="A45" s="218" t="s">
        <v>82</v>
      </c>
      <c r="B45" s="214">
        <v>1367.0804000000001</v>
      </c>
      <c r="C45" s="213">
        <v>350190580116.59802</v>
      </c>
      <c r="D45" s="217">
        <v>91117091497.780807</v>
      </c>
      <c r="E45" s="217">
        <v>441307671614.37903</v>
      </c>
      <c r="F45" s="216">
        <v>20013699730.320999</v>
      </c>
      <c r="G45" s="216">
        <v>6179981249.9425001</v>
      </c>
      <c r="H45" s="215">
        <v>5947249807.2282</v>
      </c>
      <c r="I45" s="215">
        <v>376521301450.83099</v>
      </c>
      <c r="J45" s="213">
        <v>85090539866.002594</v>
      </c>
      <c r="K45" s="214">
        <v>1008541.064</v>
      </c>
      <c r="L45" s="213">
        <v>168088341019.25299</v>
      </c>
    </row>
    <row r="46" spans="1:253" s="219" customFormat="1" ht="15" customHeight="1" x14ac:dyDescent="0.15">
      <c r="A46" s="225" t="s">
        <v>326</v>
      </c>
      <c r="B46" s="221">
        <v>399</v>
      </c>
      <c r="C46" s="220">
        <v>18351695861</v>
      </c>
      <c r="D46" s="224">
        <v>35571560924</v>
      </c>
      <c r="E46" s="224">
        <v>53923256785</v>
      </c>
      <c r="F46" s="223">
        <v>31706716820</v>
      </c>
      <c r="G46" s="223">
        <v>550037526</v>
      </c>
      <c r="H46" s="222">
        <v>262799593</v>
      </c>
      <c r="I46" s="222">
        <v>500616447787</v>
      </c>
      <c r="J46" s="220">
        <v>58172954057</v>
      </c>
      <c r="K46" s="221">
        <v>4612</v>
      </c>
      <c r="L46" s="220">
        <v>604239518</v>
      </c>
    </row>
    <row r="47" spans="1:253" ht="15" customHeight="1" x14ac:dyDescent="0.15">
      <c r="A47" s="218" t="s">
        <v>188</v>
      </c>
      <c r="B47" s="214">
        <v>384.00650000000002</v>
      </c>
      <c r="C47" s="213">
        <v>27144408650.471001</v>
      </c>
      <c r="D47" s="217">
        <v>4127024935</v>
      </c>
      <c r="E47" s="217">
        <v>31271433585.471001</v>
      </c>
      <c r="F47" s="216">
        <v>1326076411.9059</v>
      </c>
      <c r="G47" s="216">
        <v>326224508.63010001</v>
      </c>
      <c r="H47" s="215">
        <v>688445676.48819995</v>
      </c>
      <c r="I47" s="215">
        <v>36990822208</v>
      </c>
      <c r="J47" s="226">
        <v>-2270660654.342</v>
      </c>
      <c r="K47" s="214">
        <v>132308</v>
      </c>
      <c r="L47" s="213">
        <v>19052064340.240799</v>
      </c>
    </row>
    <row r="48" spans="1:253" ht="15" customHeight="1" x14ac:dyDescent="0.15">
      <c r="A48" s="218" t="s">
        <v>209</v>
      </c>
      <c r="B48" s="214">
        <v>416.01740000000001</v>
      </c>
      <c r="C48" s="213">
        <v>15214361257.0982</v>
      </c>
      <c r="D48" s="217">
        <v>3495639343.9419999</v>
      </c>
      <c r="E48" s="217">
        <v>18710000601.040199</v>
      </c>
      <c r="F48" s="216">
        <v>394511402.88510001</v>
      </c>
      <c r="G48" s="216">
        <v>561989791.06079996</v>
      </c>
      <c r="H48" s="215">
        <v>600391639.34350002</v>
      </c>
      <c r="I48" s="215">
        <v>7280121755.7921</v>
      </c>
      <c r="J48" s="213">
        <v>3239523383.2800002</v>
      </c>
      <c r="K48" s="214">
        <v>105459.3233</v>
      </c>
      <c r="L48" s="213">
        <v>7711786793.7785997</v>
      </c>
    </row>
    <row r="49" spans="1:12" ht="15" customHeight="1" x14ac:dyDescent="0.15">
      <c r="A49" s="218" t="s">
        <v>210</v>
      </c>
      <c r="B49" s="214">
        <v>215.0044</v>
      </c>
      <c r="C49" s="213">
        <v>6481555666.802</v>
      </c>
      <c r="D49" s="217">
        <v>6776388243.7720003</v>
      </c>
      <c r="E49" s="217">
        <v>13257943910.573999</v>
      </c>
      <c r="F49" s="216">
        <v>1238696869.7708001</v>
      </c>
      <c r="G49" s="216">
        <v>233789274.1072</v>
      </c>
      <c r="H49" s="215">
        <v>222316654</v>
      </c>
      <c r="I49" s="226">
        <v>-167359690.134</v>
      </c>
      <c r="J49" s="213">
        <v>968400076.93959999</v>
      </c>
      <c r="K49" s="214">
        <v>112080.80959999999</v>
      </c>
      <c r="L49" s="213">
        <v>4368865418.2399998</v>
      </c>
    </row>
    <row r="50" spans="1:12" s="219" customFormat="1" ht="15" customHeight="1" x14ac:dyDescent="0.15">
      <c r="A50" s="225" t="s">
        <v>548</v>
      </c>
      <c r="B50" s="221">
        <v>37.002099999999999</v>
      </c>
      <c r="C50" s="220">
        <v>182569724.0309</v>
      </c>
      <c r="D50" s="224">
        <v>278880986.68010002</v>
      </c>
      <c r="E50" s="224">
        <v>461450710.71100003</v>
      </c>
      <c r="F50" s="223">
        <v>270996920.18040001</v>
      </c>
      <c r="G50" s="223">
        <v>2162700.5693999999</v>
      </c>
      <c r="H50" s="222">
        <v>22991916</v>
      </c>
      <c r="I50" s="222">
        <v>18078145172.777699</v>
      </c>
      <c r="J50" s="250">
        <v>-14869226981.7509</v>
      </c>
      <c r="K50" s="249">
        <v>176</v>
      </c>
      <c r="L50" s="248">
        <v>18275431</v>
      </c>
    </row>
    <row r="51" spans="1:12" ht="15" customHeight="1" x14ac:dyDescent="0.15">
      <c r="A51" s="218" t="s">
        <v>549</v>
      </c>
      <c r="B51" s="214">
        <v>143.00210000000001</v>
      </c>
      <c r="C51" s="213">
        <v>2742117546.8978</v>
      </c>
      <c r="D51" s="217">
        <v>993786106</v>
      </c>
      <c r="E51" s="217">
        <v>3735903652.8978</v>
      </c>
      <c r="F51" s="216">
        <v>557720644.83379996</v>
      </c>
      <c r="G51" s="226">
        <v>-9238651.8427000009</v>
      </c>
      <c r="H51" s="215">
        <v>83012397.206900001</v>
      </c>
      <c r="I51" s="215">
        <v>1219294079</v>
      </c>
      <c r="J51" s="213">
        <v>1009703369</v>
      </c>
      <c r="K51" s="214">
        <v>33580</v>
      </c>
      <c r="L51" s="213">
        <v>1957293257</v>
      </c>
    </row>
    <row r="52" spans="1:12" ht="15" customHeight="1" x14ac:dyDescent="0.15">
      <c r="A52" s="218" t="s">
        <v>344</v>
      </c>
      <c r="B52" s="214">
        <v>137.00649999999999</v>
      </c>
      <c r="C52" s="213">
        <v>2643937664.2663002</v>
      </c>
      <c r="D52" s="217">
        <v>677161123</v>
      </c>
      <c r="E52" s="217">
        <v>3321098787.2663002</v>
      </c>
      <c r="F52" s="216">
        <v>171746114.34099999</v>
      </c>
      <c r="G52" s="216">
        <v>91059729.003000006</v>
      </c>
      <c r="H52" s="215">
        <v>84257958.799799994</v>
      </c>
      <c r="I52" s="215">
        <v>1281113639</v>
      </c>
      <c r="J52" s="213">
        <v>254059932.18520001</v>
      </c>
      <c r="K52" s="214">
        <v>10936</v>
      </c>
      <c r="L52" s="213">
        <v>1305912389</v>
      </c>
    </row>
    <row r="53" spans="1:12" ht="15" customHeight="1" x14ac:dyDescent="0.15">
      <c r="A53" s="218" t="s">
        <v>346</v>
      </c>
      <c r="B53" s="214">
        <v>88.006500000000003</v>
      </c>
      <c r="C53" s="213">
        <v>2715534945.5636001</v>
      </c>
      <c r="D53" s="217">
        <v>1037445152</v>
      </c>
      <c r="E53" s="217">
        <v>3752980097.5636001</v>
      </c>
      <c r="F53" s="216">
        <v>278709328.53799999</v>
      </c>
      <c r="G53" s="216">
        <v>12530537.5516</v>
      </c>
      <c r="H53" s="215">
        <v>72910544.316400006</v>
      </c>
      <c r="I53" s="215">
        <v>1282416879</v>
      </c>
      <c r="J53" s="226">
        <v>-27666547</v>
      </c>
      <c r="K53" s="214">
        <v>38429</v>
      </c>
      <c r="L53" s="213">
        <v>1256824617</v>
      </c>
    </row>
    <row r="54" spans="1:12" ht="15" customHeight="1" x14ac:dyDescent="0.15">
      <c r="A54" s="218" t="s">
        <v>360</v>
      </c>
      <c r="B54" s="214">
        <v>145.00649999999999</v>
      </c>
      <c r="C54" s="213">
        <v>3939515425</v>
      </c>
      <c r="D54" s="217">
        <v>1180870923</v>
      </c>
      <c r="E54" s="217">
        <v>5120386348</v>
      </c>
      <c r="F54" s="216">
        <v>316115413.17919999</v>
      </c>
      <c r="G54" s="216">
        <v>83007268</v>
      </c>
      <c r="H54" s="215">
        <v>65186903</v>
      </c>
      <c r="I54" s="215">
        <v>2008800997.1503999</v>
      </c>
      <c r="J54" s="213">
        <v>1122522925.4942999</v>
      </c>
      <c r="K54" s="214">
        <v>30786</v>
      </c>
      <c r="L54" s="213">
        <v>1073862927</v>
      </c>
    </row>
    <row r="55" spans="1:12" ht="15" customHeight="1" x14ac:dyDescent="0.15">
      <c r="A55" s="218" t="s">
        <v>363</v>
      </c>
      <c r="B55" s="214">
        <v>20</v>
      </c>
      <c r="C55" s="213">
        <v>513124959</v>
      </c>
      <c r="D55" s="244">
        <v>50893810</v>
      </c>
      <c r="E55" s="217">
        <v>564018769</v>
      </c>
      <c r="F55" s="216">
        <v>62682892</v>
      </c>
      <c r="G55" s="246">
        <v>9333187</v>
      </c>
      <c r="H55" s="245">
        <v>10599896</v>
      </c>
      <c r="I55" s="245">
        <v>687864</v>
      </c>
      <c r="J55" s="213">
        <v>38471922</v>
      </c>
      <c r="K55" s="254">
        <v>532</v>
      </c>
      <c r="L55" s="247">
        <v>1074186097</v>
      </c>
    </row>
    <row r="56" spans="1:12" ht="15" customHeight="1" x14ac:dyDescent="0.15">
      <c r="A56" s="218" t="s">
        <v>365</v>
      </c>
      <c r="B56" s="214">
        <v>83.004400000000004</v>
      </c>
      <c r="C56" s="213">
        <v>2521484332.6543999</v>
      </c>
      <c r="D56" s="217">
        <v>1333977710.1040001</v>
      </c>
      <c r="E56" s="217">
        <v>3855462042.7584</v>
      </c>
      <c r="F56" s="216">
        <v>11039953.3236</v>
      </c>
      <c r="G56" s="216">
        <v>33056134.028000001</v>
      </c>
      <c r="H56" s="215">
        <v>28401992</v>
      </c>
      <c r="I56" s="215">
        <v>1066726987.0964</v>
      </c>
      <c r="J56" s="213">
        <v>323449907.89639997</v>
      </c>
      <c r="K56" s="214">
        <v>74731.079199999993</v>
      </c>
      <c r="L56" s="213">
        <v>1073372468.21</v>
      </c>
    </row>
    <row r="57" spans="1:12" ht="15" customHeight="1" x14ac:dyDescent="0.15">
      <c r="A57" s="218" t="s">
        <v>369</v>
      </c>
      <c r="B57" s="214">
        <v>57</v>
      </c>
      <c r="C57" s="213">
        <v>448537732</v>
      </c>
      <c r="D57" s="217">
        <v>139197671</v>
      </c>
      <c r="E57" s="217">
        <v>587735403</v>
      </c>
      <c r="F57" s="216">
        <v>2251022</v>
      </c>
      <c r="G57" s="216">
        <v>10636683</v>
      </c>
      <c r="H57" s="215">
        <v>8095019</v>
      </c>
      <c r="I57" s="215">
        <v>122435743</v>
      </c>
      <c r="J57" s="213">
        <v>134475269</v>
      </c>
      <c r="K57" s="214">
        <v>12533</v>
      </c>
      <c r="L57" s="213">
        <v>130884490</v>
      </c>
    </row>
    <row r="58" spans="1:12" ht="15" customHeight="1" x14ac:dyDescent="0.15">
      <c r="A58" s="218" t="s">
        <v>81</v>
      </c>
      <c r="B58" s="214">
        <v>970.07809999999995</v>
      </c>
      <c r="C58" s="213">
        <v>137255136030.29601</v>
      </c>
      <c r="D58" s="217">
        <v>97218271940.169296</v>
      </c>
      <c r="E58" s="217">
        <v>234473407970.465</v>
      </c>
      <c r="F58" s="216">
        <v>14048242678.0261</v>
      </c>
      <c r="G58" s="216">
        <v>5153656887.1406002</v>
      </c>
      <c r="H58" s="215">
        <v>4798677351.1190004</v>
      </c>
      <c r="I58" s="215">
        <v>113671395254.653</v>
      </c>
      <c r="J58" s="213">
        <v>23252635183.633999</v>
      </c>
      <c r="K58" s="214">
        <v>1338560.5467000001</v>
      </c>
      <c r="L58" s="213">
        <v>89172559574.7276</v>
      </c>
    </row>
    <row r="59" spans="1:12" ht="15" customHeight="1" x14ac:dyDescent="0.15">
      <c r="A59" s="218" t="s">
        <v>403</v>
      </c>
      <c r="B59" s="214">
        <v>45</v>
      </c>
      <c r="C59" s="213">
        <v>1306030071</v>
      </c>
      <c r="D59" s="217">
        <v>228291554</v>
      </c>
      <c r="E59" s="217">
        <v>1534321625</v>
      </c>
      <c r="F59" s="216">
        <v>78892728</v>
      </c>
      <c r="G59" s="216">
        <v>31054954</v>
      </c>
      <c r="H59" s="215">
        <v>13981175</v>
      </c>
      <c r="I59" s="215">
        <v>213566075</v>
      </c>
      <c r="J59" s="213">
        <v>329890965</v>
      </c>
      <c r="K59" s="214">
        <v>11266</v>
      </c>
      <c r="L59" s="213">
        <v>448807167</v>
      </c>
    </row>
    <row r="60" spans="1:12" s="227" customFormat="1" ht="15" customHeight="1" x14ac:dyDescent="0.15">
      <c r="A60" s="236" t="s">
        <v>409</v>
      </c>
      <c r="B60" s="229">
        <v>196</v>
      </c>
      <c r="C60" s="228">
        <v>5814681454</v>
      </c>
      <c r="D60" s="234">
        <v>4883043009</v>
      </c>
      <c r="E60" s="234">
        <v>10697724463</v>
      </c>
      <c r="F60" s="233">
        <v>783878827</v>
      </c>
      <c r="G60" s="233">
        <v>60611419</v>
      </c>
      <c r="H60" s="230">
        <v>64857568</v>
      </c>
      <c r="I60" s="230">
        <v>3103782508</v>
      </c>
      <c r="J60" s="228">
        <v>1157355513</v>
      </c>
      <c r="K60" s="229">
        <v>13990</v>
      </c>
      <c r="L60" s="228">
        <v>3760518425</v>
      </c>
    </row>
    <row r="61" spans="1:12" ht="15" customHeight="1" x14ac:dyDescent="0.15">
      <c r="A61" s="218" t="s">
        <v>411</v>
      </c>
      <c r="B61" s="214">
        <v>49.004399999999997</v>
      </c>
      <c r="C61" s="213">
        <v>710861118</v>
      </c>
      <c r="D61" s="217">
        <v>1697213343</v>
      </c>
      <c r="E61" s="217">
        <v>2408074461</v>
      </c>
      <c r="F61" s="216">
        <v>140247484</v>
      </c>
      <c r="G61" s="216">
        <v>15693236</v>
      </c>
      <c r="H61" s="215">
        <v>9443964</v>
      </c>
      <c r="I61" s="215">
        <v>522985809</v>
      </c>
      <c r="J61" s="213">
        <v>858935961</v>
      </c>
      <c r="K61" s="214">
        <v>2001</v>
      </c>
      <c r="L61" s="213">
        <v>1059985366</v>
      </c>
    </row>
    <row r="62" spans="1:12" ht="15" customHeight="1" x14ac:dyDescent="0.15">
      <c r="A62" s="218" t="s">
        <v>412</v>
      </c>
      <c r="B62" s="214">
        <v>272.0086</v>
      </c>
      <c r="C62" s="213">
        <v>9690546922.4867001</v>
      </c>
      <c r="D62" s="217">
        <v>2982082156</v>
      </c>
      <c r="E62" s="217">
        <v>12672629078.4867</v>
      </c>
      <c r="F62" s="216">
        <v>952383408.29330003</v>
      </c>
      <c r="G62" s="216">
        <v>352042520.49760002</v>
      </c>
      <c r="H62" s="215">
        <v>634221339.14409995</v>
      </c>
      <c r="I62" s="215">
        <v>7391112509.9966002</v>
      </c>
      <c r="J62" s="213">
        <v>5757117168.1257</v>
      </c>
      <c r="K62" s="214">
        <v>56463.010499999997</v>
      </c>
      <c r="L62" s="213">
        <v>14826660364.642599</v>
      </c>
    </row>
    <row r="63" spans="1:12" s="227" customFormat="1" ht="15" customHeight="1" x14ac:dyDescent="0.15">
      <c r="A63" s="236" t="s">
        <v>58</v>
      </c>
      <c r="B63" s="229">
        <v>361.04790000000003</v>
      </c>
      <c r="C63" s="228">
        <v>20110984105.197498</v>
      </c>
      <c r="D63" s="234">
        <v>87196247599</v>
      </c>
      <c r="E63" s="234">
        <v>107307231704.19701</v>
      </c>
      <c r="F63" s="233">
        <v>34293776065.7304</v>
      </c>
      <c r="G63" s="233">
        <v>437855053.1821</v>
      </c>
      <c r="H63" s="230">
        <v>506991318.7281</v>
      </c>
      <c r="I63" s="230">
        <v>31596280363.773602</v>
      </c>
      <c r="J63" s="228">
        <v>24002264192.122299</v>
      </c>
      <c r="K63" s="229">
        <v>81948.733600000007</v>
      </c>
      <c r="L63" s="228">
        <v>24465127453.958698</v>
      </c>
    </row>
    <row r="64" spans="1:12" s="219" customFormat="1" ht="15" customHeight="1" x14ac:dyDescent="0.15">
      <c r="A64" s="225" t="s">
        <v>430</v>
      </c>
      <c r="B64" s="221">
        <v>14</v>
      </c>
      <c r="C64" s="220">
        <v>42804358</v>
      </c>
      <c r="D64" s="252">
        <v>119203056</v>
      </c>
      <c r="E64" s="224">
        <v>162007414</v>
      </c>
      <c r="F64" s="223">
        <v>38135229</v>
      </c>
      <c r="G64" s="251">
        <v>2350584</v>
      </c>
      <c r="H64" s="253">
        <v>1853788</v>
      </c>
      <c r="I64" s="253">
        <v>286853480</v>
      </c>
      <c r="J64" s="220">
        <v>1535758864</v>
      </c>
      <c r="K64" s="249">
        <v>617</v>
      </c>
      <c r="L64" s="248">
        <v>78679918</v>
      </c>
    </row>
    <row r="65" spans="1:253" s="219" customFormat="1" ht="15" customHeight="1" x14ac:dyDescent="0.15">
      <c r="A65" s="225" t="s">
        <v>550</v>
      </c>
      <c r="B65" s="221">
        <v>26</v>
      </c>
      <c r="C65" s="220">
        <v>10626004</v>
      </c>
      <c r="D65" s="252">
        <v>12838326</v>
      </c>
      <c r="E65" s="224">
        <v>23464330</v>
      </c>
      <c r="F65" s="223">
        <v>22976706</v>
      </c>
      <c r="G65" s="251">
        <v>469973</v>
      </c>
      <c r="H65" s="250">
        <v>-290184</v>
      </c>
      <c r="I65" s="222">
        <v>466007640</v>
      </c>
      <c r="J65" s="220">
        <v>131362510</v>
      </c>
      <c r="K65" s="249">
        <v>68</v>
      </c>
      <c r="L65" s="248">
        <v>9819083</v>
      </c>
    </row>
    <row r="66" spans="1:253" ht="15" customHeight="1" x14ac:dyDescent="0.15">
      <c r="A66" s="218" t="s">
        <v>442</v>
      </c>
      <c r="B66" s="214">
        <v>84</v>
      </c>
      <c r="C66" s="213">
        <v>1073966231</v>
      </c>
      <c r="D66" s="217">
        <v>612011614</v>
      </c>
      <c r="E66" s="217">
        <v>1685977845</v>
      </c>
      <c r="F66" s="216">
        <v>234999329</v>
      </c>
      <c r="G66" s="216">
        <v>81614572</v>
      </c>
      <c r="H66" s="215">
        <v>76417532</v>
      </c>
      <c r="I66" s="215">
        <v>1068541401</v>
      </c>
      <c r="J66" s="213">
        <v>863753071</v>
      </c>
      <c r="K66" s="214">
        <v>5100</v>
      </c>
      <c r="L66" s="213">
        <v>1048231196</v>
      </c>
    </row>
    <row r="67" spans="1:253" ht="15" customHeight="1" x14ac:dyDescent="0.15">
      <c r="A67" s="218" t="s">
        <v>217</v>
      </c>
      <c r="B67" s="214">
        <v>159.00210000000001</v>
      </c>
      <c r="C67" s="213">
        <v>9770529507.8966007</v>
      </c>
      <c r="D67" s="217">
        <v>7190708953</v>
      </c>
      <c r="E67" s="217">
        <v>16961238460.896601</v>
      </c>
      <c r="F67" s="216">
        <v>426031210.8118</v>
      </c>
      <c r="G67" s="216">
        <v>48944593.902900003</v>
      </c>
      <c r="H67" s="215">
        <v>17097291.066199999</v>
      </c>
      <c r="I67" s="215">
        <v>1640932877</v>
      </c>
      <c r="J67" s="213">
        <v>1572714341</v>
      </c>
      <c r="K67" s="214">
        <v>6300</v>
      </c>
      <c r="L67" s="213">
        <v>442535506</v>
      </c>
    </row>
    <row r="68" spans="1:253" s="206" customFormat="1" ht="15" customHeight="1" x14ac:dyDescent="0.2">
      <c r="A68" s="218" t="s">
        <v>551</v>
      </c>
      <c r="B68" s="214">
        <v>152.00210000000001</v>
      </c>
      <c r="C68" s="213">
        <v>32214240.5211</v>
      </c>
      <c r="D68" s="217">
        <v>18475139</v>
      </c>
      <c r="E68" s="217">
        <v>50689379.5211</v>
      </c>
      <c r="F68" s="226">
        <v>-668045102.48549998</v>
      </c>
      <c r="G68" s="216">
        <v>557573132</v>
      </c>
      <c r="H68" s="215">
        <v>387497552</v>
      </c>
      <c r="I68" s="215">
        <v>2615384377.1223001</v>
      </c>
      <c r="J68" s="226">
        <v>-2754401112.0211</v>
      </c>
      <c r="K68" s="214">
        <v>3711</v>
      </c>
      <c r="L68" s="213">
        <v>603317288</v>
      </c>
      <c r="M68" s="243"/>
      <c r="N68" s="243"/>
      <c r="O68" s="243"/>
      <c r="P68" s="243"/>
      <c r="Q68" s="243"/>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c r="AQ68" s="243"/>
      <c r="AR68" s="243"/>
      <c r="AS68" s="243"/>
      <c r="AT68" s="243"/>
      <c r="AU68" s="243"/>
      <c r="AV68" s="243"/>
      <c r="AW68" s="243"/>
      <c r="AX68" s="243"/>
      <c r="AY68" s="243"/>
      <c r="AZ68" s="243"/>
      <c r="BA68" s="243"/>
      <c r="BB68" s="243"/>
      <c r="BC68" s="243"/>
      <c r="BD68" s="243"/>
      <c r="BE68" s="243"/>
      <c r="BF68" s="243"/>
      <c r="BG68" s="243"/>
      <c r="BH68" s="243"/>
      <c r="BI68" s="243"/>
      <c r="BJ68" s="243"/>
      <c r="BK68" s="243"/>
      <c r="BL68" s="243"/>
      <c r="BM68" s="243"/>
      <c r="BN68" s="243"/>
      <c r="BO68" s="243"/>
      <c r="BP68" s="243"/>
      <c r="BQ68" s="243"/>
      <c r="BR68" s="243"/>
      <c r="BS68" s="243"/>
      <c r="BT68" s="243"/>
      <c r="BU68" s="243"/>
      <c r="BV68" s="243"/>
      <c r="BW68" s="243"/>
      <c r="BX68" s="243"/>
      <c r="BY68" s="243"/>
      <c r="BZ68" s="243"/>
      <c r="CA68" s="243"/>
      <c r="CB68" s="243"/>
      <c r="CC68" s="243"/>
      <c r="CD68" s="243"/>
      <c r="CE68" s="243"/>
      <c r="CF68" s="243"/>
      <c r="CG68" s="243"/>
      <c r="CH68" s="243"/>
      <c r="CI68" s="243"/>
      <c r="CJ68" s="243"/>
      <c r="CK68" s="243"/>
      <c r="CL68" s="243"/>
      <c r="CM68" s="243"/>
      <c r="CN68" s="243"/>
      <c r="CO68" s="243"/>
      <c r="CP68" s="243"/>
      <c r="CQ68" s="243"/>
      <c r="CR68" s="243"/>
      <c r="CS68" s="243"/>
      <c r="CT68" s="243"/>
      <c r="CU68" s="243"/>
      <c r="CV68" s="243"/>
      <c r="CW68" s="243"/>
      <c r="CX68" s="243"/>
      <c r="CY68" s="243"/>
      <c r="CZ68" s="243"/>
      <c r="DA68" s="243"/>
      <c r="DB68" s="243"/>
      <c r="DC68" s="243"/>
      <c r="DD68" s="243"/>
      <c r="DE68" s="243"/>
      <c r="DF68" s="243"/>
      <c r="DG68" s="243"/>
      <c r="DH68" s="243"/>
      <c r="DI68" s="243"/>
      <c r="DJ68" s="243"/>
      <c r="DK68" s="243"/>
      <c r="DL68" s="243"/>
      <c r="DM68" s="243"/>
      <c r="DN68" s="243"/>
      <c r="DO68" s="243"/>
      <c r="DP68" s="243"/>
      <c r="DQ68" s="243"/>
      <c r="DR68" s="243"/>
      <c r="DS68" s="243"/>
      <c r="DT68" s="243"/>
      <c r="DU68" s="243"/>
      <c r="DV68" s="243"/>
      <c r="DW68" s="243"/>
      <c r="DX68" s="243"/>
      <c r="DY68" s="243"/>
      <c r="DZ68" s="243"/>
      <c r="EA68" s="243"/>
      <c r="EB68" s="243"/>
      <c r="EC68" s="243"/>
      <c r="ED68" s="243"/>
      <c r="EE68" s="243"/>
      <c r="EF68" s="243"/>
      <c r="EG68" s="243"/>
      <c r="EH68" s="243"/>
      <c r="EI68" s="243"/>
      <c r="EJ68" s="243"/>
      <c r="EK68" s="243"/>
      <c r="EL68" s="243"/>
      <c r="EM68" s="243"/>
      <c r="EN68" s="243"/>
      <c r="EO68" s="243"/>
      <c r="EP68" s="243"/>
      <c r="EQ68" s="243"/>
      <c r="ER68" s="243"/>
      <c r="ES68" s="243"/>
      <c r="ET68" s="243"/>
      <c r="EU68" s="243"/>
      <c r="EV68" s="243"/>
      <c r="EW68" s="243"/>
      <c r="EX68" s="243"/>
      <c r="EY68" s="243"/>
      <c r="EZ68" s="243"/>
      <c r="FA68" s="243"/>
      <c r="FB68" s="243"/>
      <c r="FC68" s="243"/>
      <c r="FD68" s="243"/>
      <c r="FE68" s="243"/>
      <c r="FF68" s="243"/>
      <c r="FG68" s="243"/>
      <c r="FH68" s="243"/>
      <c r="FI68" s="243"/>
      <c r="FJ68" s="243"/>
      <c r="FK68" s="243"/>
      <c r="FL68" s="243"/>
      <c r="FM68" s="243"/>
      <c r="FN68" s="243"/>
      <c r="FO68" s="243"/>
      <c r="FP68" s="243"/>
      <c r="FQ68" s="243"/>
      <c r="FR68" s="243"/>
      <c r="FS68" s="243"/>
      <c r="FT68" s="243"/>
      <c r="FU68" s="243"/>
      <c r="FV68" s="243"/>
      <c r="FW68" s="243"/>
      <c r="FX68" s="243"/>
      <c r="FY68" s="243"/>
      <c r="FZ68" s="243"/>
      <c r="GA68" s="243"/>
      <c r="GB68" s="243"/>
      <c r="GC68" s="243"/>
      <c r="GD68" s="243"/>
      <c r="GE68" s="243"/>
      <c r="GF68" s="243"/>
      <c r="GG68" s="243"/>
      <c r="GH68" s="243"/>
      <c r="GI68" s="243"/>
      <c r="GJ68" s="243"/>
      <c r="GK68" s="243"/>
      <c r="GL68" s="243"/>
      <c r="GM68" s="243"/>
      <c r="GN68" s="243"/>
      <c r="GO68" s="243"/>
      <c r="GP68" s="243"/>
      <c r="GQ68" s="243"/>
      <c r="GR68" s="243"/>
      <c r="GS68" s="243"/>
      <c r="GT68" s="243"/>
      <c r="GU68" s="243"/>
      <c r="GV68" s="243"/>
      <c r="GW68" s="243"/>
      <c r="GX68" s="243"/>
      <c r="GY68" s="243"/>
      <c r="GZ68" s="243"/>
      <c r="HA68" s="243"/>
      <c r="HB68" s="243"/>
      <c r="HC68" s="243"/>
      <c r="HD68" s="243"/>
      <c r="HE68" s="243"/>
      <c r="HF68" s="243"/>
      <c r="HG68" s="243"/>
      <c r="HH68" s="243"/>
      <c r="HI68" s="243"/>
      <c r="HJ68" s="243"/>
      <c r="HK68" s="243"/>
      <c r="HL68" s="243"/>
      <c r="HM68" s="243"/>
      <c r="HN68" s="243"/>
      <c r="HO68" s="243"/>
      <c r="HP68" s="243"/>
      <c r="HQ68" s="243"/>
      <c r="HR68" s="243"/>
      <c r="HS68" s="243"/>
      <c r="HT68" s="243"/>
      <c r="HU68" s="243"/>
      <c r="HV68" s="243"/>
      <c r="HW68" s="243"/>
      <c r="HX68" s="243"/>
      <c r="HY68" s="243"/>
      <c r="HZ68" s="243"/>
      <c r="IA68" s="243"/>
      <c r="IB68" s="243"/>
      <c r="IC68" s="243"/>
      <c r="ID68" s="243"/>
      <c r="IE68" s="243"/>
      <c r="IF68" s="243"/>
      <c r="IG68" s="243"/>
      <c r="IH68" s="243"/>
      <c r="II68" s="243"/>
      <c r="IJ68" s="243"/>
      <c r="IK68" s="243"/>
      <c r="IL68" s="243"/>
      <c r="IM68" s="243"/>
      <c r="IN68" s="243"/>
      <c r="IO68" s="243"/>
      <c r="IP68" s="243"/>
      <c r="IQ68" s="243"/>
      <c r="IR68" s="243"/>
      <c r="IS68" s="243"/>
    </row>
    <row r="69" spans="1:253" ht="15" customHeight="1" x14ac:dyDescent="0.15">
      <c r="A69" s="218" t="s">
        <v>552</v>
      </c>
      <c r="B69" s="214">
        <v>86.034700000000001</v>
      </c>
      <c r="C69" s="213">
        <v>884012226.21370006</v>
      </c>
      <c r="D69" s="217">
        <v>34796203</v>
      </c>
      <c r="E69" s="217">
        <v>918808429.21370006</v>
      </c>
      <c r="F69" s="216">
        <v>46125274.681500003</v>
      </c>
      <c r="G69" s="216">
        <v>11033459</v>
      </c>
      <c r="H69" s="215">
        <v>8705903</v>
      </c>
      <c r="I69" s="215">
        <v>1146604816</v>
      </c>
      <c r="J69" s="226">
        <v>-2078517130.4237001</v>
      </c>
      <c r="K69" s="214">
        <v>2272</v>
      </c>
      <c r="L69" s="213">
        <v>1010210244</v>
      </c>
    </row>
    <row r="70" spans="1:253" ht="15" customHeight="1" x14ac:dyDescent="0.15">
      <c r="A70" s="218" t="s">
        <v>553</v>
      </c>
      <c r="B70" s="214">
        <v>67.004400000000004</v>
      </c>
      <c r="C70" s="213">
        <v>378971251.14520001</v>
      </c>
      <c r="D70" s="217">
        <v>98387913</v>
      </c>
      <c r="E70" s="217">
        <v>477359164.14520001</v>
      </c>
      <c r="F70" s="216">
        <v>31034223.7896</v>
      </c>
      <c r="G70" s="216">
        <v>3597183.9312</v>
      </c>
      <c r="H70" s="215">
        <v>38164323</v>
      </c>
      <c r="I70" s="215">
        <v>360377018.95279998</v>
      </c>
      <c r="J70" s="226">
        <v>-401752341.0244</v>
      </c>
      <c r="K70" s="214">
        <v>4047.0572000000002</v>
      </c>
      <c r="L70" s="213">
        <v>362163375.8768</v>
      </c>
    </row>
    <row r="71" spans="1:253" s="206" customFormat="1" ht="15" customHeight="1" x14ac:dyDescent="0.15">
      <c r="A71" s="206" t="s">
        <v>554</v>
      </c>
      <c r="B71" s="208">
        <v>1432.0877</v>
      </c>
      <c r="C71" s="207">
        <v>1388094969693.8899</v>
      </c>
      <c r="D71" s="242">
        <v>813697324392.62</v>
      </c>
      <c r="E71" s="242">
        <v>2201792294086.5098</v>
      </c>
      <c r="F71" s="241">
        <v>191360393706.97198</v>
      </c>
      <c r="G71" s="241">
        <v>37558096239.503502</v>
      </c>
      <c r="H71" s="240">
        <v>36316442158.714897</v>
      </c>
      <c r="I71" s="240">
        <v>1412598106156.29</v>
      </c>
      <c r="J71" s="207">
        <v>641833452233.53406</v>
      </c>
      <c r="K71" s="208">
        <v>5720335.5881000003</v>
      </c>
      <c r="L71" s="207">
        <v>569962293281.80396</v>
      </c>
    </row>
    <row r="72" spans="1:253" ht="15" customHeight="1" x14ac:dyDescent="0.15">
      <c r="A72" s="218" t="s">
        <v>555</v>
      </c>
      <c r="B72" s="214">
        <v>19</v>
      </c>
      <c r="C72" s="213">
        <v>38834176</v>
      </c>
      <c r="D72" s="217">
        <v>60287627</v>
      </c>
      <c r="E72" s="217">
        <v>99121803</v>
      </c>
      <c r="F72" s="216">
        <v>6044221</v>
      </c>
      <c r="G72" s="216">
        <v>2227501</v>
      </c>
      <c r="H72" s="215">
        <v>2490981</v>
      </c>
      <c r="I72" s="215">
        <v>15127581</v>
      </c>
      <c r="J72" s="213">
        <v>14663130</v>
      </c>
      <c r="K72" s="214">
        <v>1520</v>
      </c>
      <c r="L72" s="213">
        <v>25079050</v>
      </c>
    </row>
    <row r="73" spans="1:253" ht="15" customHeight="1" x14ac:dyDescent="0.15">
      <c r="A73" s="218" t="s">
        <v>68</v>
      </c>
      <c r="B73" s="214">
        <v>892.05190000000005</v>
      </c>
      <c r="C73" s="213">
        <v>137496739524.94101</v>
      </c>
      <c r="D73" s="217">
        <v>22246831862.1828</v>
      </c>
      <c r="E73" s="217">
        <v>159743571387.12399</v>
      </c>
      <c r="F73" s="216">
        <v>8436288309.1568003</v>
      </c>
      <c r="G73" s="216">
        <v>3091309617.9942999</v>
      </c>
      <c r="H73" s="215">
        <v>3796217410.6034002</v>
      </c>
      <c r="I73" s="215">
        <v>277574463347.01599</v>
      </c>
      <c r="J73" s="213">
        <v>32616103074.548199</v>
      </c>
      <c r="K73" s="214">
        <v>311170.11339999997</v>
      </c>
      <c r="L73" s="213">
        <v>99693774790.756104</v>
      </c>
    </row>
    <row r="74" spans="1:253" ht="15" customHeight="1" x14ac:dyDescent="0.15">
      <c r="A74" s="218" t="s">
        <v>556</v>
      </c>
      <c r="B74" s="214">
        <v>34</v>
      </c>
      <c r="C74" s="213">
        <v>460391104</v>
      </c>
      <c r="D74" s="217">
        <v>10040078</v>
      </c>
      <c r="E74" s="217">
        <v>470431182</v>
      </c>
      <c r="F74" s="216">
        <v>35987553</v>
      </c>
      <c r="G74" s="216">
        <v>13229630</v>
      </c>
      <c r="H74" s="215">
        <v>38163482</v>
      </c>
      <c r="I74" s="245">
        <v>23254965</v>
      </c>
      <c r="J74" s="213">
        <v>210748366</v>
      </c>
      <c r="K74" s="214">
        <v>1376</v>
      </c>
      <c r="L74" s="213">
        <v>103323504</v>
      </c>
    </row>
    <row r="75" spans="1:253" ht="15" customHeight="1" x14ac:dyDescent="0.15">
      <c r="A75" s="218" t="s">
        <v>557</v>
      </c>
      <c r="B75" s="214">
        <v>72.002099999999999</v>
      </c>
      <c r="C75" s="213">
        <v>713582416.13829994</v>
      </c>
      <c r="D75" s="217">
        <v>505085567.6182</v>
      </c>
      <c r="E75" s="217">
        <v>1218667983.7565</v>
      </c>
      <c r="F75" s="216">
        <v>83698686.873699993</v>
      </c>
      <c r="G75" s="216">
        <v>7875338</v>
      </c>
      <c r="H75" s="215">
        <v>4373492</v>
      </c>
      <c r="I75" s="215">
        <v>1285674989</v>
      </c>
      <c r="J75" s="226">
        <v>-145762440.2326</v>
      </c>
      <c r="K75" s="214">
        <v>5160</v>
      </c>
      <c r="L75" s="213">
        <v>683698070</v>
      </c>
    </row>
    <row r="76" spans="1:253" ht="15" customHeight="1" x14ac:dyDescent="0.15">
      <c r="A76" s="218" t="s">
        <v>309</v>
      </c>
      <c r="B76" s="214">
        <v>67</v>
      </c>
      <c r="C76" s="213">
        <v>1345282881</v>
      </c>
      <c r="D76" s="217">
        <v>29633242</v>
      </c>
      <c r="E76" s="217">
        <v>1374916123</v>
      </c>
      <c r="F76" s="216">
        <v>383045235</v>
      </c>
      <c r="G76" s="216">
        <v>157320432</v>
      </c>
      <c r="H76" s="215">
        <v>160497729</v>
      </c>
      <c r="I76" s="215">
        <v>283519603</v>
      </c>
      <c r="J76" s="213">
        <v>203390997</v>
      </c>
      <c r="K76" s="214">
        <v>4336</v>
      </c>
      <c r="L76" s="213">
        <v>837464727</v>
      </c>
    </row>
    <row r="77" spans="1:253" ht="15" customHeight="1" x14ac:dyDescent="0.15">
      <c r="A77" s="218" t="s">
        <v>558</v>
      </c>
      <c r="B77" s="214">
        <v>26</v>
      </c>
      <c r="C77" s="213">
        <v>241483077</v>
      </c>
      <c r="D77" s="217">
        <v>2101704</v>
      </c>
      <c r="E77" s="217">
        <v>243584781</v>
      </c>
      <c r="F77" s="226">
        <v>-23322858</v>
      </c>
      <c r="G77" s="216">
        <v>6749219</v>
      </c>
      <c r="H77" s="215">
        <v>6667268</v>
      </c>
      <c r="I77" s="215">
        <v>37178808</v>
      </c>
      <c r="J77" s="226">
        <v>-115241438</v>
      </c>
      <c r="K77" s="214">
        <v>713</v>
      </c>
      <c r="L77" s="213">
        <v>61045828</v>
      </c>
    </row>
    <row r="78" spans="1:253" ht="15" customHeight="1" x14ac:dyDescent="0.15">
      <c r="A78" s="218" t="s">
        <v>559</v>
      </c>
      <c r="B78" s="214">
        <v>43</v>
      </c>
      <c r="C78" s="213">
        <v>385227811</v>
      </c>
      <c r="D78" s="217">
        <v>17540015</v>
      </c>
      <c r="E78" s="217">
        <v>402767826</v>
      </c>
      <c r="F78" s="226">
        <v>-3540549</v>
      </c>
      <c r="G78" s="216">
        <v>17468678</v>
      </c>
      <c r="H78" s="215">
        <v>17375161</v>
      </c>
      <c r="I78" s="215">
        <v>395480196</v>
      </c>
      <c r="J78" s="226">
        <v>-119686827</v>
      </c>
      <c r="K78" s="214">
        <v>1702</v>
      </c>
      <c r="L78" s="213">
        <v>398757304</v>
      </c>
    </row>
    <row r="79" spans="1:253" ht="15" customHeight="1" x14ac:dyDescent="0.15">
      <c r="A79" s="218" t="s">
        <v>324</v>
      </c>
      <c r="B79" s="214">
        <v>35</v>
      </c>
      <c r="C79" s="213">
        <v>510430550</v>
      </c>
      <c r="D79" s="217">
        <v>30697921</v>
      </c>
      <c r="E79" s="217">
        <v>541128471</v>
      </c>
      <c r="F79" s="216">
        <v>61619150</v>
      </c>
      <c r="G79" s="216">
        <v>11780208</v>
      </c>
      <c r="H79" s="215">
        <v>10546025</v>
      </c>
      <c r="I79" s="215">
        <v>91760469</v>
      </c>
      <c r="J79" s="213">
        <v>251250429</v>
      </c>
      <c r="K79" s="214">
        <v>3515</v>
      </c>
      <c r="L79" s="213">
        <v>360831623</v>
      </c>
    </row>
    <row r="80" spans="1:253" ht="15" customHeight="1" x14ac:dyDescent="0.15">
      <c r="A80" s="218" t="s">
        <v>88</v>
      </c>
      <c r="B80" s="214">
        <v>1042.0355999999999</v>
      </c>
      <c r="C80" s="213">
        <v>282731558044.828</v>
      </c>
      <c r="D80" s="217">
        <v>163215620986.13101</v>
      </c>
      <c r="E80" s="217">
        <v>445947179030.95898</v>
      </c>
      <c r="F80" s="216">
        <v>32754949777.749199</v>
      </c>
      <c r="G80" s="216">
        <v>8268455941.7228003</v>
      </c>
      <c r="H80" s="215">
        <v>7955721967.6710997</v>
      </c>
      <c r="I80" s="215">
        <v>94210273373.544296</v>
      </c>
      <c r="J80" s="213">
        <v>64869021698.9897</v>
      </c>
      <c r="K80" s="214">
        <v>1357838.3263999999</v>
      </c>
      <c r="L80" s="213">
        <v>104872807966.64999</v>
      </c>
    </row>
    <row r="81" spans="1:12" ht="15" customHeight="1" x14ac:dyDescent="0.15">
      <c r="A81" s="218" t="s">
        <v>560</v>
      </c>
      <c r="B81" s="214">
        <v>18</v>
      </c>
      <c r="C81" s="213">
        <v>55046278</v>
      </c>
      <c r="D81" s="244">
        <v>159043988</v>
      </c>
      <c r="E81" s="217">
        <v>214090266</v>
      </c>
      <c r="F81" s="216">
        <v>24050958</v>
      </c>
      <c r="G81" s="246">
        <v>2759941</v>
      </c>
      <c r="H81" s="215">
        <v>1171858</v>
      </c>
      <c r="I81" s="245">
        <v>25051609</v>
      </c>
      <c r="J81" s="213">
        <v>226449842</v>
      </c>
      <c r="K81" s="214">
        <v>1036</v>
      </c>
      <c r="L81" s="213">
        <v>291544049</v>
      </c>
    </row>
    <row r="82" spans="1:12" ht="15" customHeight="1" x14ac:dyDescent="0.15">
      <c r="A82" s="218" t="s">
        <v>357</v>
      </c>
      <c r="B82" s="214">
        <v>25</v>
      </c>
      <c r="C82" s="213">
        <v>129123702</v>
      </c>
      <c r="D82" s="217">
        <v>6182201</v>
      </c>
      <c r="E82" s="217">
        <v>135305903</v>
      </c>
      <c r="F82" s="216">
        <v>2078763</v>
      </c>
      <c r="G82" s="246">
        <v>227982</v>
      </c>
      <c r="H82" s="215">
        <v>299370</v>
      </c>
      <c r="I82" s="245">
        <v>29215832</v>
      </c>
      <c r="J82" s="226">
        <v>-25748629</v>
      </c>
      <c r="K82" s="214">
        <v>528</v>
      </c>
      <c r="L82" s="213">
        <v>37555460</v>
      </c>
    </row>
    <row r="83" spans="1:12" ht="15" customHeight="1" x14ac:dyDescent="0.15">
      <c r="A83" s="218" t="s">
        <v>561</v>
      </c>
      <c r="B83" s="214">
        <v>53</v>
      </c>
      <c r="C83" s="213">
        <v>620979467</v>
      </c>
      <c r="D83" s="217">
        <v>8207587</v>
      </c>
      <c r="E83" s="217">
        <v>629187054</v>
      </c>
      <c r="F83" s="216">
        <v>51784635</v>
      </c>
      <c r="G83" s="216">
        <v>10085739</v>
      </c>
      <c r="H83" s="215">
        <v>14990110</v>
      </c>
      <c r="I83" s="215">
        <v>194910514</v>
      </c>
      <c r="J83" s="213">
        <v>342787636</v>
      </c>
      <c r="K83" s="214">
        <v>2399</v>
      </c>
      <c r="L83" s="213">
        <v>78200733</v>
      </c>
    </row>
    <row r="84" spans="1:12" s="227" customFormat="1" ht="15" customHeight="1" x14ac:dyDescent="0.15">
      <c r="A84" s="236" t="s">
        <v>63</v>
      </c>
      <c r="B84" s="229">
        <v>929.07029999999997</v>
      </c>
      <c r="C84" s="228">
        <v>134548787608.052</v>
      </c>
      <c r="D84" s="234">
        <v>70010020423.488907</v>
      </c>
      <c r="E84" s="234">
        <v>204558808031.54099</v>
      </c>
      <c r="F84" s="233">
        <v>19209217142.753502</v>
      </c>
      <c r="G84" s="233">
        <v>2500670823.9787998</v>
      </c>
      <c r="H84" s="230">
        <v>2146027941.0495</v>
      </c>
      <c r="I84" s="230">
        <v>226237137453.211</v>
      </c>
      <c r="J84" s="228">
        <v>83228730703.107101</v>
      </c>
      <c r="K84" s="229">
        <v>89406.447700000004</v>
      </c>
      <c r="L84" s="228">
        <v>15068292246.5833</v>
      </c>
    </row>
    <row r="85" spans="1:12" ht="15" customHeight="1" x14ac:dyDescent="0.15">
      <c r="A85" s="218" t="s">
        <v>84</v>
      </c>
      <c r="B85" s="214">
        <v>850.0412</v>
      </c>
      <c r="C85" s="213">
        <v>74233340364.191605</v>
      </c>
      <c r="D85" s="217">
        <v>56498224571.202797</v>
      </c>
      <c r="E85" s="217">
        <v>130731564935.394</v>
      </c>
      <c r="F85" s="216">
        <v>10676434205.519899</v>
      </c>
      <c r="G85" s="216">
        <v>4397217378.9857998</v>
      </c>
      <c r="H85" s="215">
        <v>4036912249.9857998</v>
      </c>
      <c r="I85" s="215">
        <v>45950642776.679298</v>
      </c>
      <c r="J85" s="213">
        <v>39731219780.853203</v>
      </c>
      <c r="K85" s="214">
        <v>1779484.0822999999</v>
      </c>
      <c r="L85" s="213">
        <v>34311592388.712299</v>
      </c>
    </row>
    <row r="86" spans="1:12" ht="15" customHeight="1" x14ac:dyDescent="0.15">
      <c r="A86" s="218" t="s">
        <v>366</v>
      </c>
      <c r="B86" s="214">
        <v>302.00439999999998</v>
      </c>
      <c r="C86" s="213">
        <v>15342828864</v>
      </c>
      <c r="D86" s="217">
        <v>5274169934</v>
      </c>
      <c r="E86" s="217">
        <v>20616998798</v>
      </c>
      <c r="F86" s="216">
        <v>2788788593.2160001</v>
      </c>
      <c r="G86" s="216">
        <v>986384245</v>
      </c>
      <c r="H86" s="215">
        <v>1188599917.6287999</v>
      </c>
      <c r="I86" s="215">
        <v>23304911440</v>
      </c>
      <c r="J86" s="213">
        <v>10457094516.659201</v>
      </c>
      <c r="K86" s="214">
        <v>114776</v>
      </c>
      <c r="L86" s="213">
        <v>24646621044</v>
      </c>
    </row>
    <row r="87" spans="1:12" ht="15" customHeight="1" x14ac:dyDescent="0.15">
      <c r="A87" s="218" t="s">
        <v>368</v>
      </c>
      <c r="B87" s="214">
        <v>29</v>
      </c>
      <c r="C87" s="213">
        <v>793812488</v>
      </c>
      <c r="D87" s="217">
        <v>530751672</v>
      </c>
      <c r="E87" s="217">
        <v>1324564160</v>
      </c>
      <c r="F87" s="226">
        <v>-55292130</v>
      </c>
      <c r="G87" s="216">
        <v>21229560</v>
      </c>
      <c r="H87" s="215">
        <v>16911627</v>
      </c>
      <c r="I87" s="215">
        <v>1283599245</v>
      </c>
      <c r="J87" s="226">
        <v>-362365011</v>
      </c>
      <c r="K87" s="214">
        <v>1531</v>
      </c>
      <c r="L87" s="213">
        <v>788374981</v>
      </c>
    </row>
    <row r="88" spans="1:12" ht="15" customHeight="1" x14ac:dyDescent="0.15">
      <c r="A88" s="218" t="s">
        <v>196</v>
      </c>
      <c r="B88" s="214">
        <v>327.00880000000001</v>
      </c>
      <c r="C88" s="213">
        <v>11530400328.423201</v>
      </c>
      <c r="D88" s="217">
        <v>25711141205.875198</v>
      </c>
      <c r="E88" s="217">
        <v>37241541534.298401</v>
      </c>
      <c r="F88" s="216">
        <v>4332901836.8591995</v>
      </c>
      <c r="G88" s="216">
        <v>1236618705</v>
      </c>
      <c r="H88" s="215">
        <v>1061689243.2192</v>
      </c>
      <c r="I88" s="215">
        <v>78184937223.132004</v>
      </c>
      <c r="J88" s="213">
        <v>17534173863.396801</v>
      </c>
      <c r="K88" s="214">
        <v>75497.074800000002</v>
      </c>
      <c r="L88" s="213">
        <v>24933551623.948799</v>
      </c>
    </row>
    <row r="89" spans="1:12" ht="15" customHeight="1" x14ac:dyDescent="0.15">
      <c r="A89" s="218" t="s">
        <v>73</v>
      </c>
      <c r="B89" s="214">
        <v>759.05</v>
      </c>
      <c r="C89" s="213">
        <v>245106138162.112</v>
      </c>
      <c r="D89" s="217">
        <v>28179806583.160599</v>
      </c>
      <c r="E89" s="217">
        <v>273285944745.272</v>
      </c>
      <c r="F89" s="216">
        <v>26443821051.936199</v>
      </c>
      <c r="G89" s="216">
        <v>7388671766.4891996</v>
      </c>
      <c r="H89" s="215">
        <v>6533408246.6092997</v>
      </c>
      <c r="I89" s="215">
        <v>57635263552.433296</v>
      </c>
      <c r="J89" s="213">
        <v>93002779032.840607</v>
      </c>
      <c r="K89" s="214">
        <v>367648.18609999999</v>
      </c>
      <c r="L89" s="213">
        <v>58842346861.862297</v>
      </c>
    </row>
    <row r="90" spans="1:12" ht="15" customHeight="1" x14ac:dyDescent="0.15">
      <c r="A90" s="218" t="s">
        <v>370</v>
      </c>
      <c r="B90" s="214">
        <v>47</v>
      </c>
      <c r="C90" s="213">
        <v>423196875</v>
      </c>
      <c r="D90" s="217">
        <v>551652268</v>
      </c>
      <c r="E90" s="217">
        <v>974849143</v>
      </c>
      <c r="F90" s="216">
        <v>301514709</v>
      </c>
      <c r="G90" s="216">
        <v>11916698</v>
      </c>
      <c r="H90" s="215">
        <v>13928107</v>
      </c>
      <c r="I90" s="215">
        <v>438261083</v>
      </c>
      <c r="J90" s="213">
        <v>626855202</v>
      </c>
      <c r="K90" s="214">
        <v>2628</v>
      </c>
      <c r="L90" s="213">
        <v>1045600636</v>
      </c>
    </row>
    <row r="91" spans="1:12" ht="15" customHeight="1" x14ac:dyDescent="0.15">
      <c r="A91" s="218" t="s">
        <v>562</v>
      </c>
      <c r="B91" s="214">
        <v>105</v>
      </c>
      <c r="C91" s="213">
        <v>2068500416</v>
      </c>
      <c r="D91" s="217">
        <v>116252994</v>
      </c>
      <c r="E91" s="217">
        <v>2184753410</v>
      </c>
      <c r="F91" s="216">
        <v>431728412</v>
      </c>
      <c r="G91" s="216">
        <v>163360080</v>
      </c>
      <c r="H91" s="215">
        <v>160328348</v>
      </c>
      <c r="I91" s="215">
        <v>497615960</v>
      </c>
      <c r="J91" s="213">
        <v>519841740</v>
      </c>
      <c r="K91" s="214">
        <v>4279</v>
      </c>
      <c r="L91" s="213">
        <v>2015486218</v>
      </c>
    </row>
    <row r="92" spans="1:12" ht="15" customHeight="1" x14ac:dyDescent="0.15">
      <c r="A92" s="218" t="s">
        <v>563</v>
      </c>
      <c r="B92" s="214">
        <v>616.01089999999999</v>
      </c>
      <c r="C92" s="213">
        <v>62403333143.279701</v>
      </c>
      <c r="D92" s="217">
        <v>31596481040.279999</v>
      </c>
      <c r="E92" s="217">
        <v>93999814183.559692</v>
      </c>
      <c r="F92" s="216">
        <v>5423294029.6736002</v>
      </c>
      <c r="G92" s="216">
        <v>1569366866.4579999</v>
      </c>
      <c r="H92" s="215">
        <v>1721748787.8796999</v>
      </c>
      <c r="I92" s="215">
        <v>22457581132.234402</v>
      </c>
      <c r="J92" s="213">
        <v>24990400903.923199</v>
      </c>
      <c r="K92" s="214">
        <v>177396.17019999999</v>
      </c>
      <c r="L92" s="213">
        <v>25840197076.327599</v>
      </c>
    </row>
    <row r="93" spans="1:12" ht="15" customHeight="1" x14ac:dyDescent="0.15">
      <c r="A93" s="218" t="s">
        <v>375</v>
      </c>
      <c r="B93" s="214">
        <v>52</v>
      </c>
      <c r="C93" s="213">
        <v>1277479571</v>
      </c>
      <c r="D93" s="217">
        <v>399335083</v>
      </c>
      <c r="E93" s="217">
        <v>1676814654</v>
      </c>
      <c r="F93" s="216">
        <v>265213293</v>
      </c>
      <c r="G93" s="216">
        <v>7341716</v>
      </c>
      <c r="H93" s="215">
        <v>33596797</v>
      </c>
      <c r="I93" s="215">
        <v>262276375</v>
      </c>
      <c r="J93" s="213">
        <v>919143235</v>
      </c>
      <c r="K93" s="214">
        <v>3643</v>
      </c>
      <c r="L93" s="213">
        <v>413475727</v>
      </c>
    </row>
    <row r="94" spans="1:12" s="227" customFormat="1" ht="15" customHeight="1" x14ac:dyDescent="0.15">
      <c r="A94" s="236" t="s">
        <v>378</v>
      </c>
      <c r="B94" s="229">
        <v>62.002099999999999</v>
      </c>
      <c r="C94" s="228">
        <v>122976971.9154</v>
      </c>
      <c r="D94" s="234">
        <v>66218756</v>
      </c>
      <c r="E94" s="234">
        <v>189195727.9154</v>
      </c>
      <c r="F94" s="237">
        <v>-22328099.4648</v>
      </c>
      <c r="G94" s="233">
        <v>6435167</v>
      </c>
      <c r="H94" s="230">
        <v>4673763</v>
      </c>
      <c r="I94" s="230">
        <v>328921647</v>
      </c>
      <c r="J94" s="237">
        <v>-68898026</v>
      </c>
      <c r="K94" s="229">
        <v>1004</v>
      </c>
      <c r="L94" s="228">
        <v>9574591.3029999994</v>
      </c>
    </row>
    <row r="95" spans="1:12" s="227" customFormat="1" ht="15" customHeight="1" x14ac:dyDescent="0.15">
      <c r="A95" s="236" t="s">
        <v>564</v>
      </c>
      <c r="B95" s="229">
        <v>71</v>
      </c>
      <c r="C95" s="228">
        <v>4751519627</v>
      </c>
      <c r="D95" s="234">
        <v>1579926779</v>
      </c>
      <c r="E95" s="234">
        <v>6331446406</v>
      </c>
      <c r="F95" s="237">
        <v>-1645590117</v>
      </c>
      <c r="G95" s="233">
        <v>14857295</v>
      </c>
      <c r="H95" s="230">
        <v>3945772</v>
      </c>
      <c r="I95" s="230">
        <v>3206452988</v>
      </c>
      <c r="J95" s="237">
        <v>-107997817</v>
      </c>
      <c r="K95" s="229">
        <v>51685</v>
      </c>
      <c r="L95" s="228">
        <v>16158521146</v>
      </c>
    </row>
    <row r="96" spans="1:12" ht="15" customHeight="1" x14ac:dyDescent="0.15">
      <c r="A96" s="218" t="s">
        <v>214</v>
      </c>
      <c r="B96" s="214">
        <v>514.01279999999997</v>
      </c>
      <c r="C96" s="213">
        <v>19462046859.148499</v>
      </c>
      <c r="D96" s="217">
        <v>33895200697.062901</v>
      </c>
      <c r="E96" s="217">
        <v>53357247556.211403</v>
      </c>
      <c r="F96" s="216">
        <v>3134131558.4294</v>
      </c>
      <c r="G96" s="216">
        <v>609618601.99000001</v>
      </c>
      <c r="H96" s="215">
        <v>507782156.6092</v>
      </c>
      <c r="I96" s="215">
        <v>17381399360.796398</v>
      </c>
      <c r="J96" s="213">
        <v>7193119904.6707001</v>
      </c>
      <c r="K96" s="214">
        <v>184759.0252</v>
      </c>
      <c r="L96" s="213">
        <v>17235077896.766399</v>
      </c>
    </row>
    <row r="97" spans="1:253" ht="15" customHeight="1" x14ac:dyDescent="0.15">
      <c r="A97" s="218" t="s">
        <v>199</v>
      </c>
      <c r="B97" s="214">
        <v>464.00650000000002</v>
      </c>
      <c r="C97" s="213">
        <v>10815385748.035601</v>
      </c>
      <c r="D97" s="217">
        <v>1294923993.6900001</v>
      </c>
      <c r="E97" s="217">
        <v>12110309741.725599</v>
      </c>
      <c r="F97" s="216">
        <v>1026990499.1908</v>
      </c>
      <c r="G97" s="216">
        <v>295658324.18239999</v>
      </c>
      <c r="H97" s="215">
        <v>257898151.62200001</v>
      </c>
      <c r="I97" s="215">
        <v>6914995342.8114004</v>
      </c>
      <c r="J97" s="213">
        <v>3095573811.9962001</v>
      </c>
      <c r="K97" s="214">
        <v>33899</v>
      </c>
      <c r="L97" s="213">
        <v>4229589503.7284002</v>
      </c>
    </row>
    <row r="98" spans="1:253" ht="15" customHeight="1" x14ac:dyDescent="0.15">
      <c r="A98" s="218" t="s">
        <v>406</v>
      </c>
      <c r="B98" s="214">
        <v>59</v>
      </c>
      <c r="C98" s="213">
        <v>1636381712</v>
      </c>
      <c r="D98" s="217">
        <v>1049879138</v>
      </c>
      <c r="E98" s="217">
        <v>2686260850</v>
      </c>
      <c r="F98" s="216">
        <v>329195323</v>
      </c>
      <c r="G98" s="216">
        <v>158152948</v>
      </c>
      <c r="H98" s="215">
        <v>153917716</v>
      </c>
      <c r="I98" s="215">
        <v>540337801</v>
      </c>
      <c r="J98" s="213">
        <v>4178792909</v>
      </c>
      <c r="K98" s="214">
        <v>6430</v>
      </c>
      <c r="L98" s="213">
        <v>2557666392</v>
      </c>
    </row>
    <row r="99" spans="1:253" ht="15" customHeight="1" x14ac:dyDescent="0.15">
      <c r="A99" s="218" t="s">
        <v>407</v>
      </c>
      <c r="B99" s="214">
        <v>85.002099999999999</v>
      </c>
      <c r="C99" s="213">
        <v>2197518061.5300002</v>
      </c>
      <c r="D99" s="217">
        <v>156974347</v>
      </c>
      <c r="E99" s="217">
        <v>2354492408.5300002</v>
      </c>
      <c r="F99" s="216">
        <v>398538252.42949998</v>
      </c>
      <c r="G99" s="216">
        <v>116674158.83319999</v>
      </c>
      <c r="H99" s="215">
        <v>137683554.58129999</v>
      </c>
      <c r="I99" s="215">
        <v>825721744</v>
      </c>
      <c r="J99" s="213">
        <v>846275061</v>
      </c>
      <c r="K99" s="214">
        <v>14457</v>
      </c>
      <c r="L99" s="213">
        <v>801556984</v>
      </c>
    </row>
    <row r="100" spans="1:253" ht="15" customHeight="1" x14ac:dyDescent="0.15">
      <c r="A100" s="218" t="s">
        <v>410</v>
      </c>
      <c r="B100" s="214">
        <v>31</v>
      </c>
      <c r="C100" s="213">
        <v>146947967</v>
      </c>
      <c r="D100" s="244">
        <v>5804068</v>
      </c>
      <c r="E100" s="217">
        <v>152752035</v>
      </c>
      <c r="F100" s="216">
        <v>29670424</v>
      </c>
      <c r="G100" s="216">
        <v>5898286</v>
      </c>
      <c r="H100" s="215">
        <v>6512666</v>
      </c>
      <c r="I100" s="215">
        <v>69242123</v>
      </c>
      <c r="J100" s="213">
        <v>16748092</v>
      </c>
      <c r="K100" s="214">
        <v>651</v>
      </c>
      <c r="L100" s="213">
        <v>87371382</v>
      </c>
    </row>
    <row r="101" spans="1:253" ht="15" customHeight="1" x14ac:dyDescent="0.15">
      <c r="A101" s="218" t="s">
        <v>413</v>
      </c>
      <c r="B101" s="214">
        <v>367.00439999999998</v>
      </c>
      <c r="C101" s="213">
        <v>12674014706.563601</v>
      </c>
      <c r="D101" s="217">
        <v>13147236021</v>
      </c>
      <c r="E101" s="217">
        <v>25821250727.563599</v>
      </c>
      <c r="F101" s="216">
        <v>2750504136.1496</v>
      </c>
      <c r="G101" s="216">
        <v>814925345.79920006</v>
      </c>
      <c r="H101" s="215">
        <v>735185784</v>
      </c>
      <c r="I101" s="215">
        <v>4946548159</v>
      </c>
      <c r="J101" s="213">
        <v>7985623077.5192003</v>
      </c>
      <c r="K101" s="214">
        <v>506289</v>
      </c>
      <c r="L101" s="213">
        <v>7741889863</v>
      </c>
    </row>
    <row r="102" spans="1:253" ht="15" customHeight="1" x14ac:dyDescent="0.15">
      <c r="A102" s="218" t="s">
        <v>414</v>
      </c>
      <c r="B102" s="214">
        <v>94</v>
      </c>
      <c r="C102" s="213">
        <v>1721740584</v>
      </c>
      <c r="D102" s="217">
        <v>227107406</v>
      </c>
      <c r="E102" s="217">
        <v>1948847990</v>
      </c>
      <c r="F102" s="216">
        <v>688722878</v>
      </c>
      <c r="G102" s="216">
        <v>66105569</v>
      </c>
      <c r="H102" s="215">
        <v>68130240</v>
      </c>
      <c r="I102" s="215">
        <v>627758478</v>
      </c>
      <c r="J102" s="213">
        <v>12978999986</v>
      </c>
      <c r="K102" s="214">
        <v>2685</v>
      </c>
      <c r="L102" s="213">
        <v>835837182</v>
      </c>
    </row>
    <row r="103" spans="1:253" ht="15" customHeight="1" x14ac:dyDescent="0.15">
      <c r="A103" s="218" t="s">
        <v>420</v>
      </c>
      <c r="B103" s="214">
        <v>227</v>
      </c>
      <c r="C103" s="213">
        <v>13978120089</v>
      </c>
      <c r="D103" s="217">
        <v>2407817854</v>
      </c>
      <c r="E103" s="217">
        <v>16385937943</v>
      </c>
      <c r="F103" s="216">
        <v>489220568</v>
      </c>
      <c r="G103" s="216">
        <v>260235430</v>
      </c>
      <c r="H103" s="215">
        <v>263926137</v>
      </c>
      <c r="I103" s="215">
        <v>1925237441</v>
      </c>
      <c r="J103" s="213">
        <v>3192285612</v>
      </c>
      <c r="K103" s="214">
        <v>29931</v>
      </c>
      <c r="L103" s="213">
        <v>6329751839</v>
      </c>
    </row>
    <row r="104" spans="1:253" s="219" customFormat="1" ht="15" customHeight="1" x14ac:dyDescent="0.15">
      <c r="A104" s="225" t="s">
        <v>62</v>
      </c>
      <c r="B104" s="221">
        <v>867.01279999999997</v>
      </c>
      <c r="C104" s="220">
        <v>249334716489.78799</v>
      </c>
      <c r="D104" s="224">
        <v>294575718251.27399</v>
      </c>
      <c r="E104" s="224">
        <v>543910434741.06299</v>
      </c>
      <c r="F104" s="223">
        <v>58411014610.864998</v>
      </c>
      <c r="G104" s="223">
        <v>3143987920.8340998</v>
      </c>
      <c r="H104" s="222">
        <v>3588661594.9419999</v>
      </c>
      <c r="I104" s="222">
        <v>482824560813.79303</v>
      </c>
      <c r="J104" s="220">
        <v>205164789286.92999</v>
      </c>
      <c r="K104" s="221">
        <v>171826.0546</v>
      </c>
      <c r="L104" s="220">
        <v>65332346176.716499</v>
      </c>
    </row>
    <row r="105" spans="1:253" ht="15" customHeight="1" x14ac:dyDescent="0.15">
      <c r="A105" s="218" t="s">
        <v>429</v>
      </c>
      <c r="B105" s="214">
        <v>70</v>
      </c>
      <c r="C105" s="213">
        <v>319605346</v>
      </c>
      <c r="D105" s="217">
        <v>240010134</v>
      </c>
      <c r="E105" s="217">
        <v>559615480</v>
      </c>
      <c r="F105" s="216">
        <v>57991895</v>
      </c>
      <c r="G105" s="216">
        <v>14151910</v>
      </c>
      <c r="H105" s="215">
        <v>16627199</v>
      </c>
      <c r="I105" s="215">
        <v>194040285</v>
      </c>
      <c r="J105" s="213">
        <v>58207295</v>
      </c>
      <c r="K105" s="214">
        <v>13768</v>
      </c>
      <c r="L105" s="213">
        <v>180916420</v>
      </c>
    </row>
    <row r="106" spans="1:253" ht="15" customHeight="1" x14ac:dyDescent="0.15">
      <c r="A106" s="218" t="s">
        <v>565</v>
      </c>
      <c r="B106" s="214">
        <v>452.0086</v>
      </c>
      <c r="C106" s="213">
        <v>40080081573.245499</v>
      </c>
      <c r="D106" s="217">
        <v>20575953551</v>
      </c>
      <c r="E106" s="217">
        <v>60656035124.245499</v>
      </c>
      <c r="F106" s="216">
        <v>4361624351.8480997</v>
      </c>
      <c r="G106" s="216">
        <v>1002844765.2357</v>
      </c>
      <c r="H106" s="215">
        <v>467488081.91680002</v>
      </c>
      <c r="I106" s="215">
        <v>20634348538.026501</v>
      </c>
      <c r="J106" s="213">
        <v>9758373681.3549995</v>
      </c>
      <c r="K106" s="214">
        <v>107127.0612</v>
      </c>
      <c r="L106" s="213">
        <v>25246221457.003899</v>
      </c>
    </row>
    <row r="107" spans="1:253" ht="15" customHeight="1" x14ac:dyDescent="0.15">
      <c r="A107" s="218" t="s">
        <v>216</v>
      </c>
      <c r="B107" s="214">
        <v>421.00650000000002</v>
      </c>
      <c r="C107" s="213">
        <v>27028801060.366402</v>
      </c>
      <c r="D107" s="217">
        <v>21579153049</v>
      </c>
      <c r="E107" s="217">
        <v>48607954109.366402</v>
      </c>
      <c r="F107" s="216">
        <v>3344729733.4844999</v>
      </c>
      <c r="G107" s="216">
        <v>899798763</v>
      </c>
      <c r="H107" s="215">
        <v>917767627.39680004</v>
      </c>
      <c r="I107" s="215">
        <v>7371873582</v>
      </c>
      <c r="J107" s="213">
        <v>9433054598.5020008</v>
      </c>
      <c r="K107" s="214">
        <v>153803.0105</v>
      </c>
      <c r="L107" s="213">
        <v>14980956585</v>
      </c>
    </row>
    <row r="108" spans="1:253" ht="15" customHeight="1" x14ac:dyDescent="0.15">
      <c r="A108" s="218" t="s">
        <v>566</v>
      </c>
      <c r="B108" s="214">
        <v>498.00420000000003</v>
      </c>
      <c r="C108" s="213">
        <v>22069782263.011501</v>
      </c>
      <c r="D108" s="217">
        <v>11971570311.6539</v>
      </c>
      <c r="E108" s="217">
        <v>34041352574.665401</v>
      </c>
      <c r="F108" s="216">
        <v>5205610151.4034004</v>
      </c>
      <c r="G108" s="216">
        <v>107480689</v>
      </c>
      <c r="H108" s="215">
        <v>90076338</v>
      </c>
      <c r="I108" s="215">
        <v>30204026781.609699</v>
      </c>
      <c r="J108" s="213">
        <v>6724406191.5974998</v>
      </c>
      <c r="K108" s="214">
        <v>47829.0357</v>
      </c>
      <c r="L108" s="213">
        <v>7854048067.4462996</v>
      </c>
    </row>
    <row r="109" spans="1:253" s="206" customFormat="1" ht="15" customHeight="1" x14ac:dyDescent="0.2">
      <c r="A109" s="218" t="s">
        <v>452</v>
      </c>
      <c r="B109" s="214">
        <v>231.0044</v>
      </c>
      <c r="C109" s="213">
        <v>8667724964.3167992</v>
      </c>
      <c r="D109" s="217">
        <v>5656115379</v>
      </c>
      <c r="E109" s="217">
        <v>14323840343.316799</v>
      </c>
      <c r="F109" s="216">
        <v>1078188555.898</v>
      </c>
      <c r="G109" s="216">
        <v>159521878</v>
      </c>
      <c r="H109" s="215">
        <v>163082534</v>
      </c>
      <c r="I109" s="215">
        <v>3159451671</v>
      </c>
      <c r="J109" s="213">
        <v>1468771412.8787999</v>
      </c>
      <c r="K109" s="214">
        <v>82567</v>
      </c>
      <c r="L109" s="213">
        <v>4512033981</v>
      </c>
      <c r="M109" s="243"/>
      <c r="N109" s="243"/>
      <c r="O109" s="243"/>
      <c r="P109" s="243"/>
      <c r="Q109" s="243"/>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c r="AW109" s="243"/>
      <c r="AX109" s="243"/>
      <c r="AY109" s="243"/>
      <c r="AZ109" s="243"/>
      <c r="BA109" s="243"/>
      <c r="BB109" s="243"/>
      <c r="BC109" s="243"/>
      <c r="BD109" s="243"/>
      <c r="BE109" s="243"/>
      <c r="BF109" s="243"/>
      <c r="BG109" s="243"/>
      <c r="BH109" s="243"/>
      <c r="BI109" s="243"/>
      <c r="BJ109" s="243"/>
      <c r="BK109" s="243"/>
      <c r="BL109" s="243"/>
      <c r="BM109" s="243"/>
      <c r="BN109" s="243"/>
      <c r="BO109" s="243"/>
      <c r="BP109" s="243"/>
      <c r="BQ109" s="243"/>
      <c r="BR109" s="243"/>
      <c r="BS109" s="243"/>
      <c r="BT109" s="243"/>
      <c r="BU109" s="243"/>
      <c r="BV109" s="243"/>
      <c r="BW109" s="243"/>
      <c r="BX109" s="243"/>
      <c r="BY109" s="243"/>
      <c r="BZ109" s="243"/>
      <c r="CA109" s="243"/>
      <c r="CB109" s="243"/>
      <c r="CC109" s="243"/>
      <c r="CD109" s="243"/>
      <c r="CE109" s="243"/>
      <c r="CF109" s="243"/>
      <c r="CG109" s="243"/>
      <c r="CH109" s="243"/>
      <c r="CI109" s="243"/>
      <c r="CJ109" s="243"/>
      <c r="CK109" s="243"/>
      <c r="CL109" s="243"/>
      <c r="CM109" s="243"/>
      <c r="CN109" s="243"/>
      <c r="CO109" s="243"/>
      <c r="CP109" s="243"/>
      <c r="CQ109" s="243"/>
      <c r="CR109" s="243"/>
      <c r="CS109" s="243"/>
      <c r="CT109" s="243"/>
      <c r="CU109" s="243"/>
      <c r="CV109" s="243"/>
      <c r="CW109" s="243"/>
      <c r="CX109" s="243"/>
      <c r="CY109" s="243"/>
      <c r="CZ109" s="243"/>
      <c r="DA109" s="243"/>
      <c r="DB109" s="243"/>
      <c r="DC109" s="243"/>
      <c r="DD109" s="243"/>
      <c r="DE109" s="243"/>
      <c r="DF109" s="243"/>
      <c r="DG109" s="243"/>
      <c r="DH109" s="243"/>
      <c r="DI109" s="243"/>
      <c r="DJ109" s="243"/>
      <c r="DK109" s="243"/>
      <c r="DL109" s="243"/>
      <c r="DM109" s="243"/>
      <c r="DN109" s="243"/>
      <c r="DO109" s="243"/>
      <c r="DP109" s="243"/>
      <c r="DQ109" s="243"/>
      <c r="DR109" s="243"/>
      <c r="DS109" s="243"/>
      <c r="DT109" s="243"/>
      <c r="DU109" s="243"/>
      <c r="DV109" s="243"/>
      <c r="DW109" s="243"/>
      <c r="DX109" s="243"/>
      <c r="DY109" s="243"/>
      <c r="DZ109" s="243"/>
      <c r="EA109" s="243"/>
      <c r="EB109" s="243"/>
      <c r="EC109" s="243"/>
      <c r="ED109" s="243"/>
      <c r="EE109" s="243"/>
      <c r="EF109" s="243"/>
      <c r="EG109" s="243"/>
      <c r="EH109" s="243"/>
      <c r="EI109" s="243"/>
      <c r="EJ109" s="243"/>
      <c r="EK109" s="243"/>
      <c r="EL109" s="243"/>
      <c r="EM109" s="243"/>
      <c r="EN109" s="243"/>
      <c r="EO109" s="243"/>
      <c r="EP109" s="243"/>
      <c r="EQ109" s="243"/>
      <c r="ER109" s="243"/>
      <c r="ES109" s="243"/>
      <c r="ET109" s="243"/>
      <c r="EU109" s="243"/>
      <c r="EV109" s="243"/>
      <c r="EW109" s="243"/>
      <c r="EX109" s="243"/>
      <c r="EY109" s="243"/>
      <c r="EZ109" s="243"/>
      <c r="FA109" s="243"/>
      <c r="FB109" s="243"/>
      <c r="FC109" s="243"/>
      <c r="FD109" s="243"/>
      <c r="FE109" s="243"/>
      <c r="FF109" s="243"/>
      <c r="FG109" s="243"/>
      <c r="FH109" s="243"/>
      <c r="FI109" s="243"/>
      <c r="FJ109" s="243"/>
      <c r="FK109" s="243"/>
      <c r="FL109" s="243"/>
      <c r="FM109" s="243"/>
      <c r="FN109" s="243"/>
      <c r="FO109" s="243"/>
      <c r="FP109" s="243"/>
      <c r="FQ109" s="243"/>
      <c r="FR109" s="243"/>
      <c r="FS109" s="243"/>
      <c r="FT109" s="243"/>
      <c r="FU109" s="243"/>
      <c r="FV109" s="243"/>
      <c r="FW109" s="243"/>
      <c r="FX109" s="243"/>
      <c r="FY109" s="243"/>
      <c r="FZ109" s="243"/>
      <c r="GA109" s="243"/>
      <c r="GB109" s="243"/>
      <c r="GC109" s="243"/>
      <c r="GD109" s="243"/>
      <c r="GE109" s="243"/>
      <c r="GF109" s="243"/>
      <c r="GG109" s="243"/>
      <c r="GH109" s="243"/>
      <c r="GI109" s="243"/>
      <c r="GJ109" s="243"/>
      <c r="GK109" s="243"/>
      <c r="GL109" s="243"/>
      <c r="GM109" s="243"/>
      <c r="GN109" s="243"/>
      <c r="GO109" s="243"/>
      <c r="GP109" s="243"/>
      <c r="GQ109" s="243"/>
      <c r="GR109" s="243"/>
      <c r="GS109" s="243"/>
      <c r="GT109" s="243"/>
      <c r="GU109" s="243"/>
      <c r="GV109" s="243"/>
      <c r="GW109" s="243"/>
      <c r="GX109" s="243"/>
      <c r="GY109" s="243"/>
      <c r="GZ109" s="243"/>
      <c r="HA109" s="243"/>
      <c r="HB109" s="243"/>
      <c r="HC109" s="243"/>
      <c r="HD109" s="243"/>
      <c r="HE109" s="243"/>
      <c r="HF109" s="243"/>
      <c r="HG109" s="243"/>
      <c r="HH109" s="243"/>
      <c r="HI109" s="243"/>
      <c r="HJ109" s="243"/>
      <c r="HK109" s="243"/>
      <c r="HL109" s="243"/>
      <c r="HM109" s="243"/>
      <c r="HN109" s="243"/>
      <c r="HO109" s="243"/>
      <c r="HP109" s="243"/>
      <c r="HQ109" s="243"/>
      <c r="HR109" s="243"/>
      <c r="HS109" s="243"/>
      <c r="HT109" s="243"/>
      <c r="HU109" s="243"/>
      <c r="HV109" s="243"/>
      <c r="HW109" s="243"/>
      <c r="HX109" s="243"/>
      <c r="HY109" s="243"/>
      <c r="HZ109" s="243"/>
      <c r="IA109" s="243"/>
      <c r="IB109" s="243"/>
      <c r="IC109" s="243"/>
      <c r="ID109" s="243"/>
      <c r="IE109" s="243"/>
      <c r="IF109" s="243"/>
      <c r="IG109" s="243"/>
      <c r="IH109" s="243"/>
      <c r="II109" s="243"/>
      <c r="IJ109" s="243"/>
      <c r="IK109" s="243"/>
      <c r="IL109" s="243"/>
      <c r="IM109" s="243"/>
      <c r="IN109" s="243"/>
      <c r="IO109" s="243"/>
      <c r="IP109" s="243"/>
      <c r="IQ109" s="243"/>
      <c r="IR109" s="243"/>
      <c r="IS109" s="243"/>
    </row>
    <row r="110" spans="1:253" ht="15" customHeight="1" x14ac:dyDescent="0.15">
      <c r="A110" s="218" t="s">
        <v>567</v>
      </c>
      <c r="B110" s="214">
        <v>87.004400000000004</v>
      </c>
      <c r="C110" s="213">
        <v>631108819</v>
      </c>
      <c r="D110" s="217">
        <v>108606103</v>
      </c>
      <c r="E110" s="217">
        <v>739714922</v>
      </c>
      <c r="F110" s="216">
        <v>91873960</v>
      </c>
      <c r="G110" s="216">
        <v>9481120</v>
      </c>
      <c r="H110" s="215">
        <v>11416723</v>
      </c>
      <c r="I110" s="215">
        <v>1025051873</v>
      </c>
      <c r="J110" s="213">
        <v>939477350</v>
      </c>
      <c r="K110" s="214">
        <v>4043</v>
      </c>
      <c r="L110" s="213">
        <v>519311906</v>
      </c>
    </row>
    <row r="111" spans="1:253" s="206" customFormat="1" ht="15" customHeight="1" x14ac:dyDescent="0.15">
      <c r="A111" s="206" t="s">
        <v>568</v>
      </c>
      <c r="B111" s="208">
        <v>1459.0877</v>
      </c>
      <c r="C111" s="207">
        <v>2065655401382.0601</v>
      </c>
      <c r="D111" s="242">
        <v>1693596894182.8799</v>
      </c>
      <c r="E111" s="242">
        <v>3759252295564.9502</v>
      </c>
      <c r="F111" s="241">
        <v>255062961825.858</v>
      </c>
      <c r="G111" s="241">
        <v>55463848138.259804</v>
      </c>
      <c r="H111" s="240">
        <v>53523623569.293999</v>
      </c>
      <c r="I111" s="240">
        <v>9236657272928.1094</v>
      </c>
      <c r="J111" s="207">
        <v>1808838371774.52</v>
      </c>
      <c r="K111" s="208">
        <v>4497051.0335999997</v>
      </c>
      <c r="L111" s="207">
        <v>854571223573.48096</v>
      </c>
    </row>
    <row r="112" spans="1:253" ht="15" customHeight="1" x14ac:dyDescent="0.15">
      <c r="A112" s="218" t="s">
        <v>187</v>
      </c>
      <c r="B112" s="214">
        <v>418.03910000000002</v>
      </c>
      <c r="C112" s="213">
        <v>17442312840.7033</v>
      </c>
      <c r="D112" s="217">
        <v>4690733316</v>
      </c>
      <c r="E112" s="217">
        <v>22133046156.7033</v>
      </c>
      <c r="F112" s="216">
        <v>857237440.90760005</v>
      </c>
      <c r="G112" s="216">
        <v>330798281.7428</v>
      </c>
      <c r="H112" s="215">
        <v>363046753</v>
      </c>
      <c r="I112" s="215">
        <v>9465413641.7588005</v>
      </c>
      <c r="J112" s="213">
        <v>5514283204.2594004</v>
      </c>
      <c r="K112" s="214">
        <v>30290.0694</v>
      </c>
      <c r="L112" s="213">
        <v>6251592276</v>
      </c>
    </row>
    <row r="113" spans="1:12" ht="15" customHeight="1" x14ac:dyDescent="0.15">
      <c r="A113" s="218" t="s">
        <v>569</v>
      </c>
      <c r="B113" s="214">
        <v>40</v>
      </c>
      <c r="C113" s="213">
        <v>169059415</v>
      </c>
      <c r="D113" s="217">
        <v>85139633</v>
      </c>
      <c r="E113" s="217">
        <v>254199048</v>
      </c>
      <c r="F113" s="216">
        <v>45361467</v>
      </c>
      <c r="G113" s="216">
        <v>7596737</v>
      </c>
      <c r="H113" s="215">
        <v>10586045</v>
      </c>
      <c r="I113" s="215">
        <v>69195198</v>
      </c>
      <c r="J113" s="213">
        <v>45927718</v>
      </c>
      <c r="K113" s="214">
        <v>1785</v>
      </c>
      <c r="L113" s="213">
        <v>73826759</v>
      </c>
    </row>
    <row r="114" spans="1:12" ht="15" customHeight="1" x14ac:dyDescent="0.15">
      <c r="A114" s="218" t="s">
        <v>65</v>
      </c>
      <c r="B114" s="214">
        <v>590.04200000000003</v>
      </c>
      <c r="C114" s="213">
        <v>49787227668.001602</v>
      </c>
      <c r="D114" s="217">
        <v>88398952719</v>
      </c>
      <c r="E114" s="217">
        <v>138186180387.00201</v>
      </c>
      <c r="F114" s="216">
        <v>8682969390.1443996</v>
      </c>
      <c r="G114" s="216">
        <v>1314273378</v>
      </c>
      <c r="H114" s="215">
        <v>1219257512</v>
      </c>
      <c r="I114" s="215">
        <v>79887993795.674896</v>
      </c>
      <c r="J114" s="213">
        <v>51864724331.740898</v>
      </c>
      <c r="K114" s="214">
        <v>106488.2519</v>
      </c>
      <c r="L114" s="213">
        <v>45526260682.972198</v>
      </c>
    </row>
    <row r="115" spans="1:12" ht="15" customHeight="1" x14ac:dyDescent="0.15">
      <c r="A115" s="218" t="s">
        <v>570</v>
      </c>
      <c r="B115" s="214">
        <v>24</v>
      </c>
      <c r="C115" s="213">
        <v>178237616</v>
      </c>
      <c r="D115" s="217">
        <v>25531163</v>
      </c>
      <c r="E115" s="217">
        <v>203768779</v>
      </c>
      <c r="F115" s="216">
        <v>16430765</v>
      </c>
      <c r="G115" s="216">
        <v>3648386</v>
      </c>
      <c r="H115" s="215">
        <v>2141549</v>
      </c>
      <c r="I115" s="215">
        <v>17906207</v>
      </c>
      <c r="J115" s="213">
        <v>65483977</v>
      </c>
      <c r="K115" s="214">
        <v>2013</v>
      </c>
      <c r="L115" s="213">
        <v>76276174</v>
      </c>
    </row>
    <row r="116" spans="1:12" ht="15" customHeight="1" x14ac:dyDescent="0.15">
      <c r="A116" s="218" t="s">
        <v>320</v>
      </c>
      <c r="B116" s="214">
        <v>132</v>
      </c>
      <c r="C116" s="213">
        <v>1966678271</v>
      </c>
      <c r="D116" s="217">
        <v>1411573039</v>
      </c>
      <c r="E116" s="217">
        <v>3378251310</v>
      </c>
      <c r="F116" s="216">
        <v>184617717</v>
      </c>
      <c r="G116" s="216">
        <v>15434848</v>
      </c>
      <c r="H116" s="215">
        <v>19135358</v>
      </c>
      <c r="I116" s="215">
        <v>1612739788</v>
      </c>
      <c r="J116" s="213">
        <v>945327523</v>
      </c>
      <c r="K116" s="214">
        <v>28855</v>
      </c>
      <c r="L116" s="213">
        <v>2165685809</v>
      </c>
    </row>
    <row r="117" spans="1:12" ht="15" customHeight="1" x14ac:dyDescent="0.15">
      <c r="A117" s="218" t="s">
        <v>571</v>
      </c>
      <c r="B117" s="214">
        <v>107</v>
      </c>
      <c r="C117" s="213">
        <v>831596912</v>
      </c>
      <c r="D117" s="217">
        <v>389636836</v>
      </c>
      <c r="E117" s="217">
        <v>1221233748</v>
      </c>
      <c r="F117" s="216">
        <v>90679814</v>
      </c>
      <c r="G117" s="216">
        <v>19658335</v>
      </c>
      <c r="H117" s="215">
        <v>6542531</v>
      </c>
      <c r="I117" s="215">
        <v>1719421723</v>
      </c>
      <c r="J117" s="213">
        <v>159866814</v>
      </c>
      <c r="K117" s="214">
        <v>4462</v>
      </c>
      <c r="L117" s="213">
        <v>519860980</v>
      </c>
    </row>
    <row r="118" spans="1:12" s="227" customFormat="1" ht="15" customHeight="1" x14ac:dyDescent="0.15">
      <c r="A118" s="236" t="s">
        <v>338</v>
      </c>
      <c r="B118" s="229">
        <v>143</v>
      </c>
      <c r="C118" s="228">
        <v>520400900</v>
      </c>
      <c r="D118" s="234">
        <v>1832995838</v>
      </c>
      <c r="E118" s="234">
        <v>2353396738</v>
      </c>
      <c r="F118" s="233">
        <v>1164823538</v>
      </c>
      <c r="G118" s="233">
        <v>42883464</v>
      </c>
      <c r="H118" s="230">
        <v>65568736</v>
      </c>
      <c r="I118" s="230">
        <v>80622622916</v>
      </c>
      <c r="J118" s="237">
        <v>-13638889519</v>
      </c>
      <c r="K118" s="229">
        <v>2607</v>
      </c>
      <c r="L118" s="228">
        <v>485710188</v>
      </c>
    </row>
    <row r="119" spans="1:12" ht="15" customHeight="1" x14ac:dyDescent="0.15">
      <c r="A119" s="218" t="s">
        <v>572</v>
      </c>
      <c r="B119" s="214">
        <v>381.00209999999998</v>
      </c>
      <c r="C119" s="213">
        <v>11582630336.920799</v>
      </c>
      <c r="D119" s="217">
        <v>7636948400</v>
      </c>
      <c r="E119" s="217">
        <v>19219578736.920799</v>
      </c>
      <c r="F119" s="216">
        <v>1185642483.701</v>
      </c>
      <c r="G119" s="216">
        <v>285628074.46399999</v>
      </c>
      <c r="H119" s="215">
        <v>312667102.24349999</v>
      </c>
      <c r="I119" s="215">
        <v>6310448720</v>
      </c>
      <c r="J119" s="213">
        <v>4521608765</v>
      </c>
      <c r="K119" s="214">
        <v>91007.025200000004</v>
      </c>
      <c r="L119" s="213">
        <v>6289942540.2728004</v>
      </c>
    </row>
    <row r="120" spans="1:12" ht="15" customHeight="1" x14ac:dyDescent="0.15">
      <c r="A120" s="218" t="s">
        <v>190</v>
      </c>
      <c r="B120" s="214">
        <v>419.00439999999998</v>
      </c>
      <c r="C120" s="213">
        <v>14168012224.4916</v>
      </c>
      <c r="D120" s="217">
        <v>7014097294.5179996</v>
      </c>
      <c r="E120" s="217">
        <v>21182109519.009602</v>
      </c>
      <c r="F120" s="216">
        <v>519887883.90359998</v>
      </c>
      <c r="G120" s="216">
        <v>470540637</v>
      </c>
      <c r="H120" s="215">
        <v>347874942</v>
      </c>
      <c r="I120" s="215">
        <v>58162899444</v>
      </c>
      <c r="J120" s="213">
        <v>8649001984.4232006</v>
      </c>
      <c r="K120" s="214">
        <v>32361.1584</v>
      </c>
      <c r="L120" s="213">
        <v>9645142244.9535999</v>
      </c>
    </row>
    <row r="121" spans="1:12" ht="15" customHeight="1" x14ac:dyDescent="0.15">
      <c r="A121" s="218" t="s">
        <v>573</v>
      </c>
      <c r="B121" s="214">
        <v>90</v>
      </c>
      <c r="C121" s="213">
        <v>460971656</v>
      </c>
      <c r="D121" s="217">
        <v>398880314</v>
      </c>
      <c r="E121" s="217">
        <v>859851970</v>
      </c>
      <c r="F121" s="216">
        <v>39589308</v>
      </c>
      <c r="G121" s="216">
        <v>2951380</v>
      </c>
      <c r="H121" s="215">
        <v>1249423</v>
      </c>
      <c r="I121" s="215">
        <v>190395603</v>
      </c>
      <c r="J121" s="213">
        <v>419998419</v>
      </c>
      <c r="K121" s="214">
        <v>5158</v>
      </c>
      <c r="L121" s="213">
        <v>255586326</v>
      </c>
    </row>
    <row r="122" spans="1:12" ht="15" customHeight="1" x14ac:dyDescent="0.15">
      <c r="A122" s="218" t="s">
        <v>192</v>
      </c>
      <c r="B122" s="214">
        <v>355.00439999999998</v>
      </c>
      <c r="C122" s="213">
        <v>8820469564.5263996</v>
      </c>
      <c r="D122" s="217">
        <v>3748628890</v>
      </c>
      <c r="E122" s="217">
        <v>12569098454.5264</v>
      </c>
      <c r="F122" s="216">
        <v>727369886.73039997</v>
      </c>
      <c r="G122" s="216">
        <v>244938173</v>
      </c>
      <c r="H122" s="215">
        <v>214830723</v>
      </c>
      <c r="I122" s="215">
        <v>10769618765</v>
      </c>
      <c r="J122" s="226">
        <v>-4555894087.7212</v>
      </c>
      <c r="K122" s="214">
        <v>21377.052800000001</v>
      </c>
      <c r="L122" s="213">
        <v>5615292930</v>
      </c>
    </row>
    <row r="123" spans="1:12" ht="15" customHeight="1" x14ac:dyDescent="0.15">
      <c r="A123" s="218" t="s">
        <v>71</v>
      </c>
      <c r="B123" s="214">
        <v>841.04560000000004</v>
      </c>
      <c r="C123" s="213">
        <v>137474103529.694</v>
      </c>
      <c r="D123" s="217">
        <v>51802212782.874001</v>
      </c>
      <c r="E123" s="217">
        <v>189276316312.569</v>
      </c>
      <c r="F123" s="216">
        <v>4618903026.415</v>
      </c>
      <c r="G123" s="216">
        <v>3507962632.8789001</v>
      </c>
      <c r="H123" s="215">
        <v>3231379516.0868001</v>
      </c>
      <c r="I123" s="215">
        <v>156863552917.616</v>
      </c>
      <c r="J123" s="213">
        <v>46604083467.609398</v>
      </c>
      <c r="K123" s="214">
        <v>372277.45529999997</v>
      </c>
      <c r="L123" s="213">
        <v>53241670620.5261</v>
      </c>
    </row>
    <row r="124" spans="1:12" ht="15" customHeight="1" x14ac:dyDescent="0.15">
      <c r="A124" s="218" t="s">
        <v>75</v>
      </c>
      <c r="B124" s="214">
        <v>990.06510000000003</v>
      </c>
      <c r="C124" s="213">
        <v>233724506318.29099</v>
      </c>
      <c r="D124" s="217">
        <v>108072860965.226</v>
      </c>
      <c r="E124" s="217">
        <v>341797367283.51599</v>
      </c>
      <c r="F124" s="216">
        <v>8380063158.8345003</v>
      </c>
      <c r="G124" s="216">
        <v>6389626789.651</v>
      </c>
      <c r="H124" s="215">
        <v>4902198715.1542997</v>
      </c>
      <c r="I124" s="215">
        <v>364087512897.79498</v>
      </c>
      <c r="J124" s="213">
        <v>1292942377.6155</v>
      </c>
      <c r="K124" s="214">
        <v>569648.48849999998</v>
      </c>
      <c r="L124" s="213">
        <v>82224505882.703506</v>
      </c>
    </row>
    <row r="125" spans="1:12" s="227" customFormat="1" ht="15" customHeight="1" x14ac:dyDescent="0.15">
      <c r="A125" s="236" t="s">
        <v>574</v>
      </c>
      <c r="B125" s="229">
        <v>46</v>
      </c>
      <c r="C125" s="228">
        <v>378880353</v>
      </c>
      <c r="D125" s="234">
        <v>68517467</v>
      </c>
      <c r="E125" s="234">
        <v>447397820</v>
      </c>
      <c r="F125" s="237">
        <v>-22639608</v>
      </c>
      <c r="G125" s="233">
        <v>6656830</v>
      </c>
      <c r="H125" s="230">
        <v>10328961</v>
      </c>
      <c r="I125" s="230">
        <v>16932903562</v>
      </c>
      <c r="J125" s="237">
        <v>-20023892922</v>
      </c>
      <c r="K125" s="239">
        <v>111</v>
      </c>
      <c r="L125" s="238">
        <v>11637485</v>
      </c>
    </row>
    <row r="126" spans="1:12" ht="15" customHeight="1" x14ac:dyDescent="0.15">
      <c r="A126" s="218" t="s">
        <v>193</v>
      </c>
      <c r="B126" s="214">
        <v>214</v>
      </c>
      <c r="C126" s="213">
        <v>4738761378</v>
      </c>
      <c r="D126" s="217">
        <v>1068399399</v>
      </c>
      <c r="E126" s="217">
        <v>5807160777</v>
      </c>
      <c r="F126" s="216">
        <v>372038898</v>
      </c>
      <c r="G126" s="216">
        <v>98629585</v>
      </c>
      <c r="H126" s="215">
        <v>108833983</v>
      </c>
      <c r="I126" s="215">
        <v>2972439423</v>
      </c>
      <c r="J126" s="226">
        <v>-70055902</v>
      </c>
      <c r="K126" s="214">
        <v>15149</v>
      </c>
      <c r="L126" s="213">
        <v>1556498514</v>
      </c>
    </row>
    <row r="127" spans="1:12" s="227" customFormat="1" ht="15" customHeight="1" x14ac:dyDescent="0.15">
      <c r="A127" s="236" t="s">
        <v>575</v>
      </c>
      <c r="B127" s="229">
        <v>41</v>
      </c>
      <c r="C127" s="228">
        <v>223865340</v>
      </c>
      <c r="D127" s="234">
        <v>54867482</v>
      </c>
      <c r="E127" s="234">
        <v>278732822</v>
      </c>
      <c r="F127" s="233">
        <v>64070219</v>
      </c>
      <c r="G127" s="232">
        <v>7887493</v>
      </c>
      <c r="H127" s="230">
        <v>5807914</v>
      </c>
      <c r="I127" s="230">
        <v>5054403279</v>
      </c>
      <c r="J127" s="228">
        <v>527955633</v>
      </c>
      <c r="K127" s="229">
        <v>577</v>
      </c>
      <c r="L127" s="228">
        <v>427741547</v>
      </c>
    </row>
    <row r="128" spans="1:12" ht="15" customHeight="1" x14ac:dyDescent="0.15">
      <c r="A128" s="218" t="s">
        <v>194</v>
      </c>
      <c r="B128" s="214">
        <v>311</v>
      </c>
      <c r="C128" s="213">
        <v>10462689930</v>
      </c>
      <c r="D128" s="217">
        <v>6733579945</v>
      </c>
      <c r="E128" s="217">
        <v>17196269875</v>
      </c>
      <c r="F128" s="216">
        <v>2866120975</v>
      </c>
      <c r="G128" s="216">
        <v>164214798</v>
      </c>
      <c r="H128" s="215">
        <v>202434033</v>
      </c>
      <c r="I128" s="215">
        <v>51293453076</v>
      </c>
      <c r="J128" s="213">
        <v>24854690235</v>
      </c>
      <c r="K128" s="214">
        <v>69040</v>
      </c>
      <c r="L128" s="213">
        <v>4715200327</v>
      </c>
    </row>
    <row r="129" spans="1:12" ht="15" customHeight="1" x14ac:dyDescent="0.15">
      <c r="A129" s="218" t="s">
        <v>195</v>
      </c>
      <c r="B129" s="214">
        <v>38</v>
      </c>
      <c r="C129" s="213">
        <v>243528520</v>
      </c>
      <c r="D129" s="217">
        <v>787111185</v>
      </c>
      <c r="E129" s="217">
        <v>1030639705</v>
      </c>
      <c r="F129" s="226">
        <v>-63200201</v>
      </c>
      <c r="G129" s="216">
        <v>3569468</v>
      </c>
      <c r="H129" s="215">
        <v>3254823</v>
      </c>
      <c r="I129" s="215">
        <v>1888340278</v>
      </c>
      <c r="J129" s="226">
        <v>-1060225354</v>
      </c>
      <c r="K129" s="214">
        <v>1432</v>
      </c>
      <c r="L129" s="213">
        <v>1320795710</v>
      </c>
    </row>
    <row r="130" spans="1:12" s="219" customFormat="1" ht="15" customHeight="1" x14ac:dyDescent="0.15">
      <c r="A130" s="225" t="s">
        <v>59</v>
      </c>
      <c r="B130" s="221">
        <v>664.04330000000004</v>
      </c>
      <c r="C130" s="220">
        <v>340566088966.12097</v>
      </c>
      <c r="D130" s="224">
        <v>462900693596.06799</v>
      </c>
      <c r="E130" s="224">
        <v>803466782562.18896</v>
      </c>
      <c r="F130" s="223">
        <v>45599959657.378304</v>
      </c>
      <c r="G130" s="223">
        <v>10880468226.939199</v>
      </c>
      <c r="H130" s="222">
        <v>10593694442.1283</v>
      </c>
      <c r="I130" s="222">
        <v>1143763359809.3899</v>
      </c>
      <c r="J130" s="220">
        <v>19163195868.903702</v>
      </c>
      <c r="K130" s="221">
        <v>172570.152</v>
      </c>
      <c r="L130" s="220">
        <v>110797254927.078</v>
      </c>
    </row>
    <row r="131" spans="1:12" s="227" customFormat="1" ht="15" customHeight="1" x14ac:dyDescent="0.15">
      <c r="A131" s="236" t="s">
        <v>576</v>
      </c>
      <c r="B131" s="229">
        <v>39</v>
      </c>
      <c r="C131" s="228">
        <v>1364162584</v>
      </c>
      <c r="D131" s="234">
        <v>2141136666</v>
      </c>
      <c r="E131" s="234">
        <v>3505299250</v>
      </c>
      <c r="F131" s="233">
        <v>263409005</v>
      </c>
      <c r="G131" s="232">
        <v>6385301</v>
      </c>
      <c r="H131" s="231">
        <v>6237509</v>
      </c>
      <c r="I131" s="230">
        <v>96123817130</v>
      </c>
      <c r="J131" s="237">
        <v>-15851834108</v>
      </c>
      <c r="K131" s="229">
        <v>567</v>
      </c>
      <c r="L131" s="228">
        <v>351705178</v>
      </c>
    </row>
    <row r="132" spans="1:12" ht="15" customHeight="1" x14ac:dyDescent="0.15">
      <c r="A132" s="218" t="s">
        <v>74</v>
      </c>
      <c r="B132" s="214">
        <v>733.01739999999995</v>
      </c>
      <c r="C132" s="213">
        <v>82621255356.441101</v>
      </c>
      <c r="D132" s="217">
        <v>22811128958.334599</v>
      </c>
      <c r="E132" s="217">
        <v>105432384314.776</v>
      </c>
      <c r="F132" s="216">
        <v>3627103538.8175998</v>
      </c>
      <c r="G132" s="216">
        <v>1865341666.7744</v>
      </c>
      <c r="H132" s="215">
        <v>1611877039.3443999</v>
      </c>
      <c r="I132" s="215">
        <v>59506298428.012398</v>
      </c>
      <c r="J132" s="213">
        <v>15692086303.213499</v>
      </c>
      <c r="K132" s="214">
        <v>208195.924</v>
      </c>
      <c r="L132" s="213">
        <v>31475739140.928398</v>
      </c>
    </row>
    <row r="133" spans="1:12" s="227" customFormat="1" ht="15" customHeight="1" x14ac:dyDescent="0.15">
      <c r="A133" s="236" t="s">
        <v>577</v>
      </c>
      <c r="B133" s="229">
        <v>93</v>
      </c>
      <c r="C133" s="228">
        <v>2901075475</v>
      </c>
      <c r="D133" s="234">
        <v>4968780732</v>
      </c>
      <c r="E133" s="234">
        <v>7869856207</v>
      </c>
      <c r="F133" s="237">
        <v>-4417097324</v>
      </c>
      <c r="G133" s="233">
        <v>25955125</v>
      </c>
      <c r="H133" s="230">
        <v>20509945</v>
      </c>
      <c r="I133" s="230">
        <v>154163664888</v>
      </c>
      <c r="J133" s="228">
        <v>117583743139</v>
      </c>
      <c r="K133" s="229">
        <v>2051</v>
      </c>
      <c r="L133" s="228">
        <v>3034383013</v>
      </c>
    </row>
    <row r="134" spans="1:12" ht="15" customHeight="1" x14ac:dyDescent="0.15">
      <c r="A134" s="218" t="s">
        <v>198</v>
      </c>
      <c r="B134" s="214">
        <v>72</v>
      </c>
      <c r="C134" s="213">
        <v>234676841</v>
      </c>
      <c r="D134" s="217">
        <v>252478205</v>
      </c>
      <c r="E134" s="217">
        <v>487155046</v>
      </c>
      <c r="F134" s="216">
        <v>20102614</v>
      </c>
      <c r="G134" s="216">
        <v>861082</v>
      </c>
      <c r="H134" s="215">
        <v>2496654</v>
      </c>
      <c r="I134" s="215">
        <v>45978465</v>
      </c>
      <c r="J134" s="213">
        <v>110507379</v>
      </c>
      <c r="K134" s="214">
        <v>2244</v>
      </c>
      <c r="L134" s="213">
        <v>113704944</v>
      </c>
    </row>
    <row r="135" spans="1:12" ht="15" customHeight="1" x14ac:dyDescent="0.15">
      <c r="A135" s="218" t="s">
        <v>382</v>
      </c>
      <c r="B135" s="214">
        <v>97</v>
      </c>
      <c r="C135" s="213">
        <v>810502921</v>
      </c>
      <c r="D135" s="217">
        <v>1911599646</v>
      </c>
      <c r="E135" s="217">
        <v>2722102567</v>
      </c>
      <c r="F135" s="216">
        <v>593465291</v>
      </c>
      <c r="G135" s="216">
        <v>77874765</v>
      </c>
      <c r="H135" s="215">
        <v>104150381</v>
      </c>
      <c r="I135" s="215">
        <v>13419539922</v>
      </c>
      <c r="J135" s="213">
        <v>1600987773</v>
      </c>
      <c r="K135" s="214">
        <v>11133</v>
      </c>
      <c r="L135" s="213">
        <v>770300244</v>
      </c>
    </row>
    <row r="136" spans="1:12" s="219" customFormat="1" ht="15" customHeight="1" x14ac:dyDescent="0.15">
      <c r="A136" s="225" t="s">
        <v>60</v>
      </c>
      <c r="B136" s="221">
        <v>517.00440000000003</v>
      </c>
      <c r="C136" s="220">
        <v>45970780375</v>
      </c>
      <c r="D136" s="224">
        <v>101707819986</v>
      </c>
      <c r="E136" s="224">
        <v>147678600361</v>
      </c>
      <c r="F136" s="223">
        <v>710801153.69920003</v>
      </c>
      <c r="G136" s="223">
        <v>750334229.78400004</v>
      </c>
      <c r="H136" s="222">
        <v>539092066</v>
      </c>
      <c r="I136" s="222">
        <v>1490873063339.8999</v>
      </c>
      <c r="J136" s="220">
        <v>150364035205.39999</v>
      </c>
      <c r="K136" s="221">
        <v>15162</v>
      </c>
      <c r="L136" s="220">
        <v>45813650212</v>
      </c>
    </row>
    <row r="137" spans="1:12" ht="15" customHeight="1" x14ac:dyDescent="0.15">
      <c r="A137" s="218" t="s">
        <v>578</v>
      </c>
      <c r="B137" s="214">
        <v>17</v>
      </c>
      <c r="C137" s="213">
        <v>35423946</v>
      </c>
      <c r="D137" s="217">
        <v>238867404</v>
      </c>
      <c r="E137" s="217">
        <v>274291350</v>
      </c>
      <c r="F137" s="216">
        <v>12511132</v>
      </c>
      <c r="G137" s="216">
        <v>1485435</v>
      </c>
      <c r="H137" s="215">
        <v>1358471</v>
      </c>
      <c r="I137" s="215">
        <v>60132964</v>
      </c>
      <c r="J137" s="213">
        <v>88557432</v>
      </c>
      <c r="K137" s="214">
        <v>6815</v>
      </c>
      <c r="L137" s="213">
        <v>188988415</v>
      </c>
    </row>
    <row r="138" spans="1:12" s="227" customFormat="1" ht="15" customHeight="1" x14ac:dyDescent="0.15">
      <c r="A138" s="236" t="s">
        <v>222</v>
      </c>
      <c r="B138" s="229">
        <v>90.004400000000004</v>
      </c>
      <c r="C138" s="228">
        <v>2476013908</v>
      </c>
      <c r="D138" s="234">
        <v>2829626958</v>
      </c>
      <c r="E138" s="234">
        <v>5305640866</v>
      </c>
      <c r="F138" s="237">
        <v>-29618057500</v>
      </c>
      <c r="G138" s="233">
        <v>21035378</v>
      </c>
      <c r="H138" s="230">
        <v>63236166</v>
      </c>
      <c r="I138" s="230">
        <v>127074217059</v>
      </c>
      <c r="J138" s="237">
        <v>-3899143633</v>
      </c>
      <c r="K138" s="229">
        <v>2825</v>
      </c>
      <c r="L138" s="228">
        <v>3578790087</v>
      </c>
    </row>
    <row r="139" spans="1:12" s="227" customFormat="1" ht="15" customHeight="1" x14ac:dyDescent="0.15">
      <c r="A139" s="236" t="s">
        <v>579</v>
      </c>
      <c r="B139" s="229">
        <v>19</v>
      </c>
      <c r="C139" s="228">
        <v>250456888</v>
      </c>
      <c r="D139" s="235">
        <v>314277244</v>
      </c>
      <c r="E139" s="234">
        <v>564734132</v>
      </c>
      <c r="F139" s="233">
        <v>42030509</v>
      </c>
      <c r="G139" s="232">
        <v>1464085</v>
      </c>
      <c r="H139" s="231">
        <v>2035356</v>
      </c>
      <c r="I139" s="230">
        <v>17958944</v>
      </c>
      <c r="J139" s="228">
        <v>57837463</v>
      </c>
      <c r="K139" s="229">
        <v>309</v>
      </c>
      <c r="L139" s="228">
        <v>102459321</v>
      </c>
    </row>
    <row r="140" spans="1:12" s="219" customFormat="1" ht="15" customHeight="1" x14ac:dyDescent="0.15">
      <c r="A140" s="225" t="s">
        <v>64</v>
      </c>
      <c r="B140" s="221">
        <v>991.06299999999999</v>
      </c>
      <c r="C140" s="220">
        <v>126009151231.87199</v>
      </c>
      <c r="D140" s="224">
        <v>206746750758.63901</v>
      </c>
      <c r="E140" s="224">
        <v>332755901990.51099</v>
      </c>
      <c r="F140" s="223">
        <v>19305507096.3521</v>
      </c>
      <c r="G140" s="223">
        <v>5558635247.7538004</v>
      </c>
      <c r="H140" s="222">
        <v>3605530741.9141998</v>
      </c>
      <c r="I140" s="222">
        <v>2011062478573.8501</v>
      </c>
      <c r="J140" s="220">
        <v>549367075663.70001</v>
      </c>
      <c r="K140" s="221">
        <v>175079.34659999999</v>
      </c>
      <c r="L140" s="220">
        <v>74027888204.458694</v>
      </c>
    </row>
    <row r="141" spans="1:12" ht="15" customHeight="1" x14ac:dyDescent="0.15">
      <c r="A141" s="218" t="s">
        <v>200</v>
      </c>
      <c r="B141" s="214">
        <v>350</v>
      </c>
      <c r="C141" s="213">
        <v>15837695434</v>
      </c>
      <c r="D141" s="217">
        <v>6307842561</v>
      </c>
      <c r="E141" s="217">
        <v>22145537995</v>
      </c>
      <c r="F141" s="216">
        <v>484872388</v>
      </c>
      <c r="G141" s="216">
        <v>741075957</v>
      </c>
      <c r="H141" s="215">
        <v>234641597</v>
      </c>
      <c r="I141" s="215">
        <v>24399480312</v>
      </c>
      <c r="J141" s="213">
        <v>8520996645</v>
      </c>
      <c r="K141" s="214">
        <v>32068</v>
      </c>
      <c r="L141" s="213">
        <v>11311063077</v>
      </c>
    </row>
    <row r="142" spans="1:12" ht="15" customHeight="1" x14ac:dyDescent="0.15">
      <c r="A142" s="218" t="s">
        <v>580</v>
      </c>
      <c r="B142" s="214">
        <v>533.0412</v>
      </c>
      <c r="C142" s="213">
        <v>27334122242.887402</v>
      </c>
      <c r="D142" s="217">
        <v>17885532448.726101</v>
      </c>
      <c r="E142" s="217">
        <v>45219654691.613503</v>
      </c>
      <c r="F142" s="216">
        <v>2120593988.3099</v>
      </c>
      <c r="G142" s="215">
        <v>735140577.78929996</v>
      </c>
      <c r="H142" s="215">
        <v>613592307.977</v>
      </c>
      <c r="I142" s="215">
        <v>20218895793.3298</v>
      </c>
      <c r="J142" s="213">
        <v>8820857029.5139008</v>
      </c>
      <c r="K142" s="214">
        <v>263572.72970000003</v>
      </c>
      <c r="L142" s="213">
        <v>18253665903.233101</v>
      </c>
    </row>
    <row r="143" spans="1:12" ht="15" customHeight="1" x14ac:dyDescent="0.15">
      <c r="A143" s="218" t="s">
        <v>202</v>
      </c>
      <c r="B143" s="214">
        <v>334</v>
      </c>
      <c r="C143" s="213">
        <v>8590888945</v>
      </c>
      <c r="D143" s="217">
        <v>2993231757</v>
      </c>
      <c r="E143" s="217">
        <v>11584120702</v>
      </c>
      <c r="F143" s="216">
        <v>617543895</v>
      </c>
      <c r="G143" s="215">
        <v>245948591</v>
      </c>
      <c r="H143" s="215">
        <v>185850597</v>
      </c>
      <c r="I143" s="215">
        <v>3632632510</v>
      </c>
      <c r="J143" s="213">
        <v>1695290031</v>
      </c>
      <c r="K143" s="214">
        <v>47089</v>
      </c>
      <c r="L143" s="213">
        <v>3687053014</v>
      </c>
    </row>
    <row r="144" spans="1:12" ht="15" customHeight="1" x14ac:dyDescent="0.15">
      <c r="A144" s="218" t="s">
        <v>415</v>
      </c>
      <c r="B144" s="214">
        <v>277.00209999999998</v>
      </c>
      <c r="C144" s="213">
        <v>7643516822</v>
      </c>
      <c r="D144" s="217">
        <v>7618362772</v>
      </c>
      <c r="E144" s="217">
        <v>15261879594</v>
      </c>
      <c r="F144" s="217">
        <v>535107500</v>
      </c>
      <c r="G144" s="216">
        <v>135397182</v>
      </c>
      <c r="H144" s="215">
        <v>116806648</v>
      </c>
      <c r="I144" s="215">
        <v>3867099824.1008</v>
      </c>
      <c r="J144" s="213">
        <v>683648101.13</v>
      </c>
      <c r="K144" s="214">
        <v>100123</v>
      </c>
      <c r="L144" s="213">
        <v>4652516917</v>
      </c>
    </row>
    <row r="145" spans="1:12" ht="15" customHeight="1" x14ac:dyDescent="0.15">
      <c r="A145" s="218" t="s">
        <v>87</v>
      </c>
      <c r="B145" s="214">
        <v>433.00209999999998</v>
      </c>
      <c r="C145" s="213">
        <v>40698356601.630203</v>
      </c>
      <c r="D145" s="217">
        <v>8461478932</v>
      </c>
      <c r="E145" s="217">
        <v>49159835533.630203</v>
      </c>
      <c r="F145" s="217">
        <v>3758524049.9675002</v>
      </c>
      <c r="G145" s="216">
        <v>1276937054.3668001</v>
      </c>
      <c r="H145" s="215">
        <v>1169295756</v>
      </c>
      <c r="I145" s="215">
        <v>13252904589.8619</v>
      </c>
      <c r="J145" s="213">
        <v>9185902641.7842007</v>
      </c>
      <c r="K145" s="214">
        <v>232914</v>
      </c>
      <c r="L145" s="213">
        <v>11289655602.5944</v>
      </c>
    </row>
    <row r="146" spans="1:12" ht="15" customHeight="1" x14ac:dyDescent="0.15">
      <c r="A146" s="218" t="s">
        <v>581</v>
      </c>
      <c r="B146" s="214">
        <v>104</v>
      </c>
      <c r="C146" s="213">
        <v>1029167038</v>
      </c>
      <c r="D146" s="217">
        <v>711208241</v>
      </c>
      <c r="E146" s="217">
        <v>1740375279</v>
      </c>
      <c r="F146" s="217">
        <v>92299993</v>
      </c>
      <c r="G146" s="216">
        <v>22347201</v>
      </c>
      <c r="H146" s="215">
        <v>22725166</v>
      </c>
      <c r="I146" s="215">
        <v>2409868309</v>
      </c>
      <c r="J146" s="226">
        <v>-316068954</v>
      </c>
      <c r="K146" s="214">
        <v>17260</v>
      </c>
      <c r="L146" s="213">
        <v>828609846</v>
      </c>
    </row>
    <row r="147" spans="1:12" ht="15" customHeight="1" x14ac:dyDescent="0.15">
      <c r="A147" s="218" t="s">
        <v>582</v>
      </c>
      <c r="B147" s="214">
        <v>207.0044</v>
      </c>
      <c r="C147" s="213">
        <v>5188832274.4292002</v>
      </c>
      <c r="D147" s="217">
        <v>3138622625.5008001</v>
      </c>
      <c r="E147" s="217">
        <v>8327454899.9300003</v>
      </c>
      <c r="F147" s="217">
        <v>240665542.56479999</v>
      </c>
      <c r="G147" s="216">
        <v>69473761.339200005</v>
      </c>
      <c r="H147" s="215">
        <v>60438982</v>
      </c>
      <c r="I147" s="215">
        <v>2413808564.6988001</v>
      </c>
      <c r="J147" s="213">
        <v>468375705.96719998</v>
      </c>
      <c r="K147" s="214">
        <v>47625.497199999998</v>
      </c>
      <c r="L147" s="213">
        <v>3045364329.3815999</v>
      </c>
    </row>
    <row r="148" spans="1:12" ht="15" customHeight="1" x14ac:dyDescent="0.15">
      <c r="A148" s="218" t="s">
        <v>583</v>
      </c>
      <c r="B148" s="214">
        <v>78</v>
      </c>
      <c r="C148" s="213">
        <v>1091627485</v>
      </c>
      <c r="D148" s="217">
        <v>428727401</v>
      </c>
      <c r="E148" s="217">
        <v>1520354886</v>
      </c>
      <c r="F148" s="217">
        <v>38262733</v>
      </c>
      <c r="G148" s="216">
        <v>10837522</v>
      </c>
      <c r="H148" s="215">
        <v>10687719</v>
      </c>
      <c r="I148" s="215">
        <v>290932060</v>
      </c>
      <c r="J148" s="213">
        <v>386211093</v>
      </c>
      <c r="K148" s="214">
        <v>4692</v>
      </c>
      <c r="L148" s="213">
        <v>527198934</v>
      </c>
    </row>
    <row r="149" spans="1:12" ht="15" customHeight="1" x14ac:dyDescent="0.15">
      <c r="A149" s="218" t="s">
        <v>72</v>
      </c>
      <c r="B149" s="214">
        <v>725.01300000000003</v>
      </c>
      <c r="C149" s="213">
        <v>63327152096.215401</v>
      </c>
      <c r="D149" s="217">
        <v>29299728257.617001</v>
      </c>
      <c r="E149" s="217">
        <v>92626880353.832397</v>
      </c>
      <c r="F149" s="217">
        <v>5399735555.1759996</v>
      </c>
      <c r="G149" s="216">
        <v>946985897.72759998</v>
      </c>
      <c r="H149" s="215">
        <v>900730110.15999997</v>
      </c>
      <c r="I149" s="215">
        <v>54599643892.178398</v>
      </c>
      <c r="J149" s="213">
        <v>21387176664.3382</v>
      </c>
      <c r="K149" s="214">
        <v>203729.34950000001</v>
      </c>
      <c r="L149" s="213">
        <v>24681128386.322498</v>
      </c>
    </row>
    <row r="150" spans="1:12" ht="15" customHeight="1" x14ac:dyDescent="0.15">
      <c r="A150" s="218" t="s">
        <v>205</v>
      </c>
      <c r="B150" s="214">
        <v>575.0412</v>
      </c>
      <c r="C150" s="213">
        <v>38563393916.162102</v>
      </c>
      <c r="D150" s="217">
        <v>4012266550.7269001</v>
      </c>
      <c r="E150" s="217">
        <v>42575660466.889</v>
      </c>
      <c r="F150" s="217">
        <v>4792533914.8793001</v>
      </c>
      <c r="G150" s="216">
        <v>798551515</v>
      </c>
      <c r="H150" s="215">
        <v>615073407</v>
      </c>
      <c r="I150" s="215">
        <v>163885768267.01801</v>
      </c>
      <c r="J150" s="213">
        <v>7065135240.9275999</v>
      </c>
      <c r="K150" s="214">
        <v>64583.008800000003</v>
      </c>
      <c r="L150" s="213">
        <v>10638732029</v>
      </c>
    </row>
    <row r="151" spans="1:12" s="219" customFormat="1" ht="15" customHeight="1" x14ac:dyDescent="0.15">
      <c r="A151" s="225" t="s">
        <v>61</v>
      </c>
      <c r="B151" s="221">
        <v>642.04349999999999</v>
      </c>
      <c r="C151" s="220">
        <v>219085721364.81</v>
      </c>
      <c r="D151" s="224">
        <v>327220199887.05402</v>
      </c>
      <c r="E151" s="224">
        <v>546305921251.86499</v>
      </c>
      <c r="F151" s="224">
        <v>131396009782.125</v>
      </c>
      <c r="G151" s="223">
        <v>5075332061.0455999</v>
      </c>
      <c r="H151" s="222">
        <v>5829344460.7575998</v>
      </c>
      <c r="I151" s="222">
        <v>925182838149.49805</v>
      </c>
      <c r="J151" s="220">
        <v>220246478072.09799</v>
      </c>
      <c r="K151" s="221">
        <v>91952.126099999994</v>
      </c>
      <c r="L151" s="220">
        <v>56714679278.715698</v>
      </c>
    </row>
    <row r="152" spans="1:12" ht="15" customHeight="1" x14ac:dyDescent="0.15">
      <c r="A152" s="218" t="s">
        <v>85</v>
      </c>
      <c r="B152" s="214">
        <v>362.00209999999998</v>
      </c>
      <c r="C152" s="213">
        <v>18065575454.9403</v>
      </c>
      <c r="D152" s="217">
        <v>3269792093</v>
      </c>
      <c r="E152" s="217">
        <v>21335367547.9403</v>
      </c>
      <c r="F152" s="217">
        <v>872631047.75170004</v>
      </c>
      <c r="G152" s="216">
        <v>393436401.95630002</v>
      </c>
      <c r="H152" s="215">
        <v>380454733.73720002</v>
      </c>
      <c r="I152" s="215">
        <v>9199600857</v>
      </c>
      <c r="J152" s="213">
        <v>2802543490</v>
      </c>
      <c r="K152" s="214">
        <v>60161.006300000001</v>
      </c>
      <c r="L152" s="213">
        <v>5002009815.8841</v>
      </c>
    </row>
    <row r="153" spans="1:12" ht="15" customHeight="1" x14ac:dyDescent="0.15">
      <c r="A153" s="218" t="s">
        <v>448</v>
      </c>
      <c r="B153" s="214">
        <v>169</v>
      </c>
      <c r="C153" s="213">
        <v>3906686066</v>
      </c>
      <c r="D153" s="217">
        <v>2652481565</v>
      </c>
      <c r="E153" s="217">
        <v>6559167631</v>
      </c>
      <c r="F153" s="217">
        <v>512702318</v>
      </c>
      <c r="G153" s="216">
        <v>111803394</v>
      </c>
      <c r="H153" s="215">
        <v>105221607</v>
      </c>
      <c r="I153" s="215">
        <v>772568942</v>
      </c>
      <c r="J153" s="213">
        <v>1314452290</v>
      </c>
      <c r="K153" s="214">
        <v>41306</v>
      </c>
      <c r="L153" s="213">
        <v>1559496358</v>
      </c>
    </row>
    <row r="154" spans="1:12" ht="15" customHeight="1" x14ac:dyDescent="0.15">
      <c r="A154" s="218" t="s">
        <v>584</v>
      </c>
      <c r="B154" s="214">
        <v>1256.0746999999999</v>
      </c>
      <c r="C154" s="213">
        <v>518559642620.72101</v>
      </c>
      <c r="D154" s="217">
        <v>188540731805.59698</v>
      </c>
      <c r="E154" s="217">
        <v>707100374426.31799</v>
      </c>
      <c r="F154" s="217">
        <v>38309296066.406898</v>
      </c>
      <c r="G154" s="216">
        <v>12792722953.0469</v>
      </c>
      <c r="H154" s="215">
        <v>15698131874.790701</v>
      </c>
      <c r="I154" s="215">
        <v>2067845715964.4199</v>
      </c>
      <c r="J154" s="213">
        <v>585860914309.62</v>
      </c>
      <c r="K154" s="214">
        <v>1333727.3918999999</v>
      </c>
      <c r="L154" s="213">
        <v>211550749709.45599</v>
      </c>
    </row>
    <row r="155" spans="1:12" ht="15" customHeight="1" x14ac:dyDescent="0.15">
      <c r="A155" s="218" t="s">
        <v>585</v>
      </c>
      <c r="B155" s="214">
        <v>47.002099999999999</v>
      </c>
      <c r="C155" s="213">
        <v>319501754.20670003</v>
      </c>
      <c r="D155" s="217">
        <v>12860463</v>
      </c>
      <c r="E155" s="217">
        <v>332362217.20670003</v>
      </c>
      <c r="F155" s="217">
        <v>22481715.793299999</v>
      </c>
      <c r="G155" s="216">
        <v>1118236</v>
      </c>
      <c r="H155" s="215">
        <v>3271212</v>
      </c>
      <c r="I155" s="215">
        <v>653744135</v>
      </c>
      <c r="J155" s="213">
        <v>322474263</v>
      </c>
      <c r="K155" s="214">
        <v>4658</v>
      </c>
      <c r="L155" s="213">
        <v>171209690</v>
      </c>
    </row>
    <row r="156" spans="1:12" s="206" customFormat="1" ht="15" customHeight="1" x14ac:dyDescent="0.15">
      <c r="A156" s="212" t="s">
        <v>586</v>
      </c>
      <c r="B156" s="208">
        <v>33</v>
      </c>
      <c r="C156" s="207">
        <v>246421547875</v>
      </c>
      <c r="D156" s="211">
        <v>269773263435</v>
      </c>
      <c r="E156" s="211">
        <v>516194811310</v>
      </c>
      <c r="F156" s="211">
        <v>192984305101</v>
      </c>
      <c r="G156" s="210">
        <v>2940019591</v>
      </c>
      <c r="H156" s="209">
        <v>2877018019</v>
      </c>
      <c r="I156" s="209">
        <v>825272942427</v>
      </c>
      <c r="J156" s="207">
        <v>588739716380</v>
      </c>
      <c r="K156" s="208">
        <v>250155</v>
      </c>
      <c r="L156" s="207">
        <v>265535313444</v>
      </c>
    </row>
    <row r="157" spans="1:12" ht="11" x14ac:dyDescent="0.15">
      <c r="A157" s="605" t="s">
        <v>587</v>
      </c>
      <c r="B157" s="606"/>
      <c r="C157" s="606"/>
      <c r="D157" s="606"/>
      <c r="E157" s="606"/>
      <c r="F157" s="606"/>
      <c r="G157" s="606"/>
      <c r="H157" s="606"/>
      <c r="I157" s="606"/>
      <c r="J157" s="606"/>
      <c r="K157" s="606"/>
      <c r="L157" s="606"/>
    </row>
    <row r="158" spans="1:12" ht="11.25" customHeight="1" x14ac:dyDescent="0.15">
      <c r="A158" s="607" t="s">
        <v>588</v>
      </c>
      <c r="B158" s="600"/>
      <c r="C158" s="600"/>
      <c r="D158" s="600"/>
      <c r="E158" s="600"/>
      <c r="F158" s="600"/>
      <c r="G158" s="600"/>
      <c r="H158" s="600"/>
      <c r="I158" s="600"/>
      <c r="J158" s="600"/>
      <c r="K158" s="600"/>
      <c r="L158" s="600"/>
    </row>
    <row r="159" spans="1:12" ht="11.25" customHeight="1" x14ac:dyDescent="0.15">
      <c r="A159" s="599" t="s">
        <v>589</v>
      </c>
      <c r="B159" s="600"/>
      <c r="C159" s="600"/>
      <c r="D159" s="600"/>
      <c r="E159" s="600"/>
      <c r="F159" s="600"/>
      <c r="G159" s="600"/>
      <c r="H159" s="600"/>
      <c r="I159" s="600"/>
      <c r="J159" s="600"/>
      <c r="K159" s="600"/>
      <c r="L159" s="600"/>
    </row>
    <row r="160" spans="1:12" ht="11" x14ac:dyDescent="0.15">
      <c r="A160" s="599" t="s">
        <v>590</v>
      </c>
      <c r="B160" s="600"/>
      <c r="C160" s="600"/>
      <c r="D160" s="600"/>
      <c r="E160" s="600"/>
      <c r="F160" s="600"/>
      <c r="G160" s="600"/>
      <c r="H160" s="600"/>
      <c r="I160" s="600"/>
      <c r="J160" s="600"/>
      <c r="K160" s="600"/>
      <c r="L160" s="600"/>
    </row>
    <row r="161" spans="1:253" x14ac:dyDescent="0.2">
      <c r="A161" s="599" t="s">
        <v>591</v>
      </c>
      <c r="B161" s="600"/>
      <c r="C161" s="600"/>
      <c r="D161" s="600"/>
      <c r="E161" s="600"/>
      <c r="F161" s="600"/>
      <c r="G161" s="600"/>
      <c r="H161" s="600"/>
      <c r="I161" s="600"/>
      <c r="J161" s="600"/>
      <c r="K161" s="600"/>
      <c r="L161" s="600"/>
      <c r="AC161" s="203"/>
      <c r="AD161" s="203"/>
      <c r="AE161" s="198"/>
      <c r="AF161" s="198"/>
      <c r="AG161" s="198"/>
      <c r="AH161" s="198"/>
      <c r="AI161" s="198"/>
      <c r="AJ161" s="198"/>
      <c r="AK161" s="198"/>
      <c r="AL161" s="198"/>
      <c r="AM161" s="198"/>
      <c r="AN161" s="198"/>
      <c r="AO161" s="198"/>
      <c r="AP161" s="198"/>
      <c r="AQ161" s="198"/>
      <c r="AR161" s="198"/>
      <c r="AS161" s="198"/>
      <c r="AT161" s="198"/>
      <c r="AU161" s="198"/>
      <c r="AV161" s="198"/>
      <c r="AW161" s="198"/>
      <c r="AX161" s="198"/>
      <c r="AY161" s="198"/>
      <c r="AZ161" s="198"/>
      <c r="BA161" s="198"/>
      <c r="BB161" s="198"/>
      <c r="BC161" s="198"/>
      <c r="BD161" s="198"/>
      <c r="BE161" s="198"/>
      <c r="BF161" s="198"/>
      <c r="BG161" s="198"/>
      <c r="BH161" s="198"/>
      <c r="BI161" s="198"/>
      <c r="BJ161" s="198"/>
      <c r="BK161" s="198"/>
      <c r="BL161" s="198"/>
      <c r="BM161" s="198"/>
      <c r="BN161" s="198"/>
      <c r="BO161" s="198"/>
      <c r="BP161" s="198"/>
      <c r="BQ161" s="198"/>
      <c r="BR161" s="198"/>
      <c r="BS161" s="198"/>
      <c r="BT161" s="198"/>
      <c r="BU161" s="198"/>
      <c r="BV161" s="198"/>
      <c r="BW161" s="198"/>
      <c r="BX161" s="198"/>
      <c r="BY161" s="198"/>
      <c r="BZ161" s="198"/>
      <c r="CA161" s="198"/>
      <c r="CB161" s="198"/>
      <c r="CC161" s="198"/>
      <c r="CD161" s="198"/>
      <c r="CE161" s="198"/>
      <c r="CF161" s="198"/>
      <c r="CG161" s="198"/>
      <c r="CH161" s="198"/>
      <c r="CI161" s="198"/>
      <c r="CJ161" s="198"/>
      <c r="CK161" s="198"/>
      <c r="CL161" s="198"/>
      <c r="CM161" s="198"/>
      <c r="CN161" s="198"/>
      <c r="CO161" s="198"/>
      <c r="CP161" s="198"/>
      <c r="CQ161" s="198"/>
      <c r="CR161" s="198"/>
      <c r="CS161" s="198"/>
      <c r="CT161" s="198"/>
      <c r="CU161" s="198"/>
      <c r="CV161" s="198"/>
      <c r="CW161" s="198"/>
      <c r="CX161" s="198"/>
      <c r="CY161" s="198"/>
      <c r="CZ161" s="198"/>
      <c r="DA161" s="198"/>
      <c r="DB161" s="198"/>
      <c r="DC161" s="198"/>
      <c r="DD161" s="198"/>
      <c r="DE161" s="198"/>
      <c r="DF161" s="198"/>
      <c r="DG161" s="198"/>
      <c r="DH161" s="198"/>
      <c r="DI161" s="198"/>
      <c r="DJ161" s="198"/>
      <c r="DK161" s="198"/>
      <c r="DL161" s="198"/>
      <c r="DM161" s="198"/>
      <c r="DN161" s="198"/>
      <c r="DO161" s="198"/>
      <c r="DP161" s="198"/>
      <c r="DQ161" s="198"/>
      <c r="DR161" s="198"/>
      <c r="DS161" s="198"/>
      <c r="DT161" s="198"/>
      <c r="DU161" s="198"/>
      <c r="DV161" s="198"/>
      <c r="DW161" s="198"/>
      <c r="DX161" s="198"/>
      <c r="DY161" s="198"/>
      <c r="DZ161" s="198"/>
      <c r="EA161" s="198"/>
      <c r="EB161" s="198"/>
      <c r="EC161" s="198"/>
      <c r="ED161" s="198"/>
      <c r="EE161" s="198"/>
      <c r="EF161" s="198"/>
      <c r="EG161" s="198"/>
      <c r="EH161" s="198"/>
      <c r="EI161" s="198"/>
      <c r="EJ161" s="198"/>
      <c r="EK161" s="198"/>
      <c r="EL161" s="198"/>
      <c r="EM161" s="198"/>
      <c r="EN161" s="198"/>
      <c r="EO161" s="198"/>
      <c r="EP161" s="198"/>
      <c r="EQ161" s="198"/>
      <c r="ER161" s="198"/>
      <c r="ES161" s="198"/>
      <c r="ET161" s="198"/>
      <c r="EU161" s="198"/>
      <c r="EV161" s="198"/>
      <c r="EW161" s="198"/>
      <c r="EX161" s="198"/>
      <c r="EY161" s="198"/>
      <c r="EZ161" s="198"/>
      <c r="FA161" s="198"/>
      <c r="FB161" s="198"/>
      <c r="FC161" s="198"/>
      <c r="FD161" s="198"/>
      <c r="FE161" s="198"/>
      <c r="FF161" s="198"/>
      <c r="FG161" s="198"/>
      <c r="FH161" s="198"/>
      <c r="FI161" s="198"/>
      <c r="FJ161" s="198"/>
      <c r="FK161" s="198"/>
      <c r="FL161" s="198"/>
      <c r="FM161" s="198"/>
      <c r="FN161" s="198"/>
      <c r="FO161" s="198"/>
      <c r="FP161" s="198"/>
      <c r="FQ161" s="198"/>
      <c r="FR161" s="198"/>
      <c r="FS161" s="198"/>
      <c r="FT161" s="198"/>
      <c r="FU161" s="198"/>
      <c r="FV161" s="198"/>
      <c r="FW161" s="198"/>
      <c r="FX161" s="198"/>
      <c r="FY161" s="198"/>
      <c r="FZ161" s="198"/>
      <c r="GA161" s="198"/>
      <c r="GB161" s="198"/>
      <c r="GC161" s="198"/>
      <c r="GD161" s="198"/>
      <c r="GE161" s="198"/>
      <c r="GF161" s="198"/>
      <c r="GG161" s="198"/>
      <c r="GH161" s="198"/>
      <c r="GI161" s="198"/>
      <c r="GJ161" s="198"/>
      <c r="GK161" s="198"/>
      <c r="GL161" s="198"/>
      <c r="GM161" s="198"/>
      <c r="GN161" s="198"/>
      <c r="GO161" s="198"/>
      <c r="GP161" s="198"/>
      <c r="GQ161" s="198"/>
      <c r="GR161" s="198"/>
      <c r="GS161" s="198"/>
      <c r="GT161" s="198"/>
      <c r="GU161" s="198"/>
      <c r="GV161" s="198"/>
      <c r="GW161" s="198"/>
      <c r="GX161" s="198"/>
      <c r="GY161" s="198"/>
      <c r="GZ161" s="198"/>
      <c r="HA161" s="198"/>
      <c r="HB161" s="198"/>
      <c r="HC161" s="198"/>
      <c r="HD161" s="198"/>
      <c r="HE161" s="198"/>
      <c r="HF161" s="198"/>
      <c r="HG161" s="198"/>
      <c r="HH161" s="198"/>
      <c r="HI161" s="198"/>
      <c r="HJ161" s="198"/>
      <c r="HK161" s="198"/>
      <c r="HL161" s="198"/>
      <c r="HM161" s="198"/>
      <c r="HN161" s="198"/>
      <c r="HO161" s="198"/>
      <c r="HP161" s="198"/>
      <c r="HQ161" s="198"/>
      <c r="HR161" s="198"/>
      <c r="HS161" s="198"/>
      <c r="HT161" s="198"/>
      <c r="HU161" s="198"/>
      <c r="HV161" s="198"/>
      <c r="HW161" s="198"/>
      <c r="HX161" s="198"/>
      <c r="HY161" s="198"/>
      <c r="HZ161" s="198"/>
      <c r="IA161" s="198"/>
      <c r="IB161" s="198"/>
      <c r="IC161" s="198"/>
      <c r="ID161" s="198"/>
      <c r="IE161" s="198"/>
      <c r="IF161" s="198"/>
      <c r="IG161" s="198"/>
      <c r="IH161" s="198"/>
      <c r="II161" s="198"/>
      <c r="IJ161" s="198"/>
      <c r="IK161" s="198"/>
      <c r="IL161" s="198"/>
      <c r="IM161" s="198"/>
      <c r="IN161" s="198"/>
      <c r="IO161" s="198"/>
      <c r="IP161" s="198"/>
      <c r="IQ161" s="198"/>
      <c r="IR161" s="198"/>
      <c r="IS161" s="198"/>
    </row>
    <row r="162" spans="1:253" x14ac:dyDescent="0.2">
      <c r="I162" s="205" t="s">
        <v>592</v>
      </c>
      <c r="J162" s="205" t="s">
        <v>593</v>
      </c>
      <c r="K162" s="205" t="s">
        <v>594</v>
      </c>
    </row>
    <row r="163" spans="1:253" ht="32" x14ac:dyDescent="0.2">
      <c r="A163" s="199" t="s">
        <v>595</v>
      </c>
      <c r="C163" s="204">
        <f t="shared" ref="C163:H163" si="0">C38+C39+C40+C41+C44+C46+C50+C64+C65+C104+C130+C136+C140+C151</f>
        <v>1021951485900.4846</v>
      </c>
      <c r="D163" s="204">
        <f t="shared" si="0"/>
        <v>1526640072697.9082</v>
      </c>
      <c r="E163" s="204">
        <f t="shared" si="0"/>
        <v>2548591558598.395</v>
      </c>
      <c r="F163" s="204">
        <f t="shared" si="0"/>
        <v>348312807399.98718</v>
      </c>
      <c r="G163" s="204">
        <f t="shared" si="0"/>
        <v>26742164105.926102</v>
      </c>
      <c r="H163" s="204">
        <f t="shared" si="0"/>
        <v>24984693122.742096</v>
      </c>
      <c r="I163" s="201">
        <f>G163/F163</f>
        <v>7.6776287112568245E-2</v>
      </c>
      <c r="J163" s="201">
        <f>H163/F163</f>
        <v>7.1730618547284047E-2</v>
      </c>
      <c r="K163" s="201">
        <f>F163/F$166</f>
        <v>0.55805077654062141</v>
      </c>
    </row>
    <row r="164" spans="1:253" ht="16" x14ac:dyDescent="0.2">
      <c r="A164" s="199" t="s">
        <v>58</v>
      </c>
      <c r="C164" s="203">
        <f t="shared" ref="C164:H164" si="1">C63</f>
        <v>20110984105.197498</v>
      </c>
      <c r="D164" s="203">
        <f t="shared" si="1"/>
        <v>87196247599</v>
      </c>
      <c r="E164" s="203">
        <f t="shared" si="1"/>
        <v>107307231704.19701</v>
      </c>
      <c r="F164" s="203">
        <f t="shared" si="1"/>
        <v>34293776065.7304</v>
      </c>
      <c r="G164" s="203">
        <f t="shared" si="1"/>
        <v>437855053.1821</v>
      </c>
      <c r="H164" s="203">
        <f t="shared" si="1"/>
        <v>506991318.7281</v>
      </c>
      <c r="I164" s="201">
        <f>G164/F164</f>
        <v>1.2767770231626559E-2</v>
      </c>
      <c r="J164" s="201">
        <f>H164/F164</f>
        <v>1.4783770610630829E-2</v>
      </c>
      <c r="K164" s="201">
        <f>F164/F$166</f>
        <v>5.4943912360977766E-2</v>
      </c>
    </row>
    <row r="165" spans="1:253" ht="16" x14ac:dyDescent="0.2">
      <c r="A165" s="199" t="s">
        <v>596</v>
      </c>
      <c r="C165" s="203">
        <f t="shared" ref="C165:H165" si="2">C22+C60+C84+C94+C95+C118+C125+C127+C131+C133+C138+C139</f>
        <v>160108600786.96741</v>
      </c>
      <c r="D165" s="203">
        <f t="shared" si="2"/>
        <v>89866566251.488907</v>
      </c>
      <c r="E165" s="203">
        <f t="shared" si="2"/>
        <v>249975167038.45639</v>
      </c>
      <c r="F165" s="203">
        <f t="shared" si="2"/>
        <v>-7719965222.7112999</v>
      </c>
      <c r="G165" s="203">
        <f t="shared" si="2"/>
        <v>2964503568.9787998</v>
      </c>
      <c r="H165" s="203">
        <f t="shared" si="2"/>
        <v>2604016719.0495</v>
      </c>
      <c r="I165" s="201"/>
      <c r="J165" s="201"/>
      <c r="K165" s="201"/>
    </row>
    <row r="166" spans="1:253" ht="16" x14ac:dyDescent="0.2">
      <c r="A166" s="199" t="s">
        <v>597</v>
      </c>
      <c r="C166" s="203">
        <f t="shared" ref="C166:H166" si="3">C9+C36+C71+C111</f>
        <v>4273563811543.4287</v>
      </c>
      <c r="D166" s="203">
        <f t="shared" si="3"/>
        <v>3012125304309.8823</v>
      </c>
      <c r="E166" s="203">
        <f t="shared" si="3"/>
        <v>7285689115853.3174</v>
      </c>
      <c r="F166" s="203">
        <f t="shared" si="3"/>
        <v>624159703816.18665</v>
      </c>
      <c r="G166" s="203">
        <f t="shared" si="3"/>
        <v>116067364262.78461</v>
      </c>
      <c r="H166" s="203">
        <f t="shared" si="3"/>
        <v>111492807397.57089</v>
      </c>
      <c r="I166" s="201">
        <f>G166/F166</f>
        <v>0.18595779822557423</v>
      </c>
      <c r="J166" s="201">
        <f>H166/F166</f>
        <v>0.17862865339734463</v>
      </c>
      <c r="K166" s="201">
        <f>F166/F$166</f>
        <v>1</v>
      </c>
    </row>
    <row r="167" spans="1:253" ht="16" x14ac:dyDescent="0.2">
      <c r="A167" s="199" t="s">
        <v>598</v>
      </c>
      <c r="C167" s="202">
        <f t="shared" ref="C167:H167" si="4">C165++C164+C163</f>
        <v>1202171070792.6494</v>
      </c>
      <c r="D167" s="202">
        <f t="shared" si="4"/>
        <v>1703702886548.397</v>
      </c>
      <c r="E167" s="202">
        <f t="shared" si="4"/>
        <v>2905873957341.0483</v>
      </c>
      <c r="F167" s="202">
        <f t="shared" si="4"/>
        <v>374886618243.00629</v>
      </c>
      <c r="G167" s="202">
        <f t="shared" si="4"/>
        <v>30144522728.087002</v>
      </c>
      <c r="H167" s="202">
        <f t="shared" si="4"/>
        <v>28095701160.519695</v>
      </c>
      <c r="I167" s="201">
        <f>G167/F167</f>
        <v>8.0409705924864294E-2</v>
      </c>
      <c r="J167" s="201">
        <f>H167/F167</f>
        <v>7.4944529341155905E-2</v>
      </c>
      <c r="K167" s="201">
        <f>F167/F$166</f>
        <v>0.60062611532097465</v>
      </c>
    </row>
    <row r="168" spans="1:253" ht="16" x14ac:dyDescent="0.2">
      <c r="A168" s="199" t="s">
        <v>599</v>
      </c>
      <c r="C168" s="202">
        <f t="shared" ref="C168:H168" si="5">C166-C167</f>
        <v>3071392740750.7793</v>
      </c>
      <c r="D168" s="202">
        <f t="shared" si="5"/>
        <v>1308422417761.4854</v>
      </c>
      <c r="E168" s="202">
        <f t="shared" si="5"/>
        <v>4379815158512.269</v>
      </c>
      <c r="F168" s="202">
        <f t="shared" si="5"/>
        <v>249273085573.18036</v>
      </c>
      <c r="G168" s="202">
        <f t="shared" si="5"/>
        <v>85922841534.697601</v>
      </c>
      <c r="H168" s="202">
        <f t="shared" si="5"/>
        <v>83397106237.051193</v>
      </c>
      <c r="I168" s="201">
        <f>G168/F168</f>
        <v>0.34469361719146691</v>
      </c>
      <c r="J168" s="201">
        <f>H168/F168</f>
        <v>0.33456121444193332</v>
      </c>
      <c r="K168" s="201">
        <f>F168/F$166</f>
        <v>0.39937388467902535</v>
      </c>
    </row>
    <row r="170" spans="1:253" x14ac:dyDescent="0.2">
      <c r="C170" s="200">
        <f>C167/(C163+C164)</f>
        <v>1.1536458757468679</v>
      </c>
      <c r="D170" s="200">
        <f>D167/(D163+D164)</f>
        <v>1.0556850562360347</v>
      </c>
      <c r="E170" s="200">
        <f>E167/(E163+E164)</f>
        <v>1.0941207428352255</v>
      </c>
    </row>
  </sheetData>
  <mergeCells count="17">
    <mergeCell ref="A161:L161"/>
    <mergeCell ref="A2:L2"/>
    <mergeCell ref="G3:G4"/>
    <mergeCell ref="H3:H4"/>
    <mergeCell ref="I3:I4"/>
    <mergeCell ref="J3:J4"/>
    <mergeCell ref="K3:K4"/>
    <mergeCell ref="A160:L160"/>
    <mergeCell ref="A157:L157"/>
    <mergeCell ref="A159:L159"/>
    <mergeCell ref="A158:L158"/>
    <mergeCell ref="L3:L4"/>
    <mergeCell ref="A1:L1"/>
    <mergeCell ref="C3:E3"/>
    <mergeCell ref="A3:A4"/>
    <mergeCell ref="B3:B4"/>
    <mergeCell ref="F3:F4"/>
  </mergeCells>
  <conditionalFormatting sqref="B162:C162 G162:I162 J162:L168 B163:B166 I163:I168 B167:H167 B168 B169:C169 G169:L65536 B170 B171:C65536">
    <cfRule type="cellIs" dxfId="0" priority="1" stopIfTrue="1" operator="lessThan">
      <formula>0</formula>
    </cfRule>
  </conditionalFormatting>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Y86"/>
  <sheetViews>
    <sheetView zoomScale="25" zoomScaleNormal="91" workbookViewId="0">
      <pane xSplit="2" ySplit="9" topLeftCell="C22" activePane="bottomRight" state="frozen"/>
      <selection pane="topRight" activeCell="B5" sqref="B5"/>
      <selection pane="bottomLeft" activeCell="B5" sqref="B5"/>
      <selection pane="bottomRight"/>
    </sheetView>
  </sheetViews>
  <sheetFormatPr baseColWidth="10" defaultColWidth="8.83203125" defaultRowHeight="16" x14ac:dyDescent="0.2"/>
  <cols>
    <col min="1" max="17" width="20.6640625" customWidth="1"/>
    <col min="18" max="18" width="28.5" customWidth="1"/>
    <col min="19" max="25" width="20.6640625" customWidth="1"/>
  </cols>
  <sheetData>
    <row r="1" spans="1:25" ht="46" x14ac:dyDescent="0.5">
      <c r="A1" s="364"/>
      <c r="B1" s="364"/>
      <c r="C1" s="364"/>
      <c r="D1" s="364"/>
      <c r="E1" s="364"/>
      <c r="F1" s="364"/>
      <c r="G1" s="364"/>
      <c r="H1" s="364"/>
      <c r="I1" s="364"/>
      <c r="J1" s="364"/>
      <c r="K1" s="364"/>
      <c r="L1" s="610" t="s">
        <v>600</v>
      </c>
      <c r="M1" s="610"/>
      <c r="N1" s="610"/>
      <c r="O1" s="610"/>
      <c r="P1" s="610"/>
      <c r="Q1" s="610"/>
      <c r="R1" s="610"/>
      <c r="S1" s="364"/>
      <c r="T1" s="364"/>
      <c r="U1" s="364"/>
      <c r="V1" s="364"/>
      <c r="W1" s="364"/>
      <c r="X1" s="364"/>
      <c r="Y1" s="364"/>
    </row>
    <row r="2" spans="1:25" s="363" customFormat="1" ht="165.75" customHeight="1" x14ac:dyDescent="0.2">
      <c r="A2" s="365" t="s">
        <v>601</v>
      </c>
      <c r="B2" s="366" t="s">
        <v>602</v>
      </c>
      <c r="C2" s="366" t="s">
        <v>603</v>
      </c>
      <c r="D2" s="366" t="s">
        <v>604</v>
      </c>
      <c r="E2" s="366" t="s">
        <v>605</v>
      </c>
      <c r="F2" s="366" t="s">
        <v>606</v>
      </c>
      <c r="G2" s="366" t="s">
        <v>607</v>
      </c>
      <c r="H2" s="366" t="s">
        <v>608</v>
      </c>
      <c r="I2" s="366" t="s">
        <v>609</v>
      </c>
      <c r="J2" s="366" t="s">
        <v>610</v>
      </c>
      <c r="K2" s="366" t="s">
        <v>611</v>
      </c>
      <c r="L2" s="366" t="s">
        <v>612</v>
      </c>
      <c r="M2" s="366" t="s">
        <v>613</v>
      </c>
      <c r="N2" s="366" t="s">
        <v>614</v>
      </c>
      <c r="O2" s="366" t="s">
        <v>615</v>
      </c>
      <c r="P2" s="366" t="s">
        <v>616</v>
      </c>
      <c r="Q2" s="366" t="s">
        <v>617</v>
      </c>
      <c r="R2" s="366" t="s">
        <v>618</v>
      </c>
      <c r="S2" s="366" t="s">
        <v>619</v>
      </c>
      <c r="T2" s="366" t="s">
        <v>620</v>
      </c>
      <c r="U2" s="366" t="s">
        <v>621</v>
      </c>
      <c r="V2" s="366" t="s">
        <v>622</v>
      </c>
      <c r="W2" s="366" t="s">
        <v>623</v>
      </c>
      <c r="X2" s="366" t="s">
        <v>624</v>
      </c>
      <c r="Y2" s="367" t="s">
        <v>625</v>
      </c>
    </row>
    <row r="3" spans="1:25" s="363" customFormat="1" ht="34.5" customHeight="1" x14ac:dyDescent="0.2">
      <c r="A3" s="370" t="s">
        <v>626</v>
      </c>
      <c r="B3" s="369"/>
      <c r="C3" s="369"/>
      <c r="D3" s="369"/>
      <c r="E3" s="369"/>
      <c r="F3" s="369"/>
      <c r="G3" s="369"/>
      <c r="H3" s="369"/>
      <c r="I3" s="369"/>
      <c r="J3" s="369"/>
      <c r="K3" s="369"/>
      <c r="L3" s="369"/>
      <c r="M3" s="369"/>
      <c r="N3" s="369"/>
      <c r="O3" s="369"/>
      <c r="P3" s="369"/>
      <c r="Q3" s="369"/>
      <c r="R3" s="369"/>
      <c r="S3" s="369"/>
      <c r="T3" s="369"/>
      <c r="U3" s="369"/>
      <c r="V3" s="369"/>
      <c r="W3" s="369"/>
      <c r="X3" s="369"/>
      <c r="Y3" s="369"/>
    </row>
    <row r="4" spans="1:25" ht="29" x14ac:dyDescent="0.35">
      <c r="A4" s="364" t="s">
        <v>68</v>
      </c>
      <c r="B4" s="364" t="s">
        <v>627</v>
      </c>
      <c r="C4" s="364" t="s">
        <v>628</v>
      </c>
      <c r="D4" s="364">
        <v>0</v>
      </c>
      <c r="E4" s="364">
        <v>1690.8582469944299</v>
      </c>
      <c r="F4" s="364">
        <v>582.2080078125</v>
      </c>
      <c r="G4" s="364">
        <v>428.502685546875</v>
      </c>
      <c r="H4" s="364">
        <v>153.705322265625</v>
      </c>
      <c r="I4" s="364">
        <v>392.00396728515625</v>
      </c>
      <c r="J4" s="364">
        <v>392.00396728515625</v>
      </c>
      <c r="K4" s="364">
        <v>0</v>
      </c>
      <c r="L4" s="364">
        <v>111.51200103759766</v>
      </c>
      <c r="M4" s="364">
        <v>0.28446650505065918</v>
      </c>
      <c r="N4" s="364">
        <v>282.79800415039062</v>
      </c>
      <c r="O4" s="364">
        <v>109.20595550537109</v>
      </c>
      <c r="P4" s="364">
        <v>78.140518188476562</v>
      </c>
      <c r="Q4" s="364">
        <v>0</v>
      </c>
      <c r="R4" s="364">
        <v>0</v>
      </c>
      <c r="S4" s="364">
        <v>31.065437316894531</v>
      </c>
      <c r="T4" s="364"/>
      <c r="U4" s="364">
        <v>0.6733056902885437</v>
      </c>
      <c r="V4" s="364">
        <v>0.65996783971786499</v>
      </c>
      <c r="W4" s="364">
        <v>0.71048909425735474</v>
      </c>
      <c r="X4" s="364">
        <v>0.71048909425735474</v>
      </c>
      <c r="Y4" s="364"/>
    </row>
    <row r="5" spans="1:25" ht="29" x14ac:dyDescent="0.35">
      <c r="A5" s="364" t="s">
        <v>187</v>
      </c>
      <c r="B5" s="364" t="s">
        <v>629</v>
      </c>
      <c r="C5" s="364" t="s">
        <v>628</v>
      </c>
      <c r="D5" s="364">
        <v>0</v>
      </c>
      <c r="E5" s="364">
        <v>471.77362983038097</v>
      </c>
      <c r="F5" s="364">
        <v>160.73287963867188</v>
      </c>
      <c r="G5" s="364">
        <v>118.28948974609375</v>
      </c>
      <c r="H5" s="364">
        <v>42.443389892578125</v>
      </c>
      <c r="I5" s="364">
        <v>56.236152648925781</v>
      </c>
      <c r="J5" s="364">
        <v>56.236152648925781</v>
      </c>
      <c r="K5" s="364">
        <v>0</v>
      </c>
      <c r="L5" s="364">
        <v>16.13800048828125</v>
      </c>
      <c r="M5" s="364">
        <v>0.28696843981742859</v>
      </c>
      <c r="N5" s="364">
        <v>37.440643310546875</v>
      </c>
      <c r="O5" s="364">
        <v>18.795509338378906</v>
      </c>
      <c r="P5" s="364">
        <v>13.401791572570801</v>
      </c>
      <c r="Q5" s="364">
        <v>0</v>
      </c>
      <c r="R5" s="364">
        <v>0</v>
      </c>
      <c r="S5" s="364">
        <v>5.3937177658081055</v>
      </c>
      <c r="T5" s="364"/>
      <c r="U5" s="364">
        <v>0.34987336397171021</v>
      </c>
      <c r="V5" s="364">
        <v>0.31651708483695984</v>
      </c>
      <c r="W5" s="364">
        <v>0.44283714890480042</v>
      </c>
      <c r="X5" s="364">
        <v>7.5639598071575165E-2</v>
      </c>
      <c r="Y5" s="364"/>
    </row>
    <row r="6" spans="1:25" ht="29" x14ac:dyDescent="0.35">
      <c r="A6" s="364" t="s">
        <v>82</v>
      </c>
      <c r="B6" s="364" t="s">
        <v>630</v>
      </c>
      <c r="C6" s="364" t="s">
        <v>628</v>
      </c>
      <c r="D6" s="364">
        <v>0</v>
      </c>
      <c r="E6" s="364">
        <v>2161.4833694220101</v>
      </c>
      <c r="F6" s="364">
        <v>834.39703369140625</v>
      </c>
      <c r="G6" s="364">
        <v>743.04376220703125</v>
      </c>
      <c r="H6" s="364">
        <v>91.353279113769531</v>
      </c>
      <c r="I6" s="364">
        <v>341.83419799804688</v>
      </c>
      <c r="J6" s="364">
        <v>341.83419799804688</v>
      </c>
      <c r="K6" s="364">
        <v>0</v>
      </c>
      <c r="L6" s="364">
        <v>101.44200134277344</v>
      </c>
      <c r="M6" s="364">
        <v>0.29675790667533875</v>
      </c>
      <c r="N6" s="364">
        <v>266.4102783203125</v>
      </c>
      <c r="O6" s="364">
        <v>75.423934936523438</v>
      </c>
      <c r="P6" s="364">
        <v>53.041286468505803</v>
      </c>
      <c r="Q6" s="364">
        <v>0</v>
      </c>
      <c r="R6" s="364">
        <v>0</v>
      </c>
      <c r="S6" s="364">
        <v>22.382648468017578</v>
      </c>
      <c r="T6" s="364"/>
      <c r="U6" s="364">
        <v>0.40967810153961182</v>
      </c>
      <c r="V6" s="364">
        <v>0.3585391640663147</v>
      </c>
      <c r="W6" s="364">
        <v>0.82562917470932007</v>
      </c>
      <c r="X6" s="364">
        <v>0.82562917470932007</v>
      </c>
      <c r="Y6" s="364"/>
    </row>
    <row r="7" spans="1:25" ht="29" x14ac:dyDescent="0.35">
      <c r="A7" s="364" t="s">
        <v>188</v>
      </c>
      <c r="B7" s="364" t="s">
        <v>631</v>
      </c>
      <c r="C7" s="364" t="s">
        <v>628</v>
      </c>
      <c r="D7" s="364">
        <v>0</v>
      </c>
      <c r="E7" s="364">
        <v>302.11653940903005</v>
      </c>
      <c r="F7" s="364">
        <v>86.134132385253906</v>
      </c>
      <c r="G7" s="364">
        <v>57.024093627929688</v>
      </c>
      <c r="H7" s="364">
        <v>29.110038757324219</v>
      </c>
      <c r="I7" s="364">
        <v>64.479774475097656</v>
      </c>
      <c r="J7" s="364">
        <v>64.479774475097656</v>
      </c>
      <c r="K7" s="364">
        <v>0</v>
      </c>
      <c r="L7" s="364">
        <v>17.062000274658203</v>
      </c>
      <c r="M7" s="364">
        <v>0.26461011171340942</v>
      </c>
      <c r="N7" s="364">
        <v>39.453601837158203</v>
      </c>
      <c r="O7" s="364">
        <v>25.026172637939453</v>
      </c>
      <c r="P7" s="364">
        <v>18.403993606567383</v>
      </c>
      <c r="Q7" s="364">
        <v>0</v>
      </c>
      <c r="R7" s="364">
        <v>0</v>
      </c>
      <c r="S7" s="364">
        <v>6.6221780776977539</v>
      </c>
      <c r="T7" s="364"/>
      <c r="U7" s="364">
        <v>0.74859726428985596</v>
      </c>
      <c r="V7" s="364">
        <v>0.69187599420547485</v>
      </c>
      <c r="W7" s="364">
        <v>0.85970938205718994</v>
      </c>
      <c r="X7" s="364">
        <v>0.85970938205718994</v>
      </c>
      <c r="Y7" s="364"/>
    </row>
    <row r="8" spans="1:25" ht="29" x14ac:dyDescent="0.35">
      <c r="A8" s="364" t="s">
        <v>189</v>
      </c>
      <c r="B8" s="364" t="s">
        <v>632</v>
      </c>
      <c r="C8" s="364" t="s">
        <v>628</v>
      </c>
      <c r="D8" s="364">
        <v>0</v>
      </c>
      <c r="E8" s="364">
        <v>301.83122832555603</v>
      </c>
      <c r="F8" s="364">
        <v>94.423347473144531</v>
      </c>
      <c r="G8" s="364">
        <v>52.589977264404297</v>
      </c>
      <c r="H8" s="364">
        <v>41.833370208740234</v>
      </c>
      <c r="I8" s="364">
        <v>36.586460113525391</v>
      </c>
      <c r="J8" s="364">
        <v>36.586460113525391</v>
      </c>
      <c r="K8" s="364">
        <v>0</v>
      </c>
      <c r="L8" s="364">
        <v>12.897000312805176</v>
      </c>
      <c r="M8" s="364">
        <v>0.35250747203826904</v>
      </c>
      <c r="N8" s="364">
        <v>7.5905036926269531</v>
      </c>
      <c r="O8" s="364">
        <v>28.995956420898438</v>
      </c>
      <c r="P8" s="364">
        <v>18.774665832519531</v>
      </c>
      <c r="Q8" s="364">
        <v>0</v>
      </c>
      <c r="R8" s="364">
        <v>0</v>
      </c>
      <c r="S8" s="364">
        <v>10.221291542053223</v>
      </c>
      <c r="T8" s="364"/>
      <c r="U8" s="364">
        <v>0.38747259974479675</v>
      </c>
      <c r="V8" s="364">
        <v>0.14433366060256958</v>
      </c>
      <c r="W8" s="364">
        <v>0.69312983751296997</v>
      </c>
      <c r="X8" s="364">
        <v>0.54748600721359253</v>
      </c>
      <c r="Y8" s="364"/>
    </row>
    <row r="9" spans="1:25" ht="29" x14ac:dyDescent="0.35">
      <c r="A9" s="364" t="s">
        <v>75</v>
      </c>
      <c r="B9" s="364" t="s">
        <v>633</v>
      </c>
      <c r="C9" s="364" t="s">
        <v>628</v>
      </c>
      <c r="D9" s="364">
        <v>0</v>
      </c>
      <c r="E9" s="364">
        <v>4163.5963578793899</v>
      </c>
      <c r="F9" s="364">
        <v>1586.5711669921875</v>
      </c>
      <c r="G9" s="364">
        <v>1310.7242431640625</v>
      </c>
      <c r="H9" s="364">
        <v>275.84695434570312</v>
      </c>
      <c r="I9" s="364">
        <v>574.960205078125</v>
      </c>
      <c r="J9" s="364">
        <v>574.960205078125</v>
      </c>
      <c r="K9" s="364">
        <v>0</v>
      </c>
      <c r="L9" s="364">
        <v>97.541999816894531</v>
      </c>
      <c r="M9" s="364">
        <v>0.16965000331401825</v>
      </c>
      <c r="N9" s="364">
        <v>530.41961669921875</v>
      </c>
      <c r="O9" s="364">
        <v>44.540580749511719</v>
      </c>
      <c r="P9" s="364">
        <v>36.984272003173828</v>
      </c>
      <c r="Q9" s="364">
        <v>0</v>
      </c>
      <c r="R9" s="364">
        <v>0</v>
      </c>
      <c r="S9" s="364">
        <v>7.556309700012207</v>
      </c>
      <c r="T9" s="364"/>
      <c r="U9" s="364">
        <v>0.36239168047904968</v>
      </c>
      <c r="V9" s="364">
        <v>0.40467673540115356</v>
      </c>
      <c r="W9" s="364">
        <v>0.16146844625473022</v>
      </c>
      <c r="X9" s="364">
        <v>0.40296900272369385</v>
      </c>
      <c r="Y9" s="364"/>
    </row>
    <row r="10" spans="1:25" ht="29" x14ac:dyDescent="0.35">
      <c r="A10" s="364" t="s">
        <v>190</v>
      </c>
      <c r="B10" s="364" t="s">
        <v>634</v>
      </c>
      <c r="C10" s="364" t="s">
        <v>628</v>
      </c>
      <c r="D10" s="364">
        <v>0</v>
      </c>
      <c r="E10" s="364">
        <v>401.94557610796301</v>
      </c>
      <c r="F10" s="364">
        <v>129.04203796386719</v>
      </c>
      <c r="G10" s="364">
        <v>98.087661743164062</v>
      </c>
      <c r="H10" s="364">
        <v>30.954372406005859</v>
      </c>
      <c r="I10" s="364">
        <v>82.527900695800781</v>
      </c>
      <c r="J10" s="364">
        <v>82.527900695800781</v>
      </c>
      <c r="K10" s="364">
        <v>0</v>
      </c>
      <c r="L10" s="364">
        <v>13.324000358581543</v>
      </c>
      <c r="M10" s="364">
        <v>0.16144843399524689</v>
      </c>
      <c r="N10" s="364">
        <v>73.703399658203125</v>
      </c>
      <c r="O10" s="364">
        <v>8.8245010375976562</v>
      </c>
      <c r="P10" s="364">
        <v>7.3997993469238281</v>
      </c>
      <c r="Q10" s="364">
        <v>0</v>
      </c>
      <c r="R10" s="364">
        <v>0</v>
      </c>
      <c r="S10" s="364">
        <v>1.4247019290924072</v>
      </c>
      <c r="T10" s="364"/>
      <c r="U10" s="364">
        <v>0.63954275846481323</v>
      </c>
      <c r="V10" s="364">
        <v>0.75140339136123657</v>
      </c>
      <c r="W10" s="364">
        <v>0.28508090972900391</v>
      </c>
      <c r="X10" s="364">
        <v>0.25528401136398315</v>
      </c>
      <c r="Y10" s="364"/>
    </row>
    <row r="11" spans="1:25" ht="29" x14ac:dyDescent="0.35">
      <c r="A11" s="364" t="s">
        <v>72</v>
      </c>
      <c r="B11" s="364" t="s">
        <v>635</v>
      </c>
      <c r="C11" s="364" t="s">
        <v>628</v>
      </c>
      <c r="D11" s="364">
        <v>0</v>
      </c>
      <c r="E11" s="364">
        <v>1446.4981477490301</v>
      </c>
      <c r="F11" s="364">
        <v>477.39422607421875</v>
      </c>
      <c r="G11" s="364">
        <v>367.90374755859375</v>
      </c>
      <c r="H11" s="364">
        <v>109.49047088623047</v>
      </c>
      <c r="I11" s="364">
        <v>187.23094177246094</v>
      </c>
      <c r="J11" s="364">
        <v>187.23094177246094</v>
      </c>
      <c r="K11" s="364">
        <v>0</v>
      </c>
      <c r="L11" s="364">
        <v>38.493000030517578</v>
      </c>
      <c r="M11" s="364">
        <v>0.20559102296829224</v>
      </c>
      <c r="N11" s="364">
        <v>150.31689453125</v>
      </c>
      <c r="O11" s="364">
        <v>36.914047241210938</v>
      </c>
      <c r="P11" s="364">
        <v>29.324850082397461</v>
      </c>
      <c r="Q11" s="364">
        <v>0</v>
      </c>
      <c r="R11" s="364">
        <v>0</v>
      </c>
      <c r="S11" s="364">
        <v>7.5891962051391602</v>
      </c>
      <c r="T11" s="364"/>
      <c r="U11" s="364">
        <v>0.39219355583190918</v>
      </c>
      <c r="V11" s="364">
        <v>0.40857669711112976</v>
      </c>
      <c r="W11" s="364">
        <v>0.33714392781257629</v>
      </c>
      <c r="X11" s="364">
        <v>0.30048921704292297</v>
      </c>
      <c r="Y11" s="364"/>
    </row>
    <row r="12" spans="1:25" ht="29" x14ac:dyDescent="0.35">
      <c r="A12" s="364" t="s">
        <v>191</v>
      </c>
      <c r="B12" s="364" t="s">
        <v>636</v>
      </c>
      <c r="C12" s="364" t="s">
        <v>628</v>
      </c>
      <c r="D12" s="364">
        <v>0</v>
      </c>
      <c r="E12" s="364">
        <v>38.376046174971002</v>
      </c>
      <c r="F12" s="364">
        <v>13.680783271789551</v>
      </c>
      <c r="G12" s="364">
        <v>9.0357761383056641</v>
      </c>
      <c r="H12" s="364">
        <v>4.6450076103210449</v>
      </c>
      <c r="I12" s="364">
        <v>7.7920312881469727</v>
      </c>
      <c r="J12" s="364">
        <v>7.7920312881469727</v>
      </c>
      <c r="K12" s="364">
        <v>0</v>
      </c>
      <c r="L12" s="364">
        <v>0.62800002098083496</v>
      </c>
      <c r="M12" s="364">
        <v>8.0595158040523529E-2</v>
      </c>
      <c r="N12" s="364">
        <v>5.6119852066040039</v>
      </c>
      <c r="O12" s="364">
        <v>2.1800460815429688</v>
      </c>
      <c r="P12" s="364">
        <v>2.0043449401855469</v>
      </c>
      <c r="Q12" s="364">
        <v>0</v>
      </c>
      <c r="R12" s="364">
        <v>0</v>
      </c>
      <c r="S12" s="364">
        <v>0.17570117115974426</v>
      </c>
      <c r="T12" s="364"/>
      <c r="U12" s="364">
        <v>0.56956034898757935</v>
      </c>
      <c r="V12" s="364">
        <v>0.62108504772186279</v>
      </c>
      <c r="W12" s="364">
        <v>0.46933099627494812</v>
      </c>
      <c r="X12" s="364">
        <v>0.40205702185630798</v>
      </c>
      <c r="Y12" s="364"/>
    </row>
    <row r="13" spans="1:25" ht="29" x14ac:dyDescent="0.35">
      <c r="A13" s="364" t="s">
        <v>192</v>
      </c>
      <c r="B13" s="364" t="s">
        <v>637</v>
      </c>
      <c r="C13" s="364" t="s">
        <v>628</v>
      </c>
      <c r="D13" s="364">
        <v>0</v>
      </c>
      <c r="E13" s="364">
        <v>280.24151577432002</v>
      </c>
      <c r="F13" s="364">
        <v>91.335090637207031</v>
      </c>
      <c r="G13" s="364">
        <v>69.202804565429688</v>
      </c>
      <c r="H13" s="364">
        <v>22.132282257080078</v>
      </c>
      <c r="I13" s="364">
        <v>38.215129852294922</v>
      </c>
      <c r="J13" s="364">
        <v>38.215129852294922</v>
      </c>
      <c r="K13" s="364">
        <v>0</v>
      </c>
      <c r="L13" s="364">
        <v>8.4829998016357422</v>
      </c>
      <c r="M13" s="364">
        <v>0.22198013961315155</v>
      </c>
      <c r="N13" s="364">
        <v>28.464096069335938</v>
      </c>
      <c r="O13" s="364">
        <v>9.751032829284668</v>
      </c>
      <c r="P13" s="364">
        <v>7.5864973068237305</v>
      </c>
      <c r="Q13" s="364">
        <v>0</v>
      </c>
      <c r="R13" s="364">
        <v>0</v>
      </c>
      <c r="S13" s="364">
        <v>2.1645355224609375</v>
      </c>
      <c r="T13" s="364"/>
      <c r="U13" s="364">
        <v>0.41840577125549316</v>
      </c>
      <c r="V13" s="364">
        <v>0.41131418943405151</v>
      </c>
      <c r="W13" s="364">
        <v>0.4405796229839325</v>
      </c>
      <c r="X13" s="364">
        <v>0.1373697966337204</v>
      </c>
      <c r="Y13" s="364"/>
    </row>
    <row r="14" spans="1:25" ht="29" x14ac:dyDescent="0.35">
      <c r="A14" s="364" t="s">
        <v>71</v>
      </c>
      <c r="B14" s="364" t="s">
        <v>638</v>
      </c>
      <c r="C14" s="364" t="s">
        <v>628</v>
      </c>
      <c r="D14" s="364">
        <v>0</v>
      </c>
      <c r="E14" s="364">
        <v>2796.3022103988396</v>
      </c>
      <c r="F14" s="364">
        <v>1025.2684326171875</v>
      </c>
      <c r="G14" s="364">
        <v>858.3245849609375</v>
      </c>
      <c r="H14" s="364">
        <v>166.94381713867188</v>
      </c>
      <c r="I14" s="364">
        <v>215.23634338378906</v>
      </c>
      <c r="J14" s="364">
        <v>215.23634338378906</v>
      </c>
      <c r="K14" s="364">
        <v>0</v>
      </c>
      <c r="L14" s="364">
        <v>79.530998229980469</v>
      </c>
      <c r="M14" s="364">
        <v>0.36950543522834778</v>
      </c>
      <c r="N14" s="364">
        <v>145.01551818847656</v>
      </c>
      <c r="O14" s="364">
        <v>70.2208251953125</v>
      </c>
      <c r="P14" s="364">
        <v>44.273849487304688</v>
      </c>
      <c r="Q14" s="364">
        <v>0</v>
      </c>
      <c r="R14" s="364">
        <v>0</v>
      </c>
      <c r="S14" s="364">
        <v>25.946977615356445</v>
      </c>
      <c r="T14" s="364"/>
      <c r="U14" s="364">
        <v>0.20993170142173767</v>
      </c>
      <c r="V14" s="364">
        <v>0.16895183920860291</v>
      </c>
      <c r="W14" s="364">
        <v>0.4206254780292511</v>
      </c>
      <c r="X14" s="364">
        <v>0.32016319036483765</v>
      </c>
      <c r="Y14" s="364"/>
    </row>
    <row r="15" spans="1:25" ht="29" x14ac:dyDescent="0.35">
      <c r="A15" s="364" t="s">
        <v>70</v>
      </c>
      <c r="B15" s="364" t="s">
        <v>639</v>
      </c>
      <c r="C15" s="364" t="s">
        <v>628</v>
      </c>
      <c r="D15" s="364">
        <v>0</v>
      </c>
      <c r="E15" s="364">
        <v>3114.0424711443902</v>
      </c>
      <c r="F15" s="364">
        <v>1163.77880859375</v>
      </c>
      <c r="G15" s="364">
        <v>893.23822021484375</v>
      </c>
      <c r="H15" s="364">
        <v>270.54058837890625</v>
      </c>
      <c r="I15" s="364">
        <v>453.19992065429688</v>
      </c>
      <c r="J15" s="364">
        <v>453.19992065429688</v>
      </c>
      <c r="K15" s="364">
        <v>0</v>
      </c>
      <c r="L15" s="364">
        <v>100.58000183105469</v>
      </c>
      <c r="M15" s="364">
        <v>0.22193296253681183</v>
      </c>
      <c r="N15" s="364">
        <v>356.26919555664062</v>
      </c>
      <c r="O15" s="364">
        <v>96.930732727050781</v>
      </c>
      <c r="P15" s="364">
        <v>75.418609619140625</v>
      </c>
      <c r="Q15" s="364">
        <v>0</v>
      </c>
      <c r="R15" s="364">
        <v>0</v>
      </c>
      <c r="S15" s="364">
        <v>21.512125015258789</v>
      </c>
      <c r="T15" s="364"/>
      <c r="U15" s="364">
        <v>0.3894210159778595</v>
      </c>
      <c r="V15" s="364">
        <v>0.39885127544403076</v>
      </c>
      <c r="W15" s="364">
        <v>0.35828536748886108</v>
      </c>
      <c r="X15" s="364">
        <v>0.35828536748886108</v>
      </c>
      <c r="Y15" s="364"/>
    </row>
    <row r="16" spans="1:25" ht="29" x14ac:dyDescent="0.35">
      <c r="A16" s="364" t="s">
        <v>193</v>
      </c>
      <c r="B16" s="364" t="s">
        <v>640</v>
      </c>
      <c r="C16" s="364" t="s">
        <v>628</v>
      </c>
      <c r="D16" s="364">
        <v>0</v>
      </c>
      <c r="E16" s="364">
        <v>218.880566444349</v>
      </c>
      <c r="F16" s="364">
        <v>41.535114288330078</v>
      </c>
      <c r="G16" s="364">
        <v>33.550117492675781</v>
      </c>
      <c r="H16" s="364">
        <v>7.9849948883056641</v>
      </c>
      <c r="I16" s="364">
        <v>25.893707275390625</v>
      </c>
      <c r="J16" s="364">
        <v>25.893707275390625</v>
      </c>
      <c r="K16" s="364">
        <v>0</v>
      </c>
      <c r="L16" s="364">
        <v>5.3990001678466797</v>
      </c>
      <c r="M16" s="364">
        <v>0.2085062712430954</v>
      </c>
      <c r="N16" s="364">
        <v>21.350595474243164</v>
      </c>
      <c r="O16" s="364">
        <v>4.5431113243103027</v>
      </c>
      <c r="P16" s="364">
        <v>3.5958442687988281</v>
      </c>
      <c r="Q16" s="364">
        <v>0</v>
      </c>
      <c r="R16" s="364">
        <v>0</v>
      </c>
      <c r="S16" s="364">
        <v>0.94726717472076416</v>
      </c>
      <c r="T16" s="364"/>
      <c r="U16" s="364">
        <v>0.62341725826263428</v>
      </c>
      <c r="V16" s="364">
        <v>0.6363791823387146</v>
      </c>
      <c r="W16" s="364">
        <v>0.56895607709884644</v>
      </c>
      <c r="X16" s="364">
        <v>0.4417845606803894</v>
      </c>
      <c r="Y16" s="364"/>
    </row>
    <row r="17" spans="1:25" ht="29" x14ac:dyDescent="0.35">
      <c r="A17" s="364" t="s">
        <v>194</v>
      </c>
      <c r="B17" s="364" t="s">
        <v>641</v>
      </c>
      <c r="C17" s="364" t="s">
        <v>628</v>
      </c>
      <c r="D17" s="364">
        <v>0</v>
      </c>
      <c r="E17" s="364">
        <v>177.00612862462702</v>
      </c>
      <c r="F17" s="364">
        <v>49.535232543945312</v>
      </c>
      <c r="G17" s="364">
        <v>28.909442901611328</v>
      </c>
      <c r="H17" s="364">
        <v>20.625789642333984</v>
      </c>
      <c r="I17" s="364">
        <v>25.116703033447266</v>
      </c>
      <c r="J17" s="364">
        <v>25.116703033447266</v>
      </c>
      <c r="K17" s="364">
        <v>0</v>
      </c>
      <c r="L17" s="364">
        <v>2.9360001087188721</v>
      </c>
      <c r="M17" s="364">
        <v>0.11689432710409164</v>
      </c>
      <c r="N17" s="364">
        <v>14.321135520935059</v>
      </c>
      <c r="O17" s="364">
        <v>10.795567512512207</v>
      </c>
      <c r="P17" s="364">
        <v>9.5336265563964844</v>
      </c>
      <c r="Q17" s="364">
        <v>0</v>
      </c>
      <c r="R17" s="364">
        <v>0</v>
      </c>
      <c r="S17" s="364">
        <v>1.261940598487854</v>
      </c>
      <c r="T17" s="364"/>
      <c r="U17" s="364">
        <v>0.50704723596572876</v>
      </c>
      <c r="V17" s="364">
        <v>0.49537914991378784</v>
      </c>
      <c r="W17" s="364">
        <v>0.52340143918991089</v>
      </c>
      <c r="X17" s="364">
        <v>0.87235331535339355</v>
      </c>
      <c r="Y17" s="364"/>
    </row>
    <row r="18" spans="1:25" ht="29" x14ac:dyDescent="0.35">
      <c r="A18" s="364" t="s">
        <v>195</v>
      </c>
      <c r="B18" s="364" t="s">
        <v>642</v>
      </c>
      <c r="C18" s="364" t="s">
        <v>628</v>
      </c>
      <c r="D18" s="364">
        <v>0</v>
      </c>
      <c r="E18" s="364">
        <v>28.770206626556398</v>
      </c>
      <c r="F18" s="364">
        <v>10.069572448730469</v>
      </c>
      <c r="G18" s="364">
        <v>10.069572448730469</v>
      </c>
      <c r="H18" s="364">
        <v>0</v>
      </c>
      <c r="I18" s="364">
        <v>4.3155307769775391</v>
      </c>
      <c r="J18" s="364">
        <v>4.3155307769775391</v>
      </c>
      <c r="K18" s="364">
        <v>0</v>
      </c>
      <c r="L18" s="364">
        <v>0.74599999189376831</v>
      </c>
      <c r="M18" s="364">
        <v>0.17286401987075806</v>
      </c>
      <c r="N18" s="364">
        <v>4.4128627777099609</v>
      </c>
      <c r="O18" s="364">
        <v>-9.7331859171390533E-2</v>
      </c>
      <c r="P18" s="364">
        <v>-9.7331859171390533E-2</v>
      </c>
      <c r="Q18" s="364">
        <v>0</v>
      </c>
      <c r="R18" s="364">
        <v>0</v>
      </c>
      <c r="S18" s="364">
        <v>0</v>
      </c>
      <c r="T18" s="364"/>
      <c r="U18" s="364">
        <v>0.42857140302658081</v>
      </c>
      <c r="V18" s="364">
        <v>0.43823733925819397</v>
      </c>
      <c r="W18" s="364"/>
      <c r="X18" s="364">
        <v>0.40205702185630798</v>
      </c>
      <c r="Y18" s="364"/>
    </row>
    <row r="19" spans="1:25" ht="29" x14ac:dyDescent="0.35">
      <c r="A19" s="364" t="s">
        <v>196</v>
      </c>
      <c r="B19" s="364" t="s">
        <v>643</v>
      </c>
      <c r="C19" s="364" t="s">
        <v>628</v>
      </c>
      <c r="D19" s="364">
        <v>0</v>
      </c>
      <c r="E19" s="364">
        <v>525.00041527667793</v>
      </c>
      <c r="F19" s="364">
        <v>163.46299743652344</v>
      </c>
      <c r="G19" s="364">
        <v>137.77305603027344</v>
      </c>
      <c r="H19" s="364">
        <v>25.689945220947266</v>
      </c>
      <c r="I19" s="364">
        <v>102.45965576171875</v>
      </c>
      <c r="J19" s="364">
        <v>102.45965576171875</v>
      </c>
      <c r="K19" s="364">
        <v>0</v>
      </c>
      <c r="L19" s="364">
        <v>22.677000045776367</v>
      </c>
      <c r="M19" s="364">
        <v>0.22132614254951477</v>
      </c>
      <c r="N19" s="364">
        <v>88.532646179199219</v>
      </c>
      <c r="O19" s="364">
        <v>13.927011489868164</v>
      </c>
      <c r="P19" s="364">
        <v>10.844599723815918</v>
      </c>
      <c r="Q19" s="364">
        <v>0</v>
      </c>
      <c r="R19" s="364">
        <v>0</v>
      </c>
      <c r="S19" s="364">
        <v>3.0824117660522461</v>
      </c>
      <c r="T19" s="364"/>
      <c r="U19" s="364">
        <v>0.62680643796920776</v>
      </c>
      <c r="V19" s="364">
        <v>0.64259767532348633</v>
      </c>
      <c r="W19" s="364">
        <v>0.54211914539337158</v>
      </c>
      <c r="X19" s="364">
        <v>0.54211914539337158</v>
      </c>
      <c r="Y19" s="364"/>
    </row>
    <row r="20" spans="1:25" ht="29" x14ac:dyDescent="0.35">
      <c r="A20" s="364" t="s">
        <v>74</v>
      </c>
      <c r="B20" s="364" t="s">
        <v>644</v>
      </c>
      <c r="C20" s="364" t="s">
        <v>628</v>
      </c>
      <c r="D20" s="364">
        <v>0</v>
      </c>
      <c r="E20" s="364">
        <v>2102.9959427204399</v>
      </c>
      <c r="F20" s="364">
        <v>585.061279296875</v>
      </c>
      <c r="G20" s="364">
        <v>472.84671020507812</v>
      </c>
      <c r="H20" s="364">
        <v>112.21457672119141</v>
      </c>
      <c r="I20" s="364">
        <v>336.1661376953125</v>
      </c>
      <c r="J20" s="364">
        <v>336.1661376953125</v>
      </c>
      <c r="K20" s="364">
        <v>0</v>
      </c>
      <c r="L20" s="364">
        <v>59.306999206542969</v>
      </c>
      <c r="M20" s="364">
        <v>0.17642168700695038</v>
      </c>
      <c r="N20" s="364">
        <v>313.792724609375</v>
      </c>
      <c r="O20" s="364">
        <v>22.373401641845703</v>
      </c>
      <c r="P20" s="364">
        <v>18.426248550415039</v>
      </c>
      <c r="Q20" s="364">
        <v>0</v>
      </c>
      <c r="R20" s="364">
        <v>0</v>
      </c>
      <c r="S20" s="364">
        <v>3.9471535682678223</v>
      </c>
      <c r="T20" s="364"/>
      <c r="U20" s="364">
        <v>0.57458275556564331</v>
      </c>
      <c r="V20" s="364">
        <v>0.66362464427947998</v>
      </c>
      <c r="W20" s="364">
        <v>0.1993805319070816</v>
      </c>
      <c r="X20" s="364">
        <v>0.44566288590431213</v>
      </c>
      <c r="Y20" s="364"/>
    </row>
    <row r="21" spans="1:25" ht="29" x14ac:dyDescent="0.35">
      <c r="A21" s="364" t="s">
        <v>73</v>
      </c>
      <c r="B21" s="364" t="s">
        <v>645</v>
      </c>
      <c r="C21" s="364" t="s">
        <v>628</v>
      </c>
      <c r="D21" s="364">
        <v>0</v>
      </c>
      <c r="E21" s="364">
        <v>4256.4107607237502</v>
      </c>
      <c r="F21" s="364">
        <v>1074.6416015625</v>
      </c>
      <c r="G21" s="364">
        <v>994.81719970703125</v>
      </c>
      <c r="H21" s="364">
        <v>79.82440185546875</v>
      </c>
      <c r="I21" s="364">
        <v>400.0953369140625</v>
      </c>
      <c r="J21" s="364">
        <v>400.0953369140625</v>
      </c>
      <c r="K21" s="364">
        <v>0</v>
      </c>
      <c r="L21" s="364">
        <v>200.63200378417969</v>
      </c>
      <c r="M21" s="364">
        <v>0.5014604926109314</v>
      </c>
      <c r="N21" s="364">
        <v>332.36505126953125</v>
      </c>
      <c r="O21" s="364">
        <v>67.730278015136719</v>
      </c>
      <c r="P21" s="364">
        <v>33.766220092773438</v>
      </c>
      <c r="Q21" s="364">
        <v>0</v>
      </c>
      <c r="R21" s="364">
        <v>0</v>
      </c>
      <c r="S21" s="364">
        <v>33.964057922363281</v>
      </c>
      <c r="T21" s="364"/>
      <c r="U21" s="364">
        <v>0.37230584025382996</v>
      </c>
      <c r="V21" s="364">
        <v>0.33409661054611206</v>
      </c>
      <c r="W21" s="364">
        <v>0.84849089384078979</v>
      </c>
      <c r="X21" s="364">
        <v>0.84849089384078979</v>
      </c>
      <c r="Y21" s="364"/>
    </row>
    <row r="22" spans="1:25" ht="29" x14ac:dyDescent="0.35">
      <c r="A22" s="364" t="s">
        <v>197</v>
      </c>
      <c r="B22" s="364" t="s">
        <v>646</v>
      </c>
      <c r="C22" s="364" t="s">
        <v>628</v>
      </c>
      <c r="D22" s="364">
        <v>0</v>
      </c>
      <c r="E22" s="364">
        <v>1673.91651179971</v>
      </c>
      <c r="F22" s="364">
        <v>585.87078857421875</v>
      </c>
      <c r="G22" s="364">
        <v>512.6671142578125</v>
      </c>
      <c r="H22" s="364">
        <v>73.203659057617188</v>
      </c>
      <c r="I22" s="364">
        <v>306.35491943359375</v>
      </c>
      <c r="J22" s="364">
        <v>306.35491943359375</v>
      </c>
      <c r="K22" s="364">
        <v>0</v>
      </c>
      <c r="L22" s="364">
        <v>90.027999877929688</v>
      </c>
      <c r="M22" s="364">
        <v>0.2938683032989502</v>
      </c>
      <c r="N22" s="364">
        <v>276.92288208007812</v>
      </c>
      <c r="O22" s="364">
        <v>29.432044982910156</v>
      </c>
      <c r="P22" s="364">
        <v>20.782899856567383</v>
      </c>
      <c r="Q22" s="364">
        <v>0</v>
      </c>
      <c r="R22" s="364">
        <v>0</v>
      </c>
      <c r="S22" s="364">
        <v>8.6491451263427734</v>
      </c>
      <c r="T22" s="364"/>
      <c r="U22" s="364">
        <v>0.52290529012680054</v>
      </c>
      <c r="V22" s="364">
        <v>0.54016119241714478</v>
      </c>
      <c r="W22" s="364">
        <v>0.40205702185630798</v>
      </c>
      <c r="X22" s="364">
        <v>0.40205702185630798</v>
      </c>
      <c r="Y22" s="364"/>
    </row>
    <row r="23" spans="1:25" ht="29" x14ac:dyDescent="0.35">
      <c r="A23" s="364" t="s">
        <v>198</v>
      </c>
      <c r="B23" s="364" t="s">
        <v>647</v>
      </c>
      <c r="C23" s="364" t="s">
        <v>628</v>
      </c>
      <c r="D23" s="364">
        <v>0</v>
      </c>
      <c r="E23" s="364">
        <v>38.018905782396999</v>
      </c>
      <c r="F23" s="364">
        <v>13.982093811035156</v>
      </c>
      <c r="G23" s="364">
        <v>9.1455154418945312</v>
      </c>
      <c r="H23" s="364">
        <v>4.8365778923034668</v>
      </c>
      <c r="I23" s="364">
        <v>5.9745006561279297</v>
      </c>
      <c r="J23" s="364">
        <v>5.9745006561279297</v>
      </c>
      <c r="K23" s="364">
        <v>0</v>
      </c>
      <c r="L23" s="364">
        <v>0.40900000929832458</v>
      </c>
      <c r="M23" s="364">
        <v>6.8457603454589844E-2</v>
      </c>
      <c r="N23" s="364">
        <v>3.8586051464080811</v>
      </c>
      <c r="O23" s="364">
        <v>2.1158955097198486</v>
      </c>
      <c r="P23" s="364">
        <v>1.9710463285446167</v>
      </c>
      <c r="Q23" s="364">
        <v>0</v>
      </c>
      <c r="R23" s="364">
        <v>0</v>
      </c>
      <c r="S23" s="364">
        <v>0.14484913647174835</v>
      </c>
      <c r="T23" s="364"/>
      <c r="U23" s="364">
        <v>0.42729657888412476</v>
      </c>
      <c r="V23" s="364">
        <v>0.42191225290298462</v>
      </c>
      <c r="W23" s="364">
        <v>0.43747779726982117</v>
      </c>
      <c r="X23" s="364">
        <v>0.40205702185630798</v>
      </c>
      <c r="Y23" s="364"/>
    </row>
    <row r="24" spans="1:25" ht="29" x14ac:dyDescent="0.35">
      <c r="A24" s="364" t="s">
        <v>81</v>
      </c>
      <c r="B24" s="364" t="s">
        <v>648</v>
      </c>
      <c r="C24" s="364" t="s">
        <v>628</v>
      </c>
      <c r="D24" s="364">
        <v>0</v>
      </c>
      <c r="E24" s="364">
        <v>1464.3126923315799</v>
      </c>
      <c r="F24" s="364">
        <v>187.17752075195312</v>
      </c>
      <c r="G24" s="364">
        <v>149.15472412109375</v>
      </c>
      <c r="H24" s="364">
        <v>38.022796630859375</v>
      </c>
      <c r="I24" s="364">
        <v>351.09033203125</v>
      </c>
      <c r="J24" s="364">
        <v>351.09033203125</v>
      </c>
      <c r="K24" s="364">
        <v>0</v>
      </c>
      <c r="L24" s="364">
        <v>56.472000122070312</v>
      </c>
      <c r="M24" s="364">
        <v>0.1608474999666214</v>
      </c>
      <c r="N24" s="364">
        <v>317.71697998046875</v>
      </c>
      <c r="O24" s="364">
        <v>33.373344421386719</v>
      </c>
      <c r="P24" s="364">
        <v>28.005327224731445</v>
      </c>
      <c r="Q24" s="364">
        <v>0</v>
      </c>
      <c r="R24" s="364">
        <v>0</v>
      </c>
      <c r="S24" s="364">
        <v>5.3680191040039062</v>
      </c>
      <c r="T24" s="364"/>
      <c r="U24" s="364">
        <v>1.875707745552063</v>
      </c>
      <c r="V24" s="364">
        <v>2.1301167011260986</v>
      </c>
      <c r="W24" s="364">
        <v>0.87771934270858765</v>
      </c>
      <c r="X24" s="364">
        <v>0.87771934270858765</v>
      </c>
      <c r="Y24" s="364"/>
    </row>
    <row r="25" spans="1:25" ht="29" x14ac:dyDescent="0.35">
      <c r="A25" s="364" t="s">
        <v>200</v>
      </c>
      <c r="B25" s="364" t="s">
        <v>649</v>
      </c>
      <c r="C25" s="364" t="s">
        <v>628</v>
      </c>
      <c r="D25" s="364">
        <v>0</v>
      </c>
      <c r="E25" s="364">
        <v>593.72696541561902</v>
      </c>
      <c r="F25" s="364">
        <v>135.27131652832031</v>
      </c>
      <c r="G25" s="364">
        <v>97.680984497070312</v>
      </c>
      <c r="H25" s="364">
        <v>37.590335845947266</v>
      </c>
      <c r="I25" s="364">
        <v>242.75071716308594</v>
      </c>
      <c r="J25" s="364">
        <v>242.75071716308594</v>
      </c>
      <c r="K25" s="364">
        <v>0</v>
      </c>
      <c r="L25" s="364">
        <v>108.9739990234375</v>
      </c>
      <c r="M25" s="364">
        <v>0.44891318678855896</v>
      </c>
      <c r="N25" s="364">
        <v>211.48707580566406</v>
      </c>
      <c r="O25" s="364">
        <v>31.263635635375977</v>
      </c>
      <c r="P25" s="364">
        <v>17.228977203369141</v>
      </c>
      <c r="Q25" s="364">
        <v>0</v>
      </c>
      <c r="R25" s="364">
        <v>0</v>
      </c>
      <c r="S25" s="364">
        <v>14.034658432006836</v>
      </c>
      <c r="T25" s="364"/>
      <c r="U25" s="364">
        <v>1.7945468425750732</v>
      </c>
      <c r="V25" s="364">
        <v>2.1650793552398682</v>
      </c>
      <c r="W25" s="364">
        <v>0.83169341087341309</v>
      </c>
      <c r="X25" s="364">
        <v>2.9336519241333008</v>
      </c>
      <c r="Y25" s="364"/>
    </row>
    <row r="26" spans="1:25" ht="29" x14ac:dyDescent="0.35">
      <c r="A26" s="364" t="s">
        <v>199</v>
      </c>
      <c r="B26" s="364" t="s">
        <v>650</v>
      </c>
      <c r="C26" s="364" t="s">
        <v>628</v>
      </c>
      <c r="D26" s="364">
        <v>0</v>
      </c>
      <c r="E26" s="364">
        <v>246.73352284135299</v>
      </c>
      <c r="F26" s="364">
        <v>81.120941162109375</v>
      </c>
      <c r="G26" s="364">
        <v>67.235565185546875</v>
      </c>
      <c r="H26" s="364">
        <v>13.885379791259766</v>
      </c>
      <c r="I26" s="364">
        <v>47.733539581298828</v>
      </c>
      <c r="J26" s="364">
        <v>47.733539581298828</v>
      </c>
      <c r="K26" s="364">
        <v>0</v>
      </c>
      <c r="L26" s="364">
        <v>11.170999526977539</v>
      </c>
      <c r="M26" s="364">
        <v>0.23402830958366394</v>
      </c>
      <c r="N26" s="364">
        <v>37.8779296875</v>
      </c>
      <c r="O26" s="364">
        <v>9.8556108474731445</v>
      </c>
      <c r="P26" s="364">
        <v>7.5491189956665039</v>
      </c>
      <c r="Q26" s="364">
        <v>0</v>
      </c>
      <c r="R26" s="364">
        <v>0</v>
      </c>
      <c r="S26" s="364">
        <v>2.3064918518066406</v>
      </c>
      <c r="T26" s="364"/>
      <c r="U26" s="364">
        <v>0.58842438459396362</v>
      </c>
      <c r="V26" s="364">
        <v>0.5633615255355835</v>
      </c>
      <c r="W26" s="364">
        <v>0.70978331565856934</v>
      </c>
      <c r="X26" s="364">
        <v>0.70978331565856934</v>
      </c>
      <c r="Y26" s="364"/>
    </row>
    <row r="27" spans="1:25" ht="29" x14ac:dyDescent="0.35">
      <c r="A27" s="364" t="s">
        <v>201</v>
      </c>
      <c r="B27" s="364" t="s">
        <v>651</v>
      </c>
      <c r="C27" s="364" t="s">
        <v>628</v>
      </c>
      <c r="D27" s="364">
        <v>0</v>
      </c>
      <c r="E27" s="364">
        <v>695.60747087527602</v>
      </c>
      <c r="F27" s="364">
        <v>174.55433654785156</v>
      </c>
      <c r="G27" s="364">
        <v>103.73688507080078</v>
      </c>
      <c r="H27" s="364">
        <v>70.817451477050781</v>
      </c>
      <c r="I27" s="364">
        <v>122.99320983886719</v>
      </c>
      <c r="J27" s="364">
        <v>122.99320983886719</v>
      </c>
      <c r="K27" s="364">
        <v>0</v>
      </c>
      <c r="L27" s="364">
        <v>19.23900032043457</v>
      </c>
      <c r="M27" s="364">
        <v>0.15642327070236206</v>
      </c>
      <c r="N27" s="364">
        <v>92.2293701171875</v>
      </c>
      <c r="O27" s="364">
        <v>30.763839721679688</v>
      </c>
      <c r="P27" s="364">
        <v>25.95166015625</v>
      </c>
      <c r="Q27" s="364">
        <v>0</v>
      </c>
      <c r="R27" s="364">
        <v>0</v>
      </c>
      <c r="S27" s="364">
        <v>4.8121805191040039</v>
      </c>
      <c r="T27" s="364"/>
      <c r="U27" s="364">
        <v>0.70461273193359375</v>
      </c>
      <c r="V27" s="364">
        <v>0.88907015323638916</v>
      </c>
      <c r="W27" s="364">
        <v>0.43441042304039001</v>
      </c>
      <c r="X27" s="364">
        <v>0.41413196921348572</v>
      </c>
      <c r="Y27" s="364"/>
    </row>
    <row r="28" spans="1:25" ht="29" x14ac:dyDescent="0.35">
      <c r="A28" s="364" t="s">
        <v>202</v>
      </c>
      <c r="B28" s="364" t="s">
        <v>652</v>
      </c>
      <c r="C28" s="364" t="s">
        <v>628</v>
      </c>
      <c r="D28" s="364">
        <v>0</v>
      </c>
      <c r="E28" s="364">
        <v>256.89867506892699</v>
      </c>
      <c r="F28" s="364">
        <v>85.913360595703125</v>
      </c>
      <c r="G28" s="364">
        <v>62.714244842529297</v>
      </c>
      <c r="H28" s="364">
        <v>23.199115753173828</v>
      </c>
      <c r="I28" s="364">
        <v>29.720310211181641</v>
      </c>
      <c r="J28" s="364">
        <v>29.720310211181641</v>
      </c>
      <c r="K28" s="364">
        <v>0</v>
      </c>
      <c r="L28" s="364">
        <v>8.5100002288818359</v>
      </c>
      <c r="M28" s="364">
        <v>0.28633618354797363</v>
      </c>
      <c r="N28" s="364">
        <v>20.209873199462891</v>
      </c>
      <c r="O28" s="364">
        <v>9.5104360580444336</v>
      </c>
      <c r="P28" s="364">
        <v>6.7872543334960938</v>
      </c>
      <c r="Q28" s="364">
        <v>0</v>
      </c>
      <c r="R28" s="364">
        <v>0</v>
      </c>
      <c r="S28" s="364">
        <v>2.7231819629669189</v>
      </c>
      <c r="T28" s="364"/>
      <c r="U28" s="364">
        <v>0.34593349695205688</v>
      </c>
      <c r="V28" s="364">
        <v>0.32225331664085388</v>
      </c>
      <c r="W28" s="364">
        <v>0.4099481999874115</v>
      </c>
      <c r="X28" s="364">
        <v>0.49826988577842712</v>
      </c>
      <c r="Y28" s="364"/>
    </row>
    <row r="29" spans="1:25" ht="29" x14ac:dyDescent="0.35">
      <c r="A29" s="364" t="s">
        <v>203</v>
      </c>
      <c r="B29" s="364" t="s">
        <v>653</v>
      </c>
      <c r="C29" s="364" t="s">
        <v>628</v>
      </c>
      <c r="D29" s="364">
        <v>0</v>
      </c>
      <c r="E29" s="364">
        <v>115.92861555328599</v>
      </c>
      <c r="F29" s="364">
        <v>31.565206527709961</v>
      </c>
      <c r="G29" s="364">
        <v>22.101234436035156</v>
      </c>
      <c r="H29" s="364">
        <v>9.4639730453491211</v>
      </c>
      <c r="I29" s="364">
        <v>14.585468292236328</v>
      </c>
      <c r="J29" s="364">
        <v>14.585468292236328</v>
      </c>
      <c r="K29" s="364">
        <v>0</v>
      </c>
      <c r="L29" s="364">
        <v>4.2249999046325684</v>
      </c>
      <c r="M29" s="364">
        <v>0.28967186808586121</v>
      </c>
      <c r="N29" s="364">
        <v>8.9595975875854492</v>
      </c>
      <c r="O29" s="364">
        <v>5.6258707046508789</v>
      </c>
      <c r="P29" s="364">
        <v>3.9962141513824463</v>
      </c>
      <c r="Q29" s="364">
        <v>0</v>
      </c>
      <c r="R29" s="364">
        <v>0</v>
      </c>
      <c r="S29" s="364">
        <v>1.6296564340591431</v>
      </c>
      <c r="T29" s="364"/>
      <c r="U29" s="364">
        <v>0.46207422018051147</v>
      </c>
      <c r="V29" s="364">
        <v>0.40538901090621948</v>
      </c>
      <c r="W29" s="364">
        <v>0.59445124864578247</v>
      </c>
      <c r="X29" s="364">
        <v>0.40205702185630798</v>
      </c>
      <c r="Y29" s="364"/>
    </row>
    <row r="30" spans="1:25" ht="29" x14ac:dyDescent="0.35">
      <c r="A30" s="364" t="s">
        <v>204</v>
      </c>
      <c r="B30" s="364" t="s">
        <v>654</v>
      </c>
      <c r="C30" s="364" t="s">
        <v>628</v>
      </c>
      <c r="D30" s="364">
        <v>0</v>
      </c>
      <c r="E30" s="364">
        <v>59.927702746284304</v>
      </c>
      <c r="F30" s="364">
        <v>22.462713241577148</v>
      </c>
      <c r="G30" s="364">
        <v>16.169244766235352</v>
      </c>
      <c r="H30" s="364">
        <v>6.2934679985046387</v>
      </c>
      <c r="I30" s="364">
        <v>4.9061689376831055</v>
      </c>
      <c r="J30" s="364">
        <v>4.9061689376831055</v>
      </c>
      <c r="K30" s="364">
        <v>0</v>
      </c>
      <c r="L30" s="364">
        <v>1.4019999504089355</v>
      </c>
      <c r="M30" s="364">
        <v>0.28576266765594482</v>
      </c>
      <c r="N30" s="364">
        <v>2.2932808399200439</v>
      </c>
      <c r="O30" s="364">
        <v>2.6128880977630615</v>
      </c>
      <c r="P30" s="364">
        <v>1.8662222623825073</v>
      </c>
      <c r="Q30" s="364">
        <v>0</v>
      </c>
      <c r="R30" s="364">
        <v>0</v>
      </c>
      <c r="S30" s="364">
        <v>0.74666589498519897</v>
      </c>
      <c r="T30" s="364"/>
      <c r="U30" s="364">
        <v>0.21841390430927277</v>
      </c>
      <c r="V30" s="364">
        <v>0.14182980358600616</v>
      </c>
      <c r="W30" s="364">
        <v>0.41517460346221924</v>
      </c>
      <c r="X30" s="364">
        <v>0.40205702185630798</v>
      </c>
      <c r="Y30" s="364"/>
    </row>
    <row r="31" spans="1:25" ht="29" x14ac:dyDescent="0.35">
      <c r="A31" s="364" t="s">
        <v>205</v>
      </c>
      <c r="B31" s="364" t="s">
        <v>655</v>
      </c>
      <c r="C31" s="364" t="s">
        <v>628</v>
      </c>
      <c r="D31" s="364">
        <v>0</v>
      </c>
      <c r="E31" s="364">
        <v>579.89571734395599</v>
      </c>
      <c r="F31" s="364">
        <v>196.2906494140625</v>
      </c>
      <c r="G31" s="364">
        <v>135.32154846191406</v>
      </c>
      <c r="H31" s="364">
        <v>60.969104766845703</v>
      </c>
      <c r="I31" s="364">
        <v>77.785400390625</v>
      </c>
      <c r="J31" s="364">
        <v>77.785400390625</v>
      </c>
      <c r="K31" s="364">
        <v>0</v>
      </c>
      <c r="L31" s="364">
        <v>19.843000411987305</v>
      </c>
      <c r="M31" s="364">
        <v>0.25509929656982422</v>
      </c>
      <c r="N31" s="364">
        <v>44.993129730224609</v>
      </c>
      <c r="O31" s="364">
        <v>32.792270660400391</v>
      </c>
      <c r="P31" s="364">
        <v>24.426986694335938</v>
      </c>
      <c r="Q31" s="364">
        <v>0</v>
      </c>
      <c r="R31" s="364">
        <v>0</v>
      </c>
      <c r="S31" s="364">
        <v>8.3652849197387695</v>
      </c>
      <c r="T31" s="364"/>
      <c r="U31" s="364">
        <v>0.39627665281295776</v>
      </c>
      <c r="V31" s="364">
        <v>0.33249050378799438</v>
      </c>
      <c r="W31" s="364">
        <v>0.53785061836242676</v>
      </c>
      <c r="X31" s="364">
        <v>0.67987805604934692</v>
      </c>
      <c r="Y31" s="364"/>
    </row>
    <row r="32" spans="1:25" ht="29" x14ac:dyDescent="0.35">
      <c r="A32" s="364" t="s">
        <v>206</v>
      </c>
      <c r="B32" s="364" t="s">
        <v>656</v>
      </c>
      <c r="C32" s="364" t="s">
        <v>628</v>
      </c>
      <c r="D32" s="364">
        <v>0</v>
      </c>
      <c r="E32" s="364">
        <v>907.11843465350501</v>
      </c>
      <c r="F32" s="364">
        <v>203.74371337890625</v>
      </c>
      <c r="G32" s="364">
        <v>17.687164306640625</v>
      </c>
      <c r="H32" s="364">
        <v>186.05654907226562</v>
      </c>
      <c r="I32" s="364">
        <v>136.06776428222656</v>
      </c>
      <c r="J32" s="364">
        <v>136.06776428222656</v>
      </c>
      <c r="K32" s="364">
        <v>0</v>
      </c>
      <c r="L32" s="364">
        <v>30.663999557495117</v>
      </c>
      <c r="M32" s="364">
        <v>0.22535829246044159</v>
      </c>
      <c r="N32" s="364">
        <v>131.13352966308594</v>
      </c>
      <c r="O32" s="364">
        <v>4.9342293739318848</v>
      </c>
      <c r="P32" s="364">
        <v>3.8222599029541016</v>
      </c>
      <c r="Q32" s="364">
        <v>0</v>
      </c>
      <c r="R32" s="364">
        <v>0</v>
      </c>
      <c r="S32" s="364">
        <v>1.1119695901870728</v>
      </c>
      <c r="T32" s="364"/>
      <c r="U32" s="364">
        <v>0.66783785820007324</v>
      </c>
      <c r="V32" s="364">
        <v>7.4140505790710449</v>
      </c>
      <c r="W32" s="364">
        <v>2.6520052924752235E-2</v>
      </c>
      <c r="X32" s="364">
        <v>2.6520051062107086E-2</v>
      </c>
      <c r="Y32" s="364"/>
    </row>
    <row r="33" spans="1:25" ht="29" x14ac:dyDescent="0.35">
      <c r="A33" s="364" t="s">
        <v>67</v>
      </c>
      <c r="B33" s="364" t="s">
        <v>80</v>
      </c>
      <c r="C33" s="364" t="s">
        <v>628</v>
      </c>
      <c r="D33" s="364">
        <v>0</v>
      </c>
      <c r="E33" s="364">
        <v>26006.893</v>
      </c>
      <c r="F33" s="364">
        <v>8599.5234375</v>
      </c>
      <c r="G33" s="364">
        <v>7930.8935546875</v>
      </c>
      <c r="H33" s="364">
        <v>668.6300048828125</v>
      </c>
      <c r="I33" s="364">
        <v>2941.781982421875</v>
      </c>
      <c r="J33" s="364">
        <v>2941.781982421875</v>
      </c>
      <c r="K33" s="364">
        <v>0</v>
      </c>
      <c r="L33" s="364">
        <v>527.5360107421875</v>
      </c>
      <c r="M33" s="364">
        <v>0.17932532727718353</v>
      </c>
      <c r="N33" s="364">
        <v>2594.262939453125</v>
      </c>
      <c r="O33" s="364">
        <v>347.51895141601562</v>
      </c>
      <c r="P33" s="364">
        <v>285.20001220703125</v>
      </c>
      <c r="Q33" s="364">
        <v>0</v>
      </c>
      <c r="R33" s="364">
        <v>0</v>
      </c>
      <c r="S33" s="364">
        <v>62.318950653076172</v>
      </c>
      <c r="T33" s="364"/>
      <c r="U33" s="364">
        <v>0.34208664298057556</v>
      </c>
      <c r="V33" s="364">
        <v>0.32710853219032288</v>
      </c>
      <c r="W33" s="364">
        <v>0.51974779367446899</v>
      </c>
      <c r="X33" s="364"/>
      <c r="Y33" s="364"/>
    </row>
    <row r="34" spans="1:25" ht="31" x14ac:dyDescent="0.35">
      <c r="A34" s="370" t="s">
        <v>657</v>
      </c>
      <c r="B34" s="364"/>
      <c r="C34" s="364"/>
      <c r="D34" s="364"/>
      <c r="E34" s="364"/>
      <c r="F34" s="364"/>
      <c r="G34" s="364"/>
      <c r="H34" s="364"/>
      <c r="I34" s="364"/>
      <c r="J34" s="364"/>
      <c r="K34" s="364"/>
      <c r="L34" s="364"/>
      <c r="M34" s="364"/>
      <c r="N34" s="364"/>
      <c r="O34" s="364"/>
      <c r="P34" s="364"/>
      <c r="Q34" s="364"/>
      <c r="R34" s="364"/>
      <c r="S34" s="364"/>
      <c r="T34" s="364"/>
      <c r="U34" s="364"/>
      <c r="V34" s="364"/>
      <c r="W34" s="364"/>
      <c r="X34" s="364"/>
      <c r="Y34" s="364"/>
    </row>
    <row r="35" spans="1:25" ht="29" x14ac:dyDescent="0.35">
      <c r="A35" s="364" t="s">
        <v>65</v>
      </c>
      <c r="B35" s="364" t="s">
        <v>658</v>
      </c>
      <c r="C35" s="364" t="s">
        <v>659</v>
      </c>
      <c r="D35" s="364">
        <v>1</v>
      </c>
      <c r="E35" s="364">
        <v>593.43882050817297</v>
      </c>
      <c r="F35" s="364">
        <v>205.35275268554688</v>
      </c>
      <c r="G35" s="364">
        <v>167.97764587402344</v>
      </c>
      <c r="H35" s="364">
        <v>37.375106811523438</v>
      </c>
      <c r="I35" s="364">
        <v>97.560920715332031</v>
      </c>
      <c r="J35" s="364">
        <v>97.560920715332031</v>
      </c>
      <c r="K35" s="364">
        <v>0</v>
      </c>
      <c r="L35" s="364">
        <v>22.829000473022461</v>
      </c>
      <c r="M35" s="364">
        <v>0.23399738967418671</v>
      </c>
      <c r="N35" s="364">
        <v>47.785228729248047</v>
      </c>
      <c r="O35" s="364">
        <v>49.775691986083984</v>
      </c>
      <c r="P35" s="364">
        <v>38.128311157226562</v>
      </c>
      <c r="Q35" s="364">
        <v>0</v>
      </c>
      <c r="R35" s="364">
        <v>0</v>
      </c>
      <c r="S35" s="364">
        <v>11.647381782531738</v>
      </c>
      <c r="T35" s="364"/>
      <c r="U35" s="364">
        <v>0.475089430809021</v>
      </c>
      <c r="V35" s="364">
        <v>0.28447374701499939</v>
      </c>
      <c r="W35" s="364">
        <v>1.3317872285842896</v>
      </c>
      <c r="X35" s="364">
        <v>1.1869317293167114</v>
      </c>
      <c r="Y35" s="364">
        <v>39.143451690673828</v>
      </c>
    </row>
    <row r="36" spans="1:25" ht="29" x14ac:dyDescent="0.35">
      <c r="A36" s="364" t="s">
        <v>61</v>
      </c>
      <c r="B36" s="364" t="s">
        <v>660</v>
      </c>
      <c r="C36" s="364" t="s">
        <v>659</v>
      </c>
      <c r="D36" s="364">
        <v>1</v>
      </c>
      <c r="E36" s="364">
        <v>818.42655020644997</v>
      </c>
      <c r="F36" s="364">
        <v>396.01922607421875</v>
      </c>
      <c r="G36" s="364">
        <v>361.66168212890625</v>
      </c>
      <c r="H36" s="364">
        <v>34.357532501220703</v>
      </c>
      <c r="I36" s="364">
        <v>99.943084716796875</v>
      </c>
      <c r="J36" s="364">
        <v>99.943084716796875</v>
      </c>
      <c r="K36" s="364">
        <v>0</v>
      </c>
      <c r="L36" s="364">
        <v>2.6179000735282898E-2</v>
      </c>
      <c r="M36" s="364">
        <v>2.6193910161964595E-4</v>
      </c>
      <c r="N36" s="364">
        <v>4.8544692993164062</v>
      </c>
      <c r="O36" s="364">
        <v>95.088615417480469</v>
      </c>
      <c r="P36" s="364">
        <v>90.334182739257812</v>
      </c>
      <c r="Q36" s="364">
        <v>0</v>
      </c>
      <c r="R36" s="364">
        <v>0</v>
      </c>
      <c r="S36" s="364">
        <v>4.7544307708740234</v>
      </c>
      <c r="T36" s="364"/>
      <c r="U36" s="364">
        <v>0.25236928462982178</v>
      </c>
      <c r="V36" s="364">
        <v>1.3422681018710136E-2</v>
      </c>
      <c r="W36" s="364">
        <v>2.7676205635070801</v>
      </c>
      <c r="X36" s="364">
        <v>2.7676205635070801</v>
      </c>
      <c r="Y36" s="364">
        <v>94.62744140625</v>
      </c>
    </row>
    <row r="37" spans="1:25" ht="29" x14ac:dyDescent="0.35">
      <c r="A37" s="364" t="s">
        <v>59</v>
      </c>
      <c r="B37" s="364" t="s">
        <v>661</v>
      </c>
      <c r="C37" s="364" t="s">
        <v>659</v>
      </c>
      <c r="D37" s="364">
        <v>1</v>
      </c>
      <c r="E37" s="364">
        <v>548.57025034198705</v>
      </c>
      <c r="F37" s="364">
        <v>100.99066162109375</v>
      </c>
      <c r="G37" s="364">
        <v>44.64642333984375</v>
      </c>
      <c r="H37" s="364">
        <v>56.34423828125</v>
      </c>
      <c r="I37" s="364">
        <v>264.13153076171875</v>
      </c>
      <c r="J37" s="364">
        <v>264.13153076171875</v>
      </c>
      <c r="K37" s="364">
        <v>0</v>
      </c>
      <c r="L37" s="364">
        <v>23.847999572753906</v>
      </c>
      <c r="M37" s="364">
        <v>9.0288348495960236E-2</v>
      </c>
      <c r="N37" s="364">
        <v>41.561630249023438</v>
      </c>
      <c r="O37" s="364">
        <v>222.56990051269531</v>
      </c>
      <c r="P37" s="364">
        <v>162.18844604492188</v>
      </c>
      <c r="Q37" s="364">
        <v>0</v>
      </c>
      <c r="R37" s="364">
        <v>42.070133209228516</v>
      </c>
      <c r="S37" s="364">
        <v>18.311325073242188</v>
      </c>
      <c r="T37" s="364">
        <v>59.748041593304308</v>
      </c>
      <c r="U37" s="364">
        <v>2.6154055595397949</v>
      </c>
      <c r="V37" s="364">
        <v>0.93090617656707764</v>
      </c>
      <c r="W37" s="364">
        <v>3.9501802921295166</v>
      </c>
      <c r="X37" s="364">
        <v>7.0135087966918945</v>
      </c>
      <c r="Y37" s="364">
        <v>170.11869812011719</v>
      </c>
    </row>
    <row r="38" spans="1:25" ht="29" x14ac:dyDescent="0.35">
      <c r="A38" s="364" t="s">
        <v>60</v>
      </c>
      <c r="B38" s="364" t="s">
        <v>662</v>
      </c>
      <c r="C38" s="364" t="s">
        <v>659</v>
      </c>
      <c r="D38" s="364">
        <v>1</v>
      </c>
      <c r="E38" s="364">
        <v>81.641807865759091</v>
      </c>
      <c r="F38" s="364">
        <v>29.791265487670898</v>
      </c>
      <c r="G38" s="364">
        <v>15.009490966796875</v>
      </c>
      <c r="H38" s="364">
        <v>14.781774520874023</v>
      </c>
      <c r="I38" s="364">
        <v>66.002334594726562</v>
      </c>
      <c r="J38" s="364">
        <v>66.002334594726562</v>
      </c>
      <c r="K38" s="364">
        <v>0</v>
      </c>
      <c r="L38" s="364">
        <v>3.5880000591278076</v>
      </c>
      <c r="M38" s="364">
        <v>5.4361715912818909E-2</v>
      </c>
      <c r="N38" s="364">
        <v>-4.1715316772460938</v>
      </c>
      <c r="O38" s="364">
        <v>70.173866271972656</v>
      </c>
      <c r="P38" s="364">
        <v>28.952569961547852</v>
      </c>
      <c r="Q38" s="364">
        <v>0</v>
      </c>
      <c r="R38" s="364">
        <v>37.579063415527344</v>
      </c>
      <c r="S38" s="364">
        <v>3.6422359943389893</v>
      </c>
      <c r="T38" s="364">
        <v>42.811260035550909</v>
      </c>
      <c r="U38" s="364">
        <v>2.2154927253723145</v>
      </c>
      <c r="V38" s="364">
        <v>-0.27792626619338989</v>
      </c>
      <c r="W38" s="364">
        <v>4.7473235130310059</v>
      </c>
      <c r="X38" s="364">
        <v>4.598698616027832</v>
      </c>
      <c r="Y38" s="364">
        <v>74.282112121582031</v>
      </c>
    </row>
    <row r="39" spans="1:25" ht="29" x14ac:dyDescent="0.35">
      <c r="A39" s="364" t="s">
        <v>221</v>
      </c>
      <c r="B39" s="364" t="s">
        <v>663</v>
      </c>
      <c r="C39" s="364" t="s">
        <v>659</v>
      </c>
      <c r="D39" s="364">
        <v>1</v>
      </c>
      <c r="E39" s="364">
        <v>1046.5407975486401</v>
      </c>
      <c r="F39" s="364">
        <v>372.0283203125</v>
      </c>
      <c r="G39" s="364">
        <v>283.5579833984375</v>
      </c>
      <c r="H39" s="364">
        <v>88.470344543457031</v>
      </c>
      <c r="I39" s="364">
        <v>221.96153259277344</v>
      </c>
      <c r="J39" s="364">
        <v>221.96153259277344</v>
      </c>
      <c r="K39" s="364">
        <v>0</v>
      </c>
      <c r="L39" s="364">
        <v>49.673999786376953</v>
      </c>
      <c r="M39" s="364">
        <v>0.22379553318023682</v>
      </c>
      <c r="N39" s="364">
        <v>52.403366088867188</v>
      </c>
      <c r="O39" s="364">
        <v>169.55816650390625</v>
      </c>
      <c r="P39" s="364">
        <v>126.76642608642578</v>
      </c>
      <c r="Q39" s="364">
        <v>0</v>
      </c>
      <c r="R39" s="364">
        <v>5.9302840232849121</v>
      </c>
      <c r="S39" s="364">
        <v>36.861457824707031</v>
      </c>
      <c r="T39" s="364">
        <v>21.06175707437891</v>
      </c>
      <c r="U39" s="364">
        <v>0.59662538766860962</v>
      </c>
      <c r="V39" s="364">
        <v>0.18480652570724487</v>
      </c>
      <c r="W39" s="364">
        <v>1.9165537357330322</v>
      </c>
      <c r="X39" s="364">
        <v>1.8814231157302856</v>
      </c>
      <c r="Y39" s="364">
        <v>153.20826721191406</v>
      </c>
    </row>
    <row r="40" spans="1:25" ht="31" x14ac:dyDescent="0.35">
      <c r="A40" s="368" t="s">
        <v>664</v>
      </c>
      <c r="B40" s="364"/>
      <c r="C40" s="364"/>
      <c r="D40" s="364"/>
      <c r="E40" s="364"/>
      <c r="F40" s="364"/>
      <c r="G40" s="364"/>
      <c r="H40" s="364"/>
      <c r="I40" s="364"/>
      <c r="J40" s="364"/>
      <c r="K40" s="364"/>
      <c r="L40" s="364"/>
      <c r="M40" s="364"/>
      <c r="N40" s="364"/>
      <c r="O40" s="364"/>
      <c r="P40" s="364"/>
      <c r="Q40" s="364"/>
      <c r="R40" s="364"/>
      <c r="S40" s="364"/>
      <c r="T40" s="364"/>
      <c r="U40" s="364"/>
      <c r="V40" s="364"/>
      <c r="W40" s="364"/>
      <c r="X40" s="364"/>
      <c r="Y40" s="364"/>
    </row>
    <row r="41" spans="1:25" ht="29" x14ac:dyDescent="0.35">
      <c r="A41" s="364" t="s">
        <v>83</v>
      </c>
      <c r="B41" s="364" t="s">
        <v>665</v>
      </c>
      <c r="C41" s="364" t="s">
        <v>666</v>
      </c>
      <c r="D41" s="364">
        <v>0</v>
      </c>
      <c r="E41" s="364">
        <v>1951.9239420833201</v>
      </c>
      <c r="F41" s="364">
        <v>488.7757568359375</v>
      </c>
      <c r="G41" s="364">
        <v>406.06146240234375</v>
      </c>
      <c r="H41" s="364">
        <v>82.71429443359375</v>
      </c>
      <c r="I41" s="364">
        <v>354.63717651367188</v>
      </c>
      <c r="J41" s="364">
        <v>354.63717651367188</v>
      </c>
      <c r="K41" s="364">
        <v>0</v>
      </c>
      <c r="L41" s="364">
        <v>84.690879821777344</v>
      </c>
      <c r="M41" s="364">
        <v>0.23880992829799652</v>
      </c>
      <c r="N41" s="364">
        <v>280.774658203125</v>
      </c>
      <c r="O41" s="364">
        <v>73.862533569335938</v>
      </c>
      <c r="P41" s="364">
        <v>56.223426818847656</v>
      </c>
      <c r="Q41" s="364">
        <v>0</v>
      </c>
      <c r="R41" s="364">
        <v>0</v>
      </c>
      <c r="S41" s="364">
        <v>17.639106750488281</v>
      </c>
      <c r="T41" s="364"/>
      <c r="U41" s="364">
        <v>0.72556209564208984</v>
      </c>
      <c r="V41" s="364">
        <v>0.69145852327346802</v>
      </c>
      <c r="W41" s="364">
        <v>0.89298391342163086</v>
      </c>
      <c r="X41" s="364">
        <v>0.89298391342163086</v>
      </c>
      <c r="Y41" s="364"/>
    </row>
    <row r="42" spans="1:25" ht="29" x14ac:dyDescent="0.35">
      <c r="A42" s="364" t="s">
        <v>208</v>
      </c>
      <c r="B42" s="364" t="s">
        <v>667</v>
      </c>
      <c r="C42" s="364" t="s">
        <v>666</v>
      </c>
      <c r="D42" s="364">
        <v>0</v>
      </c>
      <c r="E42" s="364">
        <v>17881.782683707301</v>
      </c>
      <c r="F42" s="364">
        <v>5268.4404296875</v>
      </c>
      <c r="G42" s="364">
        <v>5047.05078125</v>
      </c>
      <c r="H42" s="364">
        <v>221.38954162597656</v>
      </c>
      <c r="I42" s="364">
        <v>3576.3564453125</v>
      </c>
      <c r="J42" s="364">
        <v>3576.3564453125</v>
      </c>
      <c r="K42" s="364">
        <v>0</v>
      </c>
      <c r="L42" s="364">
        <v>742.8214111328125</v>
      </c>
      <c r="M42" s="364">
        <v>0.20770341157913208</v>
      </c>
      <c r="N42" s="364">
        <v>3343.55029296875</v>
      </c>
      <c r="O42" s="364">
        <v>232.80606079101562</v>
      </c>
      <c r="P42" s="364">
        <v>184.45144653320312</v>
      </c>
      <c r="Q42" s="364">
        <v>0</v>
      </c>
      <c r="R42" s="364">
        <v>0</v>
      </c>
      <c r="S42" s="364">
        <v>48.354610443115234</v>
      </c>
      <c r="T42" s="364"/>
      <c r="U42" s="364">
        <v>0.67882639169692993</v>
      </c>
      <c r="V42" s="364">
        <v>0.6624760627746582</v>
      </c>
      <c r="W42" s="364">
        <v>1.051567554473877</v>
      </c>
      <c r="X42" s="364">
        <v>1.051567554473877</v>
      </c>
      <c r="Y42" s="364"/>
    </row>
    <row r="43" spans="1:25" ht="29" x14ac:dyDescent="0.35">
      <c r="A43" s="364" t="s">
        <v>209</v>
      </c>
      <c r="B43" s="364" t="s">
        <v>668</v>
      </c>
      <c r="C43" s="364" t="s">
        <v>666</v>
      </c>
      <c r="D43" s="364">
        <v>0</v>
      </c>
      <c r="E43" s="364">
        <v>345.32987507851203</v>
      </c>
      <c r="F43" s="364">
        <v>69.877922058105469</v>
      </c>
      <c r="G43" s="364">
        <v>6.4388656616210938</v>
      </c>
      <c r="H43" s="364">
        <v>63.439056396484375</v>
      </c>
      <c r="I43" s="364">
        <v>58.246463775634766</v>
      </c>
      <c r="J43" s="364">
        <v>58.246463775634766</v>
      </c>
      <c r="K43" s="364">
        <v>0</v>
      </c>
      <c r="L43" s="364">
        <v>17.222000122070312</v>
      </c>
      <c r="M43" s="364">
        <v>0.29567459225654602</v>
      </c>
      <c r="N43" s="364">
        <v>36.868911743164062</v>
      </c>
      <c r="O43" s="364">
        <v>21.37755012512207</v>
      </c>
      <c r="P43" s="364">
        <v>15.056751251220703</v>
      </c>
      <c r="Q43" s="364">
        <v>0</v>
      </c>
      <c r="R43" s="364">
        <v>0</v>
      </c>
      <c r="S43" s="364">
        <v>6.320798397064209</v>
      </c>
      <c r="T43" s="364"/>
      <c r="U43" s="364">
        <v>0.83354604244232178</v>
      </c>
      <c r="V43" s="364">
        <v>5.7259950637817383</v>
      </c>
      <c r="W43" s="364">
        <v>0.3369777500629425</v>
      </c>
      <c r="X43" s="364">
        <v>0.3369777500629425</v>
      </c>
      <c r="Y43" s="364"/>
    </row>
    <row r="44" spans="1:25" ht="29" x14ac:dyDescent="0.35">
      <c r="A44" s="364" t="s">
        <v>210</v>
      </c>
      <c r="B44" s="364" t="s">
        <v>669</v>
      </c>
      <c r="C44" s="364" t="s">
        <v>666</v>
      </c>
      <c r="D44" s="364">
        <v>0</v>
      </c>
      <c r="E44" s="364">
        <v>69.243626028593596</v>
      </c>
      <c r="F44" s="364">
        <v>18.755977630615234</v>
      </c>
      <c r="G44" s="364">
        <v>10.362574577331543</v>
      </c>
      <c r="H44" s="364">
        <v>8.3934030532836914</v>
      </c>
      <c r="I44" s="364">
        <v>18.729400634765625</v>
      </c>
      <c r="J44" s="364">
        <v>18.729400634765625</v>
      </c>
      <c r="K44" s="364">
        <v>0</v>
      </c>
      <c r="L44" s="364">
        <v>1.8370000123977661</v>
      </c>
      <c r="M44" s="364">
        <v>9.8081089556217194E-2</v>
      </c>
      <c r="N44" s="364">
        <v>14.244318008422852</v>
      </c>
      <c r="O44" s="364">
        <v>4.4850821495056152</v>
      </c>
      <c r="P44" s="364">
        <v>4.0451803207397461</v>
      </c>
      <c r="Q44" s="364">
        <v>0</v>
      </c>
      <c r="R44" s="364">
        <v>0</v>
      </c>
      <c r="S44" s="364">
        <v>0.43990173935890198</v>
      </c>
      <c r="T44" s="364"/>
      <c r="U44" s="364">
        <v>0.99858301877975464</v>
      </c>
      <c r="V44" s="364">
        <v>1.3745925426483154</v>
      </c>
      <c r="W44" s="364">
        <v>0.53435802459716797</v>
      </c>
      <c r="X44" s="364">
        <v>0.53435802459716797</v>
      </c>
      <c r="Y44" s="364"/>
    </row>
    <row r="45" spans="1:25" ht="29" x14ac:dyDescent="0.35">
      <c r="A45" s="364" t="s">
        <v>84</v>
      </c>
      <c r="B45" s="364" t="s">
        <v>670</v>
      </c>
      <c r="C45" s="364" t="s">
        <v>666</v>
      </c>
      <c r="D45" s="364">
        <v>0</v>
      </c>
      <c r="E45" s="364">
        <v>3353.4704968863302</v>
      </c>
      <c r="F45" s="364">
        <v>1006.0411987304688</v>
      </c>
      <c r="G45" s="364">
        <v>848.10137939453125</v>
      </c>
      <c r="H45" s="364">
        <v>157.93980407714844</v>
      </c>
      <c r="I45" s="364">
        <v>670.694091796875</v>
      </c>
      <c r="J45" s="364">
        <v>670.694091796875</v>
      </c>
      <c r="K45" s="364">
        <v>0</v>
      </c>
      <c r="L45" s="364">
        <v>120.72493743896484</v>
      </c>
      <c r="M45" s="364">
        <v>0.18000000715255737</v>
      </c>
      <c r="N45" s="364">
        <v>623.38385009765625</v>
      </c>
      <c r="O45" s="364">
        <v>47.310260772705078</v>
      </c>
      <c r="P45" s="364">
        <v>38.794414520263672</v>
      </c>
      <c r="Q45" s="364">
        <v>0</v>
      </c>
      <c r="R45" s="364">
        <v>0</v>
      </c>
      <c r="S45" s="364">
        <v>8.5158472061157227</v>
      </c>
      <c r="T45" s="364"/>
      <c r="U45" s="364">
        <v>0.66666662693023682</v>
      </c>
      <c r="V45" s="364">
        <v>0.73503458499908447</v>
      </c>
      <c r="W45" s="364">
        <v>0.29954615235328674</v>
      </c>
      <c r="X45" s="364">
        <v>0.29954615235328674</v>
      </c>
      <c r="Y45" s="364"/>
    </row>
    <row r="46" spans="1:25" ht="29" x14ac:dyDescent="0.35">
      <c r="A46" s="364" t="s">
        <v>211</v>
      </c>
      <c r="B46" s="364" t="s">
        <v>671</v>
      </c>
      <c r="C46" s="364" t="s">
        <v>666</v>
      </c>
      <c r="D46" s="364">
        <v>0</v>
      </c>
      <c r="E46" s="364">
        <v>2266.0292406453395</v>
      </c>
      <c r="F46" s="364">
        <v>679.80877685546875</v>
      </c>
      <c r="G46" s="364">
        <v>285.08001708984375</v>
      </c>
      <c r="H46" s="364">
        <v>394.728759765625</v>
      </c>
      <c r="I46" s="364">
        <v>543.76495361328125</v>
      </c>
      <c r="J46" s="364">
        <v>543.76495361328125</v>
      </c>
      <c r="K46" s="364">
        <v>0</v>
      </c>
      <c r="L46" s="364">
        <v>97.877693176269531</v>
      </c>
      <c r="M46" s="364">
        <v>0.18000000715255737</v>
      </c>
      <c r="N46" s="364">
        <v>476.34088134765625</v>
      </c>
      <c r="O46" s="364">
        <v>67.424064636230469</v>
      </c>
      <c r="P46" s="364">
        <v>55.287731170654297</v>
      </c>
      <c r="Q46" s="364">
        <v>0</v>
      </c>
      <c r="R46" s="364">
        <v>0</v>
      </c>
      <c r="S46" s="364">
        <v>12.136331558227539</v>
      </c>
      <c r="T46" s="364"/>
      <c r="U46" s="364">
        <v>0.79987925291061401</v>
      </c>
      <c r="V46" s="364">
        <v>1.6709023714065552</v>
      </c>
      <c r="W46" s="364">
        <v>0.17081113159656525</v>
      </c>
      <c r="X46" s="364">
        <v>0.17081113159656525</v>
      </c>
      <c r="Y46" s="364"/>
    </row>
    <row r="47" spans="1:25" ht="29" x14ac:dyDescent="0.35">
      <c r="A47" s="364" t="s">
        <v>86</v>
      </c>
      <c r="B47" s="364" t="s">
        <v>672</v>
      </c>
      <c r="C47" s="364" t="s">
        <v>666</v>
      </c>
      <c r="D47" s="364">
        <v>0</v>
      </c>
      <c r="E47" s="364">
        <v>406.92000459407399</v>
      </c>
      <c r="F47" s="364">
        <v>113.24777984619141</v>
      </c>
      <c r="G47" s="364">
        <v>84.901512145996094</v>
      </c>
      <c r="H47" s="364">
        <v>28.346267700195312</v>
      </c>
      <c r="I47" s="364">
        <v>110.61428070068359</v>
      </c>
      <c r="J47" s="364">
        <v>110.61428070068359</v>
      </c>
      <c r="K47" s="364">
        <v>0</v>
      </c>
      <c r="L47" s="364">
        <v>20.680852890014648</v>
      </c>
      <c r="M47" s="364">
        <v>0.18696367740631104</v>
      </c>
      <c r="N47" s="364">
        <v>102.25677490234375</v>
      </c>
      <c r="O47" s="364">
        <v>8.3575057983398438</v>
      </c>
      <c r="P47" s="364">
        <v>6.7949557304382324</v>
      </c>
      <c r="Q47" s="364">
        <v>0</v>
      </c>
      <c r="R47" s="364">
        <v>0</v>
      </c>
      <c r="S47" s="364">
        <v>1.5625500679016113</v>
      </c>
      <c r="T47" s="364"/>
      <c r="U47" s="364">
        <v>0.97674566507339478</v>
      </c>
      <c r="V47" s="364">
        <v>1.2044163942337036</v>
      </c>
      <c r="W47" s="364">
        <v>0.29483619332313538</v>
      </c>
      <c r="X47" s="364">
        <v>0.29483619332313538</v>
      </c>
      <c r="Y47" s="364"/>
    </row>
    <row r="48" spans="1:25" ht="31" x14ac:dyDescent="0.35">
      <c r="A48" s="368" t="s">
        <v>673</v>
      </c>
      <c r="B48" s="364"/>
      <c r="C48" s="364"/>
      <c r="D48" s="364"/>
      <c r="E48" s="364"/>
      <c r="F48" s="364"/>
      <c r="G48" s="364"/>
      <c r="H48" s="364"/>
      <c r="I48" s="364"/>
      <c r="J48" s="364"/>
      <c r="K48" s="364"/>
      <c r="L48" s="364"/>
      <c r="M48" s="364"/>
      <c r="N48" s="364"/>
      <c r="O48" s="364"/>
      <c r="P48" s="364"/>
      <c r="Q48" s="364"/>
      <c r="R48" s="364"/>
      <c r="S48" s="364"/>
      <c r="T48" s="364"/>
      <c r="U48" s="364"/>
      <c r="V48" s="364"/>
      <c r="W48" s="364"/>
      <c r="X48" s="364"/>
      <c r="Y48" s="364"/>
    </row>
    <row r="49" spans="1:25" ht="29" x14ac:dyDescent="0.35">
      <c r="A49" s="364" t="s">
        <v>305</v>
      </c>
      <c r="B49" s="364" t="s">
        <v>674</v>
      </c>
      <c r="C49" s="364" t="s">
        <v>675</v>
      </c>
      <c r="D49" s="364">
        <v>1</v>
      </c>
      <c r="E49" s="364">
        <v>3.2793435436041598</v>
      </c>
      <c r="F49" s="364">
        <v>0.98380309343338013</v>
      </c>
      <c r="G49" s="364">
        <v>0.64661920070648193</v>
      </c>
      <c r="H49" s="364">
        <v>0.33718389272689819</v>
      </c>
      <c r="I49" s="364">
        <v>0.87906384468078613</v>
      </c>
      <c r="J49" s="364">
        <v>0</v>
      </c>
      <c r="K49" s="364">
        <v>0</v>
      </c>
      <c r="L49" s="364">
        <v>4.3953191488981247E-2</v>
      </c>
      <c r="M49" s="364">
        <v>5.000000074505806E-2</v>
      </c>
      <c r="N49" s="364">
        <v>0.32793435454368591</v>
      </c>
      <c r="O49" s="364">
        <v>0.55112951993942261</v>
      </c>
      <c r="P49" s="364">
        <v>0.49190151691436768</v>
      </c>
      <c r="Q49" s="364">
        <v>0</v>
      </c>
      <c r="R49" s="364">
        <v>3.1671550124883652E-2</v>
      </c>
      <c r="S49" s="364">
        <v>2.755647711455822E-2</v>
      </c>
      <c r="T49" s="364"/>
      <c r="U49" s="364">
        <v>0.89353638887405396</v>
      </c>
      <c r="V49" s="364">
        <v>0.50715219974517822</v>
      </c>
      <c r="W49" s="364">
        <v>1.6345072984695435</v>
      </c>
      <c r="X49" s="364">
        <v>6.3648042678833008</v>
      </c>
      <c r="Y49" s="364">
        <v>0.38012596964836121</v>
      </c>
    </row>
    <row r="50" spans="1:25" ht="29" x14ac:dyDescent="0.35">
      <c r="A50" s="364" t="s">
        <v>302</v>
      </c>
      <c r="B50" s="364" t="s">
        <v>676</v>
      </c>
      <c r="C50" s="364" t="s">
        <v>675</v>
      </c>
      <c r="D50" s="364">
        <v>1</v>
      </c>
      <c r="E50" s="364">
        <v>0.39493624792746901</v>
      </c>
      <c r="F50" s="364">
        <v>0.1184808760881424</v>
      </c>
      <c r="G50" s="364">
        <v>7.7873319387435913E-2</v>
      </c>
      <c r="H50" s="364">
        <v>4.0607556700706482E-2</v>
      </c>
      <c r="I50" s="364">
        <v>0.10436086356639862</v>
      </c>
      <c r="J50" s="364">
        <v>0</v>
      </c>
      <c r="K50" s="364">
        <v>0</v>
      </c>
      <c r="L50" s="364">
        <v>5.2180429920554161E-3</v>
      </c>
      <c r="M50" s="364">
        <v>4.9999997019767761E-2</v>
      </c>
      <c r="N50" s="364">
        <v>3.9493624120950699E-2</v>
      </c>
      <c r="O50" s="364">
        <v>6.486724317073822E-2</v>
      </c>
      <c r="P50" s="364">
        <v>5.9240438044071198E-2</v>
      </c>
      <c r="Q50" s="364">
        <v>0</v>
      </c>
      <c r="R50" s="364">
        <v>2.3834460880607367E-3</v>
      </c>
      <c r="S50" s="364">
        <v>3.2433622982352972E-3</v>
      </c>
      <c r="T50" s="364"/>
      <c r="U50" s="364">
        <v>0.88082456588745117</v>
      </c>
      <c r="V50" s="364">
        <v>0.50715219974517822</v>
      </c>
      <c r="W50" s="364">
        <v>1.5974180698394775</v>
      </c>
      <c r="X50" s="364">
        <v>6.3648042678833008</v>
      </c>
      <c r="Y50" s="364">
        <v>4.4273033738136292E-2</v>
      </c>
    </row>
    <row r="51" spans="1:25" ht="29" x14ac:dyDescent="0.35">
      <c r="A51" s="364" t="s">
        <v>300</v>
      </c>
      <c r="B51" s="364" t="s">
        <v>677</v>
      </c>
      <c r="C51" s="364" t="s">
        <v>675</v>
      </c>
      <c r="D51" s="364">
        <v>1</v>
      </c>
      <c r="E51" s="364">
        <v>3.3806125733292198</v>
      </c>
      <c r="F51" s="364">
        <v>1.0141837596893311</v>
      </c>
      <c r="G51" s="364">
        <v>0.66658735275268555</v>
      </c>
      <c r="H51" s="364">
        <v>0.34759640693664551</v>
      </c>
      <c r="I51" s="364">
        <v>0.88463115692138672</v>
      </c>
      <c r="J51" s="364">
        <v>0</v>
      </c>
      <c r="K51" s="364">
        <v>0</v>
      </c>
      <c r="L51" s="364">
        <v>4.4231556355953217E-2</v>
      </c>
      <c r="M51" s="364">
        <v>4.9999997019767761E-2</v>
      </c>
      <c r="N51" s="364">
        <v>0.33806124329566956</v>
      </c>
      <c r="O51" s="364">
        <v>0.54656988382339478</v>
      </c>
      <c r="P51" s="364">
        <v>0.50709187984466553</v>
      </c>
      <c r="Q51" s="364">
        <v>0</v>
      </c>
      <c r="R51" s="364">
        <v>1.2149537913501263E-2</v>
      </c>
      <c r="S51" s="364">
        <v>2.7328494936227798E-2</v>
      </c>
      <c r="T51" s="364"/>
      <c r="U51" s="364">
        <v>0.87225925922393799</v>
      </c>
      <c r="V51" s="364">
        <v>0.50715219974517822</v>
      </c>
      <c r="W51" s="364">
        <v>1.5724267959594727</v>
      </c>
      <c r="X51" s="364">
        <v>3.7937572002410889</v>
      </c>
      <c r="Y51" s="364">
        <v>0.37028563022613525</v>
      </c>
    </row>
    <row r="52" spans="1:25" ht="29" x14ac:dyDescent="0.35">
      <c r="A52" s="364" t="s">
        <v>303</v>
      </c>
      <c r="B52" s="364" t="s">
        <v>678</v>
      </c>
      <c r="C52" s="364" t="s">
        <v>675</v>
      </c>
      <c r="D52" s="364">
        <v>1</v>
      </c>
      <c r="E52" s="364">
        <v>1.8677333333333299</v>
      </c>
      <c r="F52" s="364">
        <v>0.56032001972198486</v>
      </c>
      <c r="G52" s="364">
        <v>0.36827865242958069</v>
      </c>
      <c r="H52" s="364">
        <v>0.19204136729240417</v>
      </c>
      <c r="I52" s="364">
        <v>0.49431923031806946</v>
      </c>
      <c r="J52" s="364">
        <v>0</v>
      </c>
      <c r="K52" s="364">
        <v>0</v>
      </c>
      <c r="L52" s="364">
        <v>2.4715961888432503E-2</v>
      </c>
      <c r="M52" s="364">
        <v>5.000000074505806E-2</v>
      </c>
      <c r="N52" s="364">
        <v>0.18677332997322083</v>
      </c>
      <c r="O52" s="364">
        <v>0.30754590034484863</v>
      </c>
      <c r="P52" s="364">
        <v>0.28016000986099243</v>
      </c>
      <c r="Q52" s="364">
        <v>0</v>
      </c>
      <c r="R52" s="364">
        <v>1.2008605524897575E-2</v>
      </c>
      <c r="S52" s="364">
        <v>1.5377295203506947E-2</v>
      </c>
      <c r="T52" s="364"/>
      <c r="U52" s="364">
        <v>0.88220876455307007</v>
      </c>
      <c r="V52" s="364">
        <v>0.50715219974517822</v>
      </c>
      <c r="W52" s="364">
        <v>1.6014565229415894</v>
      </c>
      <c r="X52" s="364">
        <v>6.3648042678833008</v>
      </c>
      <c r="Y52" s="364">
        <v>0.21015170216560364</v>
      </c>
    </row>
    <row r="53" spans="1:25" ht="29" x14ac:dyDescent="0.35">
      <c r="A53" s="364" t="s">
        <v>679</v>
      </c>
      <c r="B53" s="364" t="s">
        <v>680</v>
      </c>
      <c r="C53" s="364" t="s">
        <v>675</v>
      </c>
      <c r="D53" s="364">
        <v>1</v>
      </c>
      <c r="E53" s="364">
        <v>0.56230103485168703</v>
      </c>
      <c r="F53" s="364">
        <v>0.16869032382965088</v>
      </c>
      <c r="G53" s="364">
        <v>0.11087421327829361</v>
      </c>
      <c r="H53" s="364">
        <v>5.7816110551357269E-2</v>
      </c>
      <c r="I53" s="364">
        <v>0.18951632082462311</v>
      </c>
      <c r="J53" s="364">
        <v>0</v>
      </c>
      <c r="K53" s="364">
        <v>0</v>
      </c>
      <c r="L53" s="364">
        <v>9.4758160412311554E-3</v>
      </c>
      <c r="M53" s="364">
        <v>5.000000074505806E-2</v>
      </c>
      <c r="N53" s="364">
        <v>5.6230101734399796E-2</v>
      </c>
      <c r="O53" s="364">
        <v>0.13328622281551361</v>
      </c>
      <c r="P53" s="364">
        <v>8.4345154464244843E-2</v>
      </c>
      <c r="Q53" s="364">
        <v>0</v>
      </c>
      <c r="R53" s="364">
        <v>4.227675125002861E-2</v>
      </c>
      <c r="S53" s="364">
        <v>6.6643110476434231E-3</v>
      </c>
      <c r="T53" s="364"/>
      <c r="U53" s="364">
        <v>1.1234569549560547</v>
      </c>
      <c r="V53" s="364">
        <v>0.50715219974517822</v>
      </c>
      <c r="W53" s="364">
        <v>2.3053474426269531</v>
      </c>
      <c r="X53" s="364">
        <v>6.3648042678833008</v>
      </c>
      <c r="Y53" s="364">
        <v>0.10396465659141541</v>
      </c>
    </row>
    <row r="54" spans="1:25" ht="29" x14ac:dyDescent="0.35">
      <c r="A54" s="364" t="s">
        <v>308</v>
      </c>
      <c r="B54" s="364" t="s">
        <v>681</v>
      </c>
      <c r="C54" s="364" t="s">
        <v>675</v>
      </c>
      <c r="D54" s="364">
        <v>1</v>
      </c>
      <c r="E54" s="364">
        <v>46.680398936170199</v>
      </c>
      <c r="F54" s="364">
        <v>14.004119873046875</v>
      </c>
      <c r="G54" s="364">
        <v>9.2044162750244141</v>
      </c>
      <c r="H54" s="364">
        <v>4.7997035980224609</v>
      </c>
      <c r="I54" s="364">
        <v>13.980457305908203</v>
      </c>
      <c r="J54" s="364">
        <v>0</v>
      </c>
      <c r="K54" s="364">
        <v>0</v>
      </c>
      <c r="L54" s="364">
        <v>0.69902288913726807</v>
      </c>
      <c r="M54" s="364">
        <v>5.000000074505806E-2</v>
      </c>
      <c r="N54" s="364">
        <v>4.6680397987365723</v>
      </c>
      <c r="O54" s="364">
        <v>9.3124179840087891</v>
      </c>
      <c r="P54" s="364">
        <v>7.0020599365234375</v>
      </c>
      <c r="Q54" s="364">
        <v>0</v>
      </c>
      <c r="R54" s="364">
        <v>1.84473717212677</v>
      </c>
      <c r="S54" s="364">
        <v>0.46562090516090393</v>
      </c>
      <c r="T54" s="364"/>
      <c r="U54" s="364">
        <v>0.99831032752990723</v>
      </c>
      <c r="V54" s="364">
        <v>0.50715219974517822</v>
      </c>
      <c r="W54" s="364">
        <v>1.9402068853378296</v>
      </c>
      <c r="X54" s="364">
        <v>3.7937572002410889</v>
      </c>
      <c r="Y54" s="364">
        <v>6.8782377243041992</v>
      </c>
    </row>
    <row r="55" spans="1:25" ht="29" x14ac:dyDescent="0.35">
      <c r="A55" s="364" t="s">
        <v>307</v>
      </c>
      <c r="B55" s="364" t="s">
        <v>682</v>
      </c>
      <c r="C55" s="364" t="s">
        <v>675</v>
      </c>
      <c r="D55" s="364">
        <v>1</v>
      </c>
      <c r="E55" s="364">
        <v>13.1364</v>
      </c>
      <c r="F55" s="364">
        <v>3.9409201145172119</v>
      </c>
      <c r="G55" s="364">
        <v>2.5902283191680908</v>
      </c>
      <c r="H55" s="364">
        <v>1.3506917953491211</v>
      </c>
      <c r="I55" s="364">
        <v>6.4586381912231445</v>
      </c>
      <c r="J55" s="364">
        <v>0</v>
      </c>
      <c r="K55" s="364">
        <v>0</v>
      </c>
      <c r="L55" s="364">
        <v>0.3229319155216217</v>
      </c>
      <c r="M55" s="364">
        <v>5.000000074505806E-2</v>
      </c>
      <c r="N55" s="364">
        <v>1.3136399984359741</v>
      </c>
      <c r="O55" s="364">
        <v>5.1449980735778809</v>
      </c>
      <c r="P55" s="364">
        <v>1.970460057258606</v>
      </c>
      <c r="Q55" s="364">
        <v>0</v>
      </c>
      <c r="R55" s="364">
        <v>2.9172883033752441</v>
      </c>
      <c r="S55" s="364">
        <v>0.25724992156028748</v>
      </c>
      <c r="T55" s="364"/>
      <c r="U55" s="364">
        <v>1.63886559009552</v>
      </c>
      <c r="V55" s="364">
        <v>0.50715219974517822</v>
      </c>
      <c r="W55" s="364">
        <v>3.8091576099395752</v>
      </c>
      <c r="X55" s="364">
        <v>6.3648042678833008</v>
      </c>
      <c r="Y55" s="364">
        <v>4.459991455078125</v>
      </c>
    </row>
    <row r="56" spans="1:25" ht="29" x14ac:dyDescent="0.35">
      <c r="A56" s="364" t="s">
        <v>313</v>
      </c>
      <c r="B56" s="364" t="s">
        <v>683</v>
      </c>
      <c r="C56" s="364" t="s">
        <v>675</v>
      </c>
      <c r="D56" s="364">
        <v>1</v>
      </c>
      <c r="E56" s="364">
        <v>2.8466999999999998</v>
      </c>
      <c r="F56" s="364">
        <v>0.85401004552841187</v>
      </c>
      <c r="G56" s="364">
        <v>0.56131076812744141</v>
      </c>
      <c r="H56" s="364">
        <v>0.29269927740097046</v>
      </c>
      <c r="I56" s="364">
        <v>0.74925869703292847</v>
      </c>
      <c r="J56" s="364">
        <v>0</v>
      </c>
      <c r="K56" s="364">
        <v>0</v>
      </c>
      <c r="L56" s="364">
        <v>3.7462934851646423E-2</v>
      </c>
      <c r="M56" s="364">
        <v>5.000000074505806E-2</v>
      </c>
      <c r="N56" s="364">
        <v>0.28466999530792236</v>
      </c>
      <c r="O56" s="364">
        <v>0.4645887017250061</v>
      </c>
      <c r="P56" s="364">
        <v>0.42700499296188354</v>
      </c>
      <c r="Q56" s="364">
        <v>0</v>
      </c>
      <c r="R56" s="364">
        <v>1.4354285784065723E-2</v>
      </c>
      <c r="S56" s="364">
        <v>2.3229435086250305E-2</v>
      </c>
      <c r="T56" s="364"/>
      <c r="U56" s="364">
        <v>0.87734180688858032</v>
      </c>
      <c r="V56" s="364">
        <v>0.50715219974517822</v>
      </c>
      <c r="W56" s="364">
        <v>1.5872560739517212</v>
      </c>
      <c r="X56" s="364">
        <v>3.7937572002410889</v>
      </c>
      <c r="Y56" s="364">
        <v>0.3161456286907196</v>
      </c>
    </row>
    <row r="57" spans="1:25" ht="29" x14ac:dyDescent="0.35">
      <c r="A57" s="364" t="s">
        <v>224</v>
      </c>
      <c r="B57" s="364" t="s">
        <v>684</v>
      </c>
      <c r="C57" s="364" t="s">
        <v>675</v>
      </c>
      <c r="D57" s="364">
        <v>1</v>
      </c>
      <c r="E57" s="364">
        <v>7.8279799999999993</v>
      </c>
      <c r="F57" s="364">
        <v>2.3483941555023193</v>
      </c>
      <c r="G57" s="364">
        <v>1.5435168743133545</v>
      </c>
      <c r="H57" s="364">
        <v>0.80487728118896484</v>
      </c>
      <c r="I57" s="364">
        <v>21.287265777587891</v>
      </c>
      <c r="J57" s="364">
        <v>0</v>
      </c>
      <c r="K57" s="364">
        <v>0</v>
      </c>
      <c r="L57" s="364">
        <v>1.0643632411956787</v>
      </c>
      <c r="M57" s="364">
        <v>4.9999997019767761E-2</v>
      </c>
      <c r="N57" s="364">
        <v>0.78279799222946167</v>
      </c>
      <c r="O57" s="364">
        <v>20.504467010498047</v>
      </c>
      <c r="P57" s="364">
        <v>1.1741969585418701</v>
      </c>
      <c r="Q57" s="364">
        <v>0</v>
      </c>
      <c r="R57" s="364">
        <v>18.305046081542969</v>
      </c>
      <c r="S57" s="364">
        <v>1.0252233743667603</v>
      </c>
      <c r="T57" s="364"/>
      <c r="U57" s="364">
        <v>9.0646047592163086</v>
      </c>
      <c r="V57" s="364">
        <v>0.50715219974517822</v>
      </c>
      <c r="W57" s="364">
        <v>25.475271224975586</v>
      </c>
      <c r="X57" s="364">
        <v>0.68365389108657837</v>
      </c>
      <c r="Y57" s="364">
        <v>20.096271514892578</v>
      </c>
    </row>
    <row r="58" spans="1:25" ht="29" x14ac:dyDescent="0.35">
      <c r="A58" s="364" t="s">
        <v>310</v>
      </c>
      <c r="B58" s="364" t="s">
        <v>685</v>
      </c>
      <c r="C58" s="364" t="s">
        <v>675</v>
      </c>
      <c r="D58" s="364">
        <v>1</v>
      </c>
      <c r="E58" s="364">
        <v>6.2573034999999999</v>
      </c>
      <c r="F58" s="364">
        <v>1.8771910667419434</v>
      </c>
      <c r="G58" s="364">
        <v>1.2338117361068726</v>
      </c>
      <c r="H58" s="364">
        <v>0.6433793306350708</v>
      </c>
      <c r="I58" s="364">
        <v>2.9664559364318848</v>
      </c>
      <c r="J58" s="364">
        <v>0</v>
      </c>
      <c r="K58" s="364">
        <v>0</v>
      </c>
      <c r="L58" s="364">
        <v>0.14832279086112976</v>
      </c>
      <c r="M58" s="364">
        <v>4.9999997019767761E-2</v>
      </c>
      <c r="N58" s="364">
        <v>0.62573033571243286</v>
      </c>
      <c r="O58" s="364">
        <v>2.3407256603240967</v>
      </c>
      <c r="P58" s="364">
        <v>0.93859553337097168</v>
      </c>
      <c r="Q58" s="364">
        <v>0</v>
      </c>
      <c r="R58" s="364">
        <v>1.2850937843322754</v>
      </c>
      <c r="S58" s="364">
        <v>0.11703628301620483</v>
      </c>
      <c r="T58" s="364"/>
      <c r="U58" s="364">
        <v>1.5802631378173828</v>
      </c>
      <c r="V58" s="364">
        <v>0.50715219974517822</v>
      </c>
      <c r="W58" s="364">
        <v>3.6381735801696777</v>
      </c>
      <c r="X58" s="364">
        <v>62.115943908691406</v>
      </c>
      <c r="Y58" s="364">
        <v>2.0144343376159668</v>
      </c>
    </row>
    <row r="59" spans="1:25" ht="29" x14ac:dyDescent="0.35">
      <c r="A59" s="364" t="s">
        <v>337</v>
      </c>
      <c r="B59" s="364" t="s">
        <v>686</v>
      </c>
      <c r="C59" s="364" t="s">
        <v>675</v>
      </c>
      <c r="D59" s="364">
        <v>1</v>
      </c>
      <c r="E59" s="364">
        <v>3.0751808347241703</v>
      </c>
      <c r="F59" s="364">
        <v>0.92255431413650513</v>
      </c>
      <c r="G59" s="364">
        <v>0.60636252164840698</v>
      </c>
      <c r="H59" s="364">
        <v>0.31619179248809814</v>
      </c>
      <c r="I59" s="364">
        <v>13.441296577453613</v>
      </c>
      <c r="J59" s="364">
        <v>0</v>
      </c>
      <c r="K59" s="364">
        <v>0</v>
      </c>
      <c r="L59" s="364">
        <v>0.67206484079360962</v>
      </c>
      <c r="M59" s="364">
        <v>5.000000074505806E-2</v>
      </c>
      <c r="N59" s="364">
        <v>0.30751809477806091</v>
      </c>
      <c r="O59" s="364">
        <v>13.13377857208252</v>
      </c>
      <c r="P59" s="364">
        <v>0.46127712726593018</v>
      </c>
      <c r="Q59" s="364">
        <v>0</v>
      </c>
      <c r="R59" s="364">
        <v>12.015812873840332</v>
      </c>
      <c r="S59" s="364">
        <v>0.65668892860412598</v>
      </c>
      <c r="T59" s="364"/>
      <c r="U59" s="364">
        <v>14.569653511047363</v>
      </c>
      <c r="V59" s="364">
        <v>0.50715219974517822</v>
      </c>
      <c r="W59" s="364">
        <v>41.537380218505859</v>
      </c>
      <c r="X59" s="364">
        <v>6.3648042678833008</v>
      </c>
      <c r="Y59" s="364">
        <v>12.973421096801758</v>
      </c>
    </row>
    <row r="60" spans="1:25" ht="29" x14ac:dyDescent="0.35">
      <c r="A60" s="364" t="s">
        <v>326</v>
      </c>
      <c r="B60" s="364" t="s">
        <v>687</v>
      </c>
      <c r="C60" s="364" t="s">
        <v>675</v>
      </c>
      <c r="D60" s="364">
        <v>1</v>
      </c>
      <c r="E60" s="364">
        <v>6.6008439633758496</v>
      </c>
      <c r="F60" s="364">
        <v>1.9802532196044922</v>
      </c>
      <c r="G60" s="364">
        <v>1.3015508651733398</v>
      </c>
      <c r="H60" s="364">
        <v>0.67870235443115234</v>
      </c>
      <c r="I60" s="364">
        <v>39.075618743896484</v>
      </c>
      <c r="J60" s="364">
        <v>0</v>
      </c>
      <c r="K60" s="364">
        <v>0</v>
      </c>
      <c r="L60" s="364">
        <v>1.9537808895111084</v>
      </c>
      <c r="M60" s="364">
        <v>4.9999997019767761E-2</v>
      </c>
      <c r="N60" s="364">
        <v>0.66008436679840088</v>
      </c>
      <c r="O60" s="364">
        <v>38.415534973144531</v>
      </c>
      <c r="P60" s="364">
        <v>0.99012660980224609</v>
      </c>
      <c r="Q60" s="364">
        <v>0</v>
      </c>
      <c r="R60" s="364">
        <v>35.504631042480469</v>
      </c>
      <c r="S60" s="364">
        <v>1.9207767248153687</v>
      </c>
      <c r="T60" s="364"/>
      <c r="U60" s="364">
        <v>19.732637405395508</v>
      </c>
      <c r="V60" s="364">
        <v>0.50715219974517822</v>
      </c>
      <c r="W60" s="364">
        <v>56.601448059082031</v>
      </c>
      <c r="X60" s="364">
        <v>3.6061775684356689</v>
      </c>
      <c r="Y60" s="364">
        <v>38.071331024169922</v>
      </c>
    </row>
    <row r="61" spans="1:25" ht="29" x14ac:dyDescent="0.35">
      <c r="A61" s="364" t="s">
        <v>338</v>
      </c>
      <c r="B61" s="364" t="s">
        <v>688</v>
      </c>
      <c r="C61" s="364" t="s">
        <v>675</v>
      </c>
      <c r="D61" s="364">
        <v>1</v>
      </c>
      <c r="E61" s="364">
        <v>30.976176886852098</v>
      </c>
      <c r="F61" s="364">
        <v>9.2928533554077148</v>
      </c>
      <c r="G61" s="364">
        <v>6.1078658103942871</v>
      </c>
      <c r="H61" s="364">
        <v>1.3082426786422729</v>
      </c>
      <c r="I61" s="364">
        <v>16.027559280395508</v>
      </c>
      <c r="J61" s="364">
        <v>0</v>
      </c>
      <c r="K61" s="364">
        <v>0</v>
      </c>
      <c r="L61" s="364">
        <v>0.80137795209884644</v>
      </c>
      <c r="M61" s="364">
        <v>5.000000074505806E-2</v>
      </c>
      <c r="N61" s="364">
        <v>3.0976176261901855</v>
      </c>
      <c r="O61" s="364">
        <v>12.929941177368164</v>
      </c>
      <c r="P61" s="364">
        <v>4.6464266777038574</v>
      </c>
      <c r="Q61" s="364">
        <v>0</v>
      </c>
      <c r="R61" s="364">
        <v>7.6370177268981934</v>
      </c>
      <c r="S61" s="364">
        <v>0.64649707078933716</v>
      </c>
      <c r="T61" s="364"/>
      <c r="U61" s="364">
        <v>1.7247188091278076</v>
      </c>
      <c r="V61" s="364">
        <v>0.50715219974517822</v>
      </c>
      <c r="W61" s="364">
        <v>9.8834428787231445</v>
      </c>
      <c r="X61" s="364">
        <v>3.7937572002410889</v>
      </c>
      <c r="Y61" s="364">
        <v>12.266463279724121</v>
      </c>
    </row>
    <row r="62" spans="1:25" ht="29" x14ac:dyDescent="0.35">
      <c r="A62" s="364" t="s">
        <v>575</v>
      </c>
      <c r="B62" s="364" t="s">
        <v>689</v>
      </c>
      <c r="C62" s="364" t="s">
        <v>675</v>
      </c>
      <c r="D62" s="364">
        <v>1</v>
      </c>
      <c r="E62" s="364">
        <v>5.9553400265885772</v>
      </c>
      <c r="F62" s="364">
        <v>1.7866020202636719</v>
      </c>
      <c r="G62" s="364">
        <v>1.1742708683013916</v>
      </c>
      <c r="H62" s="364">
        <v>0.61233115196228027</v>
      </c>
      <c r="I62" s="364">
        <v>-4.1721067428588867</v>
      </c>
      <c r="J62" s="364">
        <v>0</v>
      </c>
      <c r="K62" s="364">
        <v>0</v>
      </c>
      <c r="L62" s="364">
        <v>-0.2086053341627121</v>
      </c>
      <c r="M62" s="364">
        <v>5.000000074505806E-2</v>
      </c>
      <c r="N62" s="364">
        <v>0.59553402662277222</v>
      </c>
      <c r="O62" s="364">
        <v>-4.7676405906677246</v>
      </c>
      <c r="P62" s="364">
        <v>0.89330101013183594</v>
      </c>
      <c r="Q62" s="364">
        <v>0</v>
      </c>
      <c r="R62" s="364">
        <v>-5.7079572677612305</v>
      </c>
      <c r="S62" s="364">
        <v>4.701584205031395E-2</v>
      </c>
      <c r="T62" s="364"/>
      <c r="U62" s="364">
        <v>-2.3352189064025879</v>
      </c>
      <c r="V62" s="364">
        <v>0.50715219974517822</v>
      </c>
      <c r="W62" s="364">
        <v>-7.7860493659973145</v>
      </c>
      <c r="X62" s="364">
        <v>3.7937572002410889</v>
      </c>
      <c r="Y62" s="364">
        <v>0</v>
      </c>
    </row>
    <row r="63" spans="1:25" ht="29" x14ac:dyDescent="0.35">
      <c r="A63" s="364" t="s">
        <v>574</v>
      </c>
      <c r="B63" s="364" t="s">
        <v>690</v>
      </c>
      <c r="C63" s="364" t="s">
        <v>675</v>
      </c>
      <c r="D63" s="364">
        <v>1</v>
      </c>
      <c r="E63" s="364">
        <v>3.5021726984559169</v>
      </c>
      <c r="F63" s="364">
        <v>1.0506519079208374</v>
      </c>
      <c r="G63" s="364">
        <v>0.69055658578872681</v>
      </c>
      <c r="H63" s="364">
        <v>0.3600953221321106</v>
      </c>
      <c r="I63" s="364">
        <v>0.79585957527160645</v>
      </c>
      <c r="J63" s="364">
        <v>0</v>
      </c>
      <c r="K63" s="364">
        <v>0</v>
      </c>
      <c r="L63" s="364">
        <v>3.9792977273464203E-2</v>
      </c>
      <c r="M63" s="364">
        <v>4.9999997019767761E-2</v>
      </c>
      <c r="N63" s="364">
        <v>0.35021728277206421</v>
      </c>
      <c r="O63" s="364">
        <v>0.44564229249954224</v>
      </c>
      <c r="P63" s="364">
        <v>0.52532589435577393</v>
      </c>
      <c r="Q63" s="364">
        <v>0</v>
      </c>
      <c r="R63" s="364">
        <v>-0.10733233392238617</v>
      </c>
      <c r="S63" s="364">
        <v>2.764873206615448E-2</v>
      </c>
      <c r="T63" s="364"/>
      <c r="U63" s="364">
        <v>0.75749117136001587</v>
      </c>
      <c r="V63" s="364">
        <v>0.50715219974517822</v>
      </c>
      <c r="W63" s="364">
        <v>1.2375675439834595</v>
      </c>
      <c r="X63" s="364">
        <v>3.7937572002410889</v>
      </c>
      <c r="Y63" s="364">
        <v>0.2630191445350647</v>
      </c>
    </row>
    <row r="64" spans="1:25" ht="29" x14ac:dyDescent="0.35">
      <c r="A64" s="364" t="s">
        <v>359</v>
      </c>
      <c r="B64" s="364" t="s">
        <v>691</v>
      </c>
      <c r="C64" s="364" t="s">
        <v>675</v>
      </c>
      <c r="D64" s="364">
        <v>1</v>
      </c>
      <c r="E64" s="364">
        <v>1.22457777777778</v>
      </c>
      <c r="F64" s="364">
        <v>0.36737334728240967</v>
      </c>
      <c r="G64" s="364">
        <v>0.24146158993244171</v>
      </c>
      <c r="H64" s="364">
        <v>0.12591175734996796</v>
      </c>
      <c r="I64" s="364">
        <v>0.33767321705818176</v>
      </c>
      <c r="J64" s="364">
        <v>0</v>
      </c>
      <c r="K64" s="364">
        <v>0</v>
      </c>
      <c r="L64" s="364">
        <v>1.6883660107851028E-2</v>
      </c>
      <c r="M64" s="364">
        <v>4.9999997019767761E-2</v>
      </c>
      <c r="N64" s="364">
        <v>0.12245777994394302</v>
      </c>
      <c r="O64" s="364">
        <v>0.21521544456481934</v>
      </c>
      <c r="P64" s="364">
        <v>0.18368667364120483</v>
      </c>
      <c r="Q64" s="364">
        <v>0</v>
      </c>
      <c r="R64" s="364">
        <v>2.0768005400896072E-2</v>
      </c>
      <c r="S64" s="364">
        <v>1.0760772973299026E-2</v>
      </c>
      <c r="T64" s="364"/>
      <c r="U64" s="364">
        <v>0.91915547847747803</v>
      </c>
      <c r="V64" s="364">
        <v>0.50715219974517822</v>
      </c>
      <c r="W64" s="364">
        <v>1.7092561721801758</v>
      </c>
      <c r="X64" s="364">
        <v>6.3648042678833008</v>
      </c>
      <c r="Y64" s="364">
        <v>0.15135902166366577</v>
      </c>
    </row>
    <row r="65" spans="1:25" ht="29" x14ac:dyDescent="0.35">
      <c r="A65" s="364" t="s">
        <v>329</v>
      </c>
      <c r="B65" s="364" t="s">
        <v>692</v>
      </c>
      <c r="C65" s="364" t="s">
        <v>675</v>
      </c>
      <c r="D65" s="364">
        <v>1</v>
      </c>
      <c r="E65" s="364">
        <v>358.681066274469</v>
      </c>
      <c r="F65" s="364">
        <v>107.60432434082031</v>
      </c>
      <c r="G65" s="364">
        <v>70.724540710449219</v>
      </c>
      <c r="H65" s="364">
        <v>36.879783630371094</v>
      </c>
      <c r="I65" s="364">
        <v>145.54547119140625</v>
      </c>
      <c r="J65" s="364">
        <v>0</v>
      </c>
      <c r="K65" s="364">
        <v>0</v>
      </c>
      <c r="L65" s="364">
        <v>7.2772736549377441</v>
      </c>
      <c r="M65" s="364">
        <v>5.000000074505806E-2</v>
      </c>
      <c r="N65" s="364">
        <v>35.868106842041016</v>
      </c>
      <c r="O65" s="364">
        <v>109.6773681640625</v>
      </c>
      <c r="P65" s="364">
        <v>53.802158355712891</v>
      </c>
      <c r="Q65" s="364">
        <v>0</v>
      </c>
      <c r="R65" s="364">
        <v>50.391338348388672</v>
      </c>
      <c r="S65" s="364">
        <v>5.4838681221008301</v>
      </c>
      <c r="T65" s="364"/>
      <c r="U65" s="364">
        <v>1.3525986671447754</v>
      </c>
      <c r="V65" s="364">
        <v>0.50715219974517822</v>
      </c>
      <c r="W65" s="364">
        <v>2.9739158153533936</v>
      </c>
      <c r="X65" s="364">
        <v>2.9377179145812988</v>
      </c>
      <c r="Y65" s="364">
        <v>90.973709106445312</v>
      </c>
    </row>
    <row r="66" spans="1:25" ht="29" x14ac:dyDescent="0.35">
      <c r="A66" s="364" t="s">
        <v>576</v>
      </c>
      <c r="B66" s="364" t="s">
        <v>693</v>
      </c>
      <c r="C66" s="364" t="s">
        <v>675</v>
      </c>
      <c r="D66" s="364">
        <v>1</v>
      </c>
      <c r="E66" s="364">
        <v>9.1890298684051199</v>
      </c>
      <c r="F66" s="364">
        <v>2.756709098815918</v>
      </c>
      <c r="G66" s="364">
        <v>1.8118879795074463</v>
      </c>
      <c r="H66" s="364">
        <v>0.94482111930847168</v>
      </c>
      <c r="I66" s="364">
        <v>2.5791985988616943</v>
      </c>
      <c r="J66" s="364">
        <v>0</v>
      </c>
      <c r="K66" s="364">
        <v>0</v>
      </c>
      <c r="L66" s="364">
        <v>0.12895992398262024</v>
      </c>
      <c r="M66" s="364">
        <v>4.9999997019767761E-2</v>
      </c>
      <c r="N66" s="364">
        <v>0.91890299320220947</v>
      </c>
      <c r="O66" s="364">
        <v>1.6602956056594849</v>
      </c>
      <c r="P66" s="364">
        <v>1.3783544301986694</v>
      </c>
      <c r="Q66" s="364">
        <v>0</v>
      </c>
      <c r="R66" s="364">
        <v>0.19892634451389313</v>
      </c>
      <c r="S66" s="364">
        <v>8.3014778792858124E-2</v>
      </c>
      <c r="T66" s="364"/>
      <c r="U66" s="364">
        <v>0.93560785055160522</v>
      </c>
      <c r="V66" s="364">
        <v>0.50715219974517822</v>
      </c>
      <c r="W66" s="364">
        <v>1.7572592496871948</v>
      </c>
      <c r="X66" s="364">
        <v>3.7937572002410889</v>
      </c>
      <c r="Y66" s="364">
        <v>1.1811275482177734</v>
      </c>
    </row>
    <row r="67" spans="1:25" ht="29" x14ac:dyDescent="0.35">
      <c r="A67" s="364" t="s">
        <v>577</v>
      </c>
      <c r="B67" s="364" t="s">
        <v>694</v>
      </c>
      <c r="C67" s="364" t="s">
        <v>675</v>
      </c>
      <c r="D67" s="364">
        <v>1</v>
      </c>
      <c r="E67" s="364">
        <v>8.6042802054762539</v>
      </c>
      <c r="F67" s="364">
        <v>2.5812840461730957</v>
      </c>
      <c r="G67" s="364">
        <v>1.6965874433517456</v>
      </c>
      <c r="H67" s="364">
        <v>0.8846966028213501</v>
      </c>
      <c r="I67" s="364">
        <v>23.262170791625977</v>
      </c>
      <c r="J67" s="364">
        <v>0</v>
      </c>
      <c r="K67" s="364">
        <v>0</v>
      </c>
      <c r="L67" s="364">
        <v>1.1631085872650146</v>
      </c>
      <c r="M67" s="364">
        <v>5.000000074505806E-2</v>
      </c>
      <c r="N67" s="364">
        <v>0.86042803525924683</v>
      </c>
      <c r="O67" s="364">
        <v>22.401742935180664</v>
      </c>
      <c r="P67" s="364">
        <v>1.2906420230865479</v>
      </c>
      <c r="Q67" s="364">
        <v>0</v>
      </c>
      <c r="R67" s="364">
        <v>19.99101448059082</v>
      </c>
      <c r="S67" s="364">
        <v>1.1200871467590332</v>
      </c>
      <c r="T67" s="364"/>
      <c r="U67" s="364">
        <v>9.0118598937988281</v>
      </c>
      <c r="V67" s="364">
        <v>0.50715219974517822</v>
      </c>
      <c r="W67" s="364">
        <v>25.321384429931641</v>
      </c>
      <c r="X67" s="364">
        <v>3.7937572002410889</v>
      </c>
      <c r="Y67" s="364">
        <v>21.953067779541016</v>
      </c>
    </row>
    <row r="68" spans="1:25" ht="29" x14ac:dyDescent="0.35">
      <c r="A68" s="364" t="s">
        <v>430</v>
      </c>
      <c r="B68" s="364" t="s">
        <v>695</v>
      </c>
      <c r="C68" s="364" t="s">
        <v>675</v>
      </c>
      <c r="D68" s="364">
        <v>1</v>
      </c>
      <c r="E68" s="364">
        <v>0.98142962962962998</v>
      </c>
      <c r="F68" s="364">
        <v>0.29442891478538513</v>
      </c>
      <c r="G68" s="364">
        <v>0.1935177743434906</v>
      </c>
      <c r="H68" s="364">
        <v>0.10091114044189453</v>
      </c>
      <c r="I68" s="364">
        <v>0.25835490226745605</v>
      </c>
      <c r="J68" s="364">
        <v>0</v>
      </c>
      <c r="K68" s="364">
        <v>0</v>
      </c>
      <c r="L68" s="364">
        <v>1.2917744927108288E-2</v>
      </c>
      <c r="M68" s="364">
        <v>5.000000074505806E-2</v>
      </c>
      <c r="N68" s="364">
        <v>9.8142966628074646E-2</v>
      </c>
      <c r="O68" s="364">
        <v>0.16021192073822021</v>
      </c>
      <c r="P68" s="364">
        <v>0.14721444249153137</v>
      </c>
      <c r="Q68" s="364">
        <v>0</v>
      </c>
      <c r="R68" s="364">
        <v>4.986889660358429E-3</v>
      </c>
      <c r="S68" s="364">
        <v>8.0105960369110107E-3</v>
      </c>
      <c r="T68" s="364"/>
      <c r="U68" s="364">
        <v>0.87747800350189209</v>
      </c>
      <c r="V68" s="364">
        <v>0.50715219974517822</v>
      </c>
      <c r="W68" s="364">
        <v>1.5876533985137939</v>
      </c>
      <c r="X68" s="364">
        <v>6.3648042678833008</v>
      </c>
      <c r="Y68" s="364">
        <v>0.10903460532426834</v>
      </c>
    </row>
    <row r="69" spans="1:25" ht="29" x14ac:dyDescent="0.35">
      <c r="A69" s="364" t="s">
        <v>378</v>
      </c>
      <c r="B69" s="364" t="s">
        <v>696</v>
      </c>
      <c r="C69" s="364" t="s">
        <v>675</v>
      </c>
      <c r="D69" s="364">
        <v>1</v>
      </c>
      <c r="E69" s="364">
        <v>20.992421948808101</v>
      </c>
      <c r="F69" s="364">
        <v>6.2977266311645508</v>
      </c>
      <c r="G69" s="364">
        <v>4.1392745971679688</v>
      </c>
      <c r="H69" s="364">
        <v>2.158452033996582</v>
      </c>
      <c r="I69" s="364">
        <v>5.4355325698852539</v>
      </c>
      <c r="J69" s="364">
        <v>0</v>
      </c>
      <c r="K69" s="364">
        <v>0</v>
      </c>
      <c r="L69" s="364">
        <v>0.27177661657333374</v>
      </c>
      <c r="M69" s="364">
        <v>4.9999997019767761E-2</v>
      </c>
      <c r="N69" s="364">
        <v>2.0992422103881836</v>
      </c>
      <c r="O69" s="364">
        <v>3.3362901210784912</v>
      </c>
      <c r="P69" s="364">
        <v>3.1488633155822754</v>
      </c>
      <c r="Q69" s="364">
        <v>0</v>
      </c>
      <c r="R69" s="364">
        <v>2.0612258464097977E-2</v>
      </c>
      <c r="S69" s="364">
        <v>0.16681450605392456</v>
      </c>
      <c r="T69" s="364"/>
      <c r="U69" s="364">
        <v>0.86309438943862915</v>
      </c>
      <c r="V69" s="364">
        <v>0.50715219974517822</v>
      </c>
      <c r="W69" s="364">
        <v>1.5456864833831787</v>
      </c>
      <c r="X69" s="364">
        <v>3.7937572002410889</v>
      </c>
      <c r="Y69" s="364">
        <v>2.241626501083374</v>
      </c>
    </row>
    <row r="70" spans="1:25" ht="29" x14ac:dyDescent="0.35">
      <c r="A70" s="364" t="s">
        <v>431</v>
      </c>
      <c r="B70" s="364" t="s">
        <v>697</v>
      </c>
      <c r="C70" s="364" t="s">
        <v>675</v>
      </c>
      <c r="D70" s="364">
        <v>1</v>
      </c>
      <c r="E70" s="364">
        <v>2.3427037037037004</v>
      </c>
      <c r="F70" s="364">
        <v>0.70281112194061279</v>
      </c>
      <c r="G70" s="364">
        <v>0.46193304657936096</v>
      </c>
      <c r="H70" s="364">
        <v>0.24087807536125183</v>
      </c>
      <c r="I70" s="364">
        <v>0.64398515224456787</v>
      </c>
      <c r="J70" s="364">
        <v>0</v>
      </c>
      <c r="K70" s="364">
        <v>0</v>
      </c>
      <c r="L70" s="364">
        <v>3.2199256122112274E-2</v>
      </c>
      <c r="M70" s="364">
        <v>4.9999997019767761E-2</v>
      </c>
      <c r="N70" s="364">
        <v>0.2342703640460968</v>
      </c>
      <c r="O70" s="364">
        <v>0.40971481800079346</v>
      </c>
      <c r="P70" s="364">
        <v>0.3514055609703064</v>
      </c>
      <c r="Q70" s="364">
        <v>0</v>
      </c>
      <c r="R70" s="364">
        <v>3.7823520600795746E-2</v>
      </c>
      <c r="S70" s="364">
        <v>2.0485742017626762E-2</v>
      </c>
      <c r="T70" s="364"/>
      <c r="U70" s="364">
        <v>0.91629904508590698</v>
      </c>
      <c r="V70" s="364">
        <v>0.50715219974517822</v>
      </c>
      <c r="W70" s="364">
        <v>1.7009220123291016</v>
      </c>
      <c r="X70" s="364">
        <v>6.3648042678833008</v>
      </c>
      <c r="Y70" s="364">
        <v>0.28755298256874084</v>
      </c>
    </row>
    <row r="71" spans="1:25" ht="29" x14ac:dyDescent="0.35">
      <c r="A71" s="364" t="s">
        <v>698</v>
      </c>
      <c r="B71" s="364" t="s">
        <v>699</v>
      </c>
      <c r="C71" s="364" t="s">
        <v>675</v>
      </c>
      <c r="D71" s="364">
        <v>1</v>
      </c>
      <c r="E71" s="364">
        <v>7.3615044321933105</v>
      </c>
      <c r="F71" s="364">
        <v>2.208451509475708</v>
      </c>
      <c r="G71" s="364">
        <v>1.4515374898910522</v>
      </c>
      <c r="H71" s="364">
        <v>0.75691401958465576</v>
      </c>
      <c r="I71" s="364">
        <v>1.0169119834899902</v>
      </c>
      <c r="J71" s="364">
        <v>0</v>
      </c>
      <c r="K71" s="364">
        <v>0</v>
      </c>
      <c r="L71" s="364">
        <v>5.0845600664615631E-2</v>
      </c>
      <c r="M71" s="364">
        <v>5.000000074505806E-2</v>
      </c>
      <c r="N71" s="364">
        <v>0.73615044355392456</v>
      </c>
      <c r="O71" s="364">
        <v>0.2807614803314209</v>
      </c>
      <c r="P71" s="364">
        <v>1.1042256355285645</v>
      </c>
      <c r="Q71" s="364">
        <v>0</v>
      </c>
      <c r="R71" s="364">
        <v>-0.88158130645751953</v>
      </c>
      <c r="S71" s="364">
        <v>5.8117140084505081E-2</v>
      </c>
      <c r="T71" s="364"/>
      <c r="U71" s="364">
        <v>0.46046379208564758</v>
      </c>
      <c r="V71" s="364">
        <v>0.50715219974517822</v>
      </c>
      <c r="W71" s="364">
        <v>0.37092915177345276</v>
      </c>
      <c r="X71" s="364">
        <v>3.7937572002410889</v>
      </c>
      <c r="Y71" s="364">
        <v>0</v>
      </c>
    </row>
    <row r="72" spans="1:25" ht="29" x14ac:dyDescent="0.35">
      <c r="A72" s="364" t="s">
        <v>330</v>
      </c>
      <c r="B72" s="364" t="s">
        <v>700</v>
      </c>
      <c r="C72" s="364" t="s">
        <v>675</v>
      </c>
      <c r="D72" s="364">
        <v>1</v>
      </c>
      <c r="E72" s="364">
        <v>24.999113475836801</v>
      </c>
      <c r="F72" s="364">
        <v>7.4997344017028809</v>
      </c>
      <c r="G72" s="364">
        <v>4.9293117523193359</v>
      </c>
      <c r="H72" s="364">
        <v>2.5704226493835449</v>
      </c>
      <c r="I72" s="364">
        <v>7.6135215759277344</v>
      </c>
      <c r="J72" s="364">
        <v>0</v>
      </c>
      <c r="K72" s="364">
        <v>0</v>
      </c>
      <c r="L72" s="364">
        <v>0.38067609071731567</v>
      </c>
      <c r="M72" s="364">
        <v>5.000000074505806E-2</v>
      </c>
      <c r="N72" s="364">
        <v>2.4999113082885742</v>
      </c>
      <c r="O72" s="364">
        <v>5.1136102676391602</v>
      </c>
      <c r="P72" s="364">
        <v>3.7498669624328613</v>
      </c>
      <c r="Q72" s="364">
        <v>0</v>
      </c>
      <c r="R72" s="364">
        <v>1.1080626249313354</v>
      </c>
      <c r="S72" s="364">
        <v>0.25568050146102905</v>
      </c>
      <c r="T72" s="364"/>
      <c r="U72" s="364">
        <v>1.0151721239089966</v>
      </c>
      <c r="V72" s="364">
        <v>0.50715219974517822</v>
      </c>
      <c r="W72" s="364">
        <v>1.9894044399261475</v>
      </c>
      <c r="X72" s="364">
        <v>3.7937572002410889</v>
      </c>
      <c r="Y72" s="364">
        <v>3.8100147247314453</v>
      </c>
    </row>
    <row r="73" spans="1:25" ht="29" x14ac:dyDescent="0.35">
      <c r="A73" s="364" t="s">
        <v>579</v>
      </c>
      <c r="B73" s="364" t="s">
        <v>701</v>
      </c>
      <c r="C73" s="364" t="s">
        <v>675</v>
      </c>
      <c r="D73" s="364">
        <v>1</v>
      </c>
      <c r="E73" s="364">
        <v>8.8004304861713702</v>
      </c>
      <c r="F73" s="364">
        <v>2.6401293277740479</v>
      </c>
      <c r="G73" s="364">
        <v>1.7352641820907593</v>
      </c>
      <c r="H73" s="364">
        <v>0.90486514568328857</v>
      </c>
      <c r="I73" s="364">
        <v>2.2695846557617188</v>
      </c>
      <c r="J73" s="364">
        <v>0</v>
      </c>
      <c r="K73" s="364">
        <v>0</v>
      </c>
      <c r="L73" s="364">
        <v>0.11347923427820206</v>
      </c>
      <c r="M73" s="364">
        <v>5.000000074505806E-2</v>
      </c>
      <c r="N73" s="364">
        <v>0.88004302978515625</v>
      </c>
      <c r="O73" s="364">
        <v>1.3895416259765625</v>
      </c>
      <c r="P73" s="364">
        <v>1.3200645446777344</v>
      </c>
      <c r="Q73" s="364">
        <v>0</v>
      </c>
      <c r="R73" s="364">
        <v>0</v>
      </c>
      <c r="S73" s="364">
        <v>6.9477081298828125E-2</v>
      </c>
      <c r="T73" s="364"/>
      <c r="U73" s="364">
        <v>0.85964906215667725</v>
      </c>
      <c r="V73" s="364">
        <v>0.50715219974517822</v>
      </c>
      <c r="W73" s="364">
        <v>1.53563392162323</v>
      </c>
      <c r="X73" s="364">
        <v>3.7937572002410889</v>
      </c>
      <c r="Y73" s="364">
        <v>0.93063724040985107</v>
      </c>
    </row>
    <row r="74" spans="1:25" ht="29" x14ac:dyDescent="0.35">
      <c r="A74" s="364" t="s">
        <v>387</v>
      </c>
      <c r="B74" s="364" t="s">
        <v>702</v>
      </c>
      <c r="C74" s="364" t="s">
        <v>675</v>
      </c>
      <c r="D74" s="364">
        <v>1</v>
      </c>
      <c r="E74" s="364">
        <v>0.25340000000000001</v>
      </c>
      <c r="F74" s="364">
        <v>7.6020002365112305E-2</v>
      </c>
      <c r="G74" s="364">
        <v>4.9965277314186096E-2</v>
      </c>
      <c r="H74" s="364">
        <v>2.6054725050926208E-2</v>
      </c>
      <c r="I74" s="364">
        <v>0.26439946889877319</v>
      </c>
      <c r="J74" s="364">
        <v>0</v>
      </c>
      <c r="K74" s="364">
        <v>0</v>
      </c>
      <c r="L74" s="364">
        <v>1.321997307240963E-2</v>
      </c>
      <c r="M74" s="364">
        <v>4.9999997019767761E-2</v>
      </c>
      <c r="N74" s="364">
        <v>2.5340000167489052E-2</v>
      </c>
      <c r="O74" s="364">
        <v>0.23905947804450989</v>
      </c>
      <c r="P74" s="364">
        <v>3.8010001182556152E-2</v>
      </c>
      <c r="Q74" s="364">
        <v>0</v>
      </c>
      <c r="R74" s="364">
        <v>0.18909649550914764</v>
      </c>
      <c r="S74" s="364">
        <v>1.1952973902225494E-2</v>
      </c>
      <c r="T74" s="364"/>
      <c r="U74" s="364">
        <v>3.478024959564209</v>
      </c>
      <c r="V74" s="364">
        <v>0.50715219974517822</v>
      </c>
      <c r="W74" s="364">
        <v>9.1752834320068359</v>
      </c>
      <c r="X74" s="364">
        <v>3.7937572002410889</v>
      </c>
      <c r="Y74" s="364">
        <v>0.22584576904773712</v>
      </c>
    </row>
    <row r="75" spans="1:25" ht="29" x14ac:dyDescent="0.35">
      <c r="A75" s="364" t="s">
        <v>222</v>
      </c>
      <c r="B75" s="364" t="s">
        <v>703</v>
      </c>
      <c r="C75" s="364" t="s">
        <v>675</v>
      </c>
      <c r="D75" s="364">
        <v>1</v>
      </c>
      <c r="E75" s="364">
        <v>19.209979975232301</v>
      </c>
      <c r="F75" s="364">
        <v>5.7629942893981934</v>
      </c>
      <c r="G75" s="364">
        <v>3.787813663482666</v>
      </c>
      <c r="H75" s="364">
        <v>1.997258186340332</v>
      </c>
      <c r="I75" s="364">
        <v>5.3826956748962402</v>
      </c>
      <c r="J75" s="364">
        <v>0</v>
      </c>
      <c r="K75" s="364">
        <v>0</v>
      </c>
      <c r="L75" s="364">
        <v>0.26913478970527649</v>
      </c>
      <c r="M75" s="364">
        <v>5.000000074505806E-2</v>
      </c>
      <c r="N75" s="364">
        <v>1.9209979772567749</v>
      </c>
      <c r="O75" s="364">
        <v>3.4616978168487549</v>
      </c>
      <c r="P75" s="364">
        <v>2.8814969062805176</v>
      </c>
      <c r="Q75" s="364">
        <v>0</v>
      </c>
      <c r="R75" s="364">
        <v>0.40711596608161926</v>
      </c>
      <c r="S75" s="364">
        <v>0.17308488488197327</v>
      </c>
      <c r="T75" s="364"/>
      <c r="U75" s="364">
        <v>0.93401026725769043</v>
      </c>
      <c r="V75" s="364">
        <v>0.50715219974517822</v>
      </c>
      <c r="W75" s="364">
        <v>1.7332249879837036</v>
      </c>
      <c r="X75" s="364">
        <v>3.7937572002410889</v>
      </c>
      <c r="Y75" s="364">
        <v>2.4487838745117188</v>
      </c>
    </row>
    <row r="76" spans="1:25" ht="29" x14ac:dyDescent="0.35">
      <c r="A76" s="364" t="s">
        <v>389</v>
      </c>
      <c r="B76" s="364" t="s">
        <v>704</v>
      </c>
      <c r="C76" s="364" t="s">
        <v>675</v>
      </c>
      <c r="D76" s="364">
        <v>1</v>
      </c>
      <c r="E76" s="364">
        <v>12.9279792860453</v>
      </c>
      <c r="F76" s="364">
        <v>3.8783938884735107</v>
      </c>
      <c r="G76" s="364">
        <v>2.5491321086883545</v>
      </c>
      <c r="H76" s="364">
        <v>1.3292617797851562</v>
      </c>
      <c r="I76" s="364">
        <v>4.4085760116577148</v>
      </c>
      <c r="J76" s="364">
        <v>0</v>
      </c>
      <c r="K76" s="364">
        <v>0</v>
      </c>
      <c r="L76" s="364">
        <v>0.22042879462242126</v>
      </c>
      <c r="M76" s="364">
        <v>4.9999997019767761E-2</v>
      </c>
      <c r="N76" s="364">
        <v>1.2927979230880737</v>
      </c>
      <c r="O76" s="364">
        <v>3.1157779693603516</v>
      </c>
      <c r="P76" s="364">
        <v>1.9391969442367554</v>
      </c>
      <c r="Q76" s="364">
        <v>0</v>
      </c>
      <c r="R76" s="364">
        <v>1.0207922458648682</v>
      </c>
      <c r="S76" s="364">
        <v>0.15578889846801758</v>
      </c>
      <c r="T76" s="364"/>
      <c r="U76" s="364">
        <v>1.1367014646530151</v>
      </c>
      <c r="V76" s="364">
        <v>0.50715219974517822</v>
      </c>
      <c r="W76" s="364">
        <v>2.3439912796020508</v>
      </c>
      <c r="X76" s="364">
        <v>3.7937572002410889</v>
      </c>
      <c r="Y76" s="364">
        <v>2.4416399002075195</v>
      </c>
    </row>
    <row r="77" spans="1:25" ht="29" x14ac:dyDescent="0.35">
      <c r="A77" s="364" t="s">
        <v>409</v>
      </c>
      <c r="B77" s="364" t="s">
        <v>705</v>
      </c>
      <c r="C77" s="364" t="s">
        <v>675</v>
      </c>
      <c r="D77" s="364">
        <v>1</v>
      </c>
      <c r="E77" s="364">
        <v>76.276116700000003</v>
      </c>
      <c r="F77" s="364">
        <v>22.882835388183594</v>
      </c>
      <c r="G77" s="364">
        <v>15.040083885192871</v>
      </c>
      <c r="H77" s="364">
        <v>7.8427515029907227</v>
      </c>
      <c r="I77" s="364">
        <v>19.644496917724609</v>
      </c>
      <c r="J77" s="364">
        <v>0</v>
      </c>
      <c r="K77" s="364">
        <v>0</v>
      </c>
      <c r="L77" s="364">
        <v>0.98222482204437256</v>
      </c>
      <c r="M77" s="364">
        <v>4.9999997019767761E-2</v>
      </c>
      <c r="N77" s="364">
        <v>7.6276116371154785</v>
      </c>
      <c r="O77" s="364">
        <v>12.016885757446289</v>
      </c>
      <c r="P77" s="364">
        <v>11.441417694091797</v>
      </c>
      <c r="Q77" s="364">
        <v>0</v>
      </c>
      <c r="R77" s="364">
        <v>-2.6711609214544296E-2</v>
      </c>
      <c r="S77" s="364">
        <v>0.6021798849105835</v>
      </c>
      <c r="T77" s="364"/>
      <c r="U77" s="364">
        <v>0.858481764793396</v>
      </c>
      <c r="V77" s="364">
        <v>0.50715219974517822</v>
      </c>
      <c r="W77" s="364">
        <v>1.5322283506393433</v>
      </c>
      <c r="X77" s="364">
        <v>0.37792640924453735</v>
      </c>
      <c r="Y77" s="364">
        <v>8.0394172668457031</v>
      </c>
    </row>
    <row r="78" spans="1:25" ht="29" x14ac:dyDescent="0.35">
      <c r="A78" s="364" t="s">
        <v>58</v>
      </c>
      <c r="B78" s="364" t="s">
        <v>706</v>
      </c>
      <c r="C78" s="364" t="s">
        <v>675</v>
      </c>
      <c r="D78" s="364">
        <v>1</v>
      </c>
      <c r="E78" s="364">
        <v>113.5672</v>
      </c>
      <c r="F78" s="364"/>
      <c r="G78" s="364"/>
      <c r="H78" s="364">
        <v>2.3257870674133301</v>
      </c>
      <c r="I78" s="364">
        <v>45.650718688964844</v>
      </c>
      <c r="J78" s="364">
        <v>0</v>
      </c>
      <c r="K78" s="364">
        <v>0</v>
      </c>
      <c r="L78" s="364">
        <v>2.2825360298156738</v>
      </c>
      <c r="M78" s="364">
        <v>5.000000074505806E-2</v>
      </c>
      <c r="N78" s="364">
        <v>11.356719970703125</v>
      </c>
      <c r="O78" s="364">
        <v>34.293998718261719</v>
      </c>
      <c r="P78" s="364">
        <v>33.856143951416016</v>
      </c>
      <c r="Q78" s="364">
        <v>0</v>
      </c>
      <c r="R78" s="364">
        <v>0</v>
      </c>
      <c r="S78" s="364">
        <v>0.437855064868927</v>
      </c>
      <c r="T78" s="364"/>
      <c r="U78" s="364"/>
      <c r="V78" s="364">
        <v>0.50715219974517822</v>
      </c>
      <c r="W78" s="364">
        <v>14.745115280151367</v>
      </c>
      <c r="X78" s="364">
        <v>14.745116233825684</v>
      </c>
      <c r="Y78" s="364">
        <v>33.114471435546875</v>
      </c>
    </row>
    <row r="79" spans="1:25" ht="29" x14ac:dyDescent="0.35">
      <c r="A79" s="364" t="s">
        <v>62</v>
      </c>
      <c r="B79" s="364" t="s">
        <v>707</v>
      </c>
      <c r="C79" s="364" t="s">
        <v>675</v>
      </c>
      <c r="D79" s="364">
        <v>1</v>
      </c>
      <c r="E79" s="364">
        <v>498.47454098778002</v>
      </c>
      <c r="F79" s="364">
        <v>149.54237365722656</v>
      </c>
      <c r="G79" s="364">
        <v>98.2889404296875</v>
      </c>
      <c r="H79" s="364">
        <v>51.253433227539062</v>
      </c>
      <c r="I79" s="364">
        <v>202.83154296875</v>
      </c>
      <c r="J79" s="364">
        <v>0</v>
      </c>
      <c r="K79" s="364">
        <v>0</v>
      </c>
      <c r="L79" s="364">
        <v>10.141576766967773</v>
      </c>
      <c r="M79" s="364">
        <v>4.9999997019767761E-2</v>
      </c>
      <c r="N79" s="364">
        <v>49.847454071044922</v>
      </c>
      <c r="O79" s="364">
        <v>152.98408508300781</v>
      </c>
      <c r="P79" s="364">
        <v>74.77117919921875</v>
      </c>
      <c r="Q79" s="364">
        <v>0</v>
      </c>
      <c r="R79" s="364">
        <v>70.563697814941406</v>
      </c>
      <c r="S79" s="364">
        <v>7.6492042541503906</v>
      </c>
      <c r="T79" s="364"/>
      <c r="U79" s="364">
        <v>1.3563482761383057</v>
      </c>
      <c r="V79" s="364">
        <v>0.50715219974517822</v>
      </c>
      <c r="W79" s="364">
        <v>2.9848554134368896</v>
      </c>
      <c r="X79" s="364">
        <v>3.3707878589630127</v>
      </c>
      <c r="Y79" s="364">
        <v>126.99079895019531</v>
      </c>
    </row>
    <row r="80" spans="1:25" ht="29" x14ac:dyDescent="0.35">
      <c r="A80" s="364" t="s">
        <v>425</v>
      </c>
      <c r="B80" s="364" t="s">
        <v>708</v>
      </c>
      <c r="C80" s="364" t="s">
        <v>675</v>
      </c>
      <c r="D80" s="364">
        <v>1</v>
      </c>
      <c r="E80" s="364">
        <v>1.5370887150838</v>
      </c>
      <c r="F80" s="364">
        <v>0.46112662553787231</v>
      </c>
      <c r="G80" s="364">
        <v>0.30308234691619873</v>
      </c>
      <c r="H80" s="364">
        <v>0.15804427862167358</v>
      </c>
      <c r="I80" s="364">
        <v>0.41691696643829346</v>
      </c>
      <c r="J80" s="364">
        <v>0</v>
      </c>
      <c r="K80" s="364">
        <v>0</v>
      </c>
      <c r="L80" s="364">
        <v>2.0845849066972733E-2</v>
      </c>
      <c r="M80" s="364">
        <v>5.000000074505806E-2</v>
      </c>
      <c r="N80" s="364">
        <v>0.15370887517929077</v>
      </c>
      <c r="O80" s="364">
        <v>0.26320809125900269</v>
      </c>
      <c r="P80" s="364">
        <v>0.23056331276893616</v>
      </c>
      <c r="Q80" s="364">
        <v>0</v>
      </c>
      <c r="R80" s="364">
        <v>1.9484374672174454E-2</v>
      </c>
      <c r="S80" s="364">
        <v>1.3160404749214649E-2</v>
      </c>
      <c r="T80" s="364"/>
      <c r="U80" s="364">
        <v>0.90412688255310059</v>
      </c>
      <c r="V80" s="364">
        <v>0.50715219974517822</v>
      </c>
      <c r="W80" s="364">
        <v>1.6654072999954224</v>
      </c>
      <c r="X80" s="364">
        <v>6.3648042678833008</v>
      </c>
      <c r="Y80" s="364">
        <v>0.18305559456348419</v>
      </c>
    </row>
    <row r="81" spans="1:25" ht="29" x14ac:dyDescent="0.35">
      <c r="A81" s="364" t="s">
        <v>423</v>
      </c>
      <c r="B81" s="364" t="s">
        <v>709</v>
      </c>
      <c r="C81" s="364" t="s">
        <v>675</v>
      </c>
      <c r="D81" s="364">
        <v>1</v>
      </c>
      <c r="E81" s="364">
        <v>2.0579685198309097</v>
      </c>
      <c r="F81" s="364">
        <v>0.61739057302474976</v>
      </c>
      <c r="G81" s="364">
        <v>0.40578913688659668</v>
      </c>
      <c r="H81" s="364">
        <v>0.21160143613815308</v>
      </c>
      <c r="I81" s="364">
        <v>0.64228248596191406</v>
      </c>
      <c r="J81" s="364">
        <v>0</v>
      </c>
      <c r="K81" s="364">
        <v>0</v>
      </c>
      <c r="L81" s="364">
        <v>3.2114125788211823E-2</v>
      </c>
      <c r="M81" s="364">
        <v>5.000000074505806E-2</v>
      </c>
      <c r="N81" s="364">
        <v>0.20579685270786285</v>
      </c>
      <c r="O81" s="364">
        <v>0.43648561835289001</v>
      </c>
      <c r="P81" s="364">
        <v>0.30869528651237488</v>
      </c>
      <c r="Q81" s="364">
        <v>0</v>
      </c>
      <c r="R81" s="364">
        <v>0.10596604645252228</v>
      </c>
      <c r="S81" s="364">
        <v>2.1824279800057411E-2</v>
      </c>
      <c r="T81" s="364"/>
      <c r="U81" s="364">
        <v>1.0403178930282593</v>
      </c>
      <c r="V81" s="364">
        <v>0.50715219974517822</v>
      </c>
      <c r="W81" s="364">
        <v>2.0627725124359131</v>
      </c>
      <c r="X81" s="364">
        <v>3.7937572002410889</v>
      </c>
      <c r="Y81" s="364">
        <v>0.32917147874832153</v>
      </c>
    </row>
    <row r="82" spans="1:25" ht="29" x14ac:dyDescent="0.35">
      <c r="A82" s="364" t="s">
        <v>445</v>
      </c>
      <c r="B82" s="364" t="s">
        <v>710</v>
      </c>
      <c r="C82" s="364" t="s">
        <v>675</v>
      </c>
      <c r="D82" s="364">
        <v>1</v>
      </c>
      <c r="E82" s="364">
        <v>1.22879438295121</v>
      </c>
      <c r="F82" s="364">
        <v>0.36863833665847778</v>
      </c>
      <c r="G82" s="364">
        <v>0.24229301512241364</v>
      </c>
      <c r="H82" s="364">
        <v>0.12634532153606415</v>
      </c>
      <c r="I82" s="364">
        <v>0.34196820855140686</v>
      </c>
      <c r="J82" s="364">
        <v>0</v>
      </c>
      <c r="K82" s="364">
        <v>0</v>
      </c>
      <c r="L82" s="364">
        <v>1.7098410055041313E-2</v>
      </c>
      <c r="M82" s="364">
        <v>5.000000074505806E-2</v>
      </c>
      <c r="N82" s="364">
        <v>0.12287943810224533</v>
      </c>
      <c r="O82" s="364">
        <v>0.21908876299858093</v>
      </c>
      <c r="P82" s="364">
        <v>0.1843191534280777</v>
      </c>
      <c r="Q82" s="364">
        <v>0</v>
      </c>
      <c r="R82" s="364">
        <v>2.381516806781292E-2</v>
      </c>
      <c r="S82" s="364">
        <v>1.0954437777400017E-2</v>
      </c>
      <c r="T82" s="364"/>
      <c r="U82" s="364">
        <v>0.92765229940414429</v>
      </c>
      <c r="V82" s="364">
        <v>0.50715219974517822</v>
      </c>
      <c r="W82" s="364">
        <v>1.7340472936630249</v>
      </c>
      <c r="X82" s="364">
        <v>3.6061775684356689</v>
      </c>
      <c r="Y82" s="364">
        <v>0.15501245856285095</v>
      </c>
    </row>
    <row r="83" spans="1:25" ht="29" x14ac:dyDescent="0.35">
      <c r="A83" s="364" t="s">
        <v>432</v>
      </c>
      <c r="B83" s="364" t="s">
        <v>711</v>
      </c>
      <c r="C83" s="364" t="s">
        <v>675</v>
      </c>
      <c r="D83" s="364">
        <v>1</v>
      </c>
      <c r="E83" s="364">
        <v>0.96649259259259201</v>
      </c>
      <c r="F83" s="364">
        <v>0.28994777798652649</v>
      </c>
      <c r="G83" s="364">
        <v>0.19057250022888184</v>
      </c>
      <c r="H83" s="364">
        <v>9.9375277757644653E-2</v>
      </c>
      <c r="I83" s="364">
        <v>0.25235247611999512</v>
      </c>
      <c r="J83" s="364">
        <v>0</v>
      </c>
      <c r="K83" s="364">
        <v>0</v>
      </c>
      <c r="L83" s="364">
        <v>1.2617623433470726E-2</v>
      </c>
      <c r="M83" s="364">
        <v>4.9999997019767761E-2</v>
      </c>
      <c r="N83" s="364">
        <v>9.6649259328842163E-2</v>
      </c>
      <c r="O83" s="364">
        <v>0.15570320188999176</v>
      </c>
      <c r="P83" s="364">
        <v>0.14497388899326324</v>
      </c>
      <c r="Q83" s="364">
        <v>0</v>
      </c>
      <c r="R83" s="364">
        <v>2.9441474471241236E-3</v>
      </c>
      <c r="S83" s="364">
        <v>7.7851596288383007E-3</v>
      </c>
      <c r="T83" s="364"/>
      <c r="U83" s="364">
        <v>0.87033766508102417</v>
      </c>
      <c r="V83" s="364">
        <v>0.50715219974517822</v>
      </c>
      <c r="W83" s="364">
        <v>1.5668202638626099</v>
      </c>
      <c r="X83" s="364">
        <v>6.3648042678833008</v>
      </c>
      <c r="Y83" s="364">
        <v>0.10530480742454529</v>
      </c>
    </row>
    <row r="84" spans="1:25" ht="29" x14ac:dyDescent="0.35">
      <c r="A84" s="364" t="s">
        <v>547</v>
      </c>
      <c r="B84" s="364" t="s">
        <v>712</v>
      </c>
      <c r="C84" s="364" t="s">
        <v>675</v>
      </c>
      <c r="D84" s="364">
        <v>1</v>
      </c>
      <c r="E84" s="364">
        <v>1.2557591349045119</v>
      </c>
      <c r="F84" s="364">
        <v>0.37672775983810425</v>
      </c>
      <c r="G84" s="364">
        <v>0.24760991334915161</v>
      </c>
      <c r="H84" s="364">
        <v>0.12911784648895264</v>
      </c>
      <c r="I84" s="364">
        <v>30.741128921508789</v>
      </c>
      <c r="J84" s="364">
        <v>0</v>
      </c>
      <c r="K84" s="364">
        <v>0</v>
      </c>
      <c r="L84" s="364">
        <v>1.5370564460754395</v>
      </c>
      <c r="M84" s="364">
        <v>5.000000074505806E-2</v>
      </c>
      <c r="N84" s="364">
        <v>0.12557591497898102</v>
      </c>
      <c r="O84" s="364">
        <v>30.61555290222168</v>
      </c>
      <c r="P84" s="364">
        <v>0.18836386501789093</v>
      </c>
      <c r="Q84" s="364">
        <v>0</v>
      </c>
      <c r="R84" s="364">
        <v>28.896411895751953</v>
      </c>
      <c r="S84" s="364">
        <v>1.5307776927947998</v>
      </c>
      <c r="T84" s="364"/>
      <c r="U84" s="364">
        <v>81.600379943847656</v>
      </c>
      <c r="V84" s="364">
        <v>0.50715219974517822</v>
      </c>
      <c r="W84" s="364">
        <v>237.11325073242188</v>
      </c>
      <c r="X84" s="364">
        <v>3.6061775684356689</v>
      </c>
      <c r="Y84" s="364">
        <v>30.550069808959961</v>
      </c>
    </row>
    <row r="85" spans="1:25" ht="29" x14ac:dyDescent="0.35">
      <c r="A85" s="364" t="s">
        <v>219</v>
      </c>
      <c r="B85" s="364" t="s">
        <v>713</v>
      </c>
      <c r="C85" s="364" t="s">
        <v>714</v>
      </c>
      <c r="D85" s="364">
        <v>0</v>
      </c>
      <c r="E85" s="364">
        <v>13983.210758738816</v>
      </c>
      <c r="F85" s="364">
        <v>4194.96337890625</v>
      </c>
      <c r="G85" s="364">
        <v>4110.548828125</v>
      </c>
      <c r="H85" s="364">
        <v>84.414436340332031</v>
      </c>
      <c r="I85" s="364">
        <v>2796.64208984375</v>
      </c>
      <c r="J85" s="364">
        <v>2796.64208984375</v>
      </c>
      <c r="K85" s="364">
        <v>0</v>
      </c>
      <c r="L85" s="364">
        <v>503.39556884765625</v>
      </c>
      <c r="M85" s="364">
        <v>0.17999999225139618</v>
      </c>
      <c r="N85" s="364">
        <v>2476.394287109375</v>
      </c>
      <c r="O85" s="364">
        <v>320.24786376953125</v>
      </c>
      <c r="P85" s="364">
        <v>262.60324096679688</v>
      </c>
      <c r="Q85" s="364">
        <v>0</v>
      </c>
      <c r="R85" s="364">
        <v>0</v>
      </c>
      <c r="S85" s="364">
        <v>57.644611358642578</v>
      </c>
      <c r="T85" s="364"/>
      <c r="U85" s="364">
        <v>0.66666662693023682</v>
      </c>
      <c r="V85" s="364">
        <v>0.60244858264923096</v>
      </c>
      <c r="W85" s="364">
        <v>3.7937569618225098</v>
      </c>
      <c r="X85" s="364">
        <v>3.7937572002410889</v>
      </c>
      <c r="Y85" s="364"/>
    </row>
    <row r="86" spans="1:25" ht="29" x14ac:dyDescent="0.35">
      <c r="A86" s="364" t="s">
        <v>715</v>
      </c>
      <c r="B86" s="364" t="s">
        <v>716</v>
      </c>
      <c r="C86" s="364" t="s">
        <v>714</v>
      </c>
      <c r="D86" s="364">
        <v>0</v>
      </c>
      <c r="E86" s="364">
        <v>101770.911729948</v>
      </c>
      <c r="F86" s="364">
        <v>31788.953125</v>
      </c>
      <c r="G86" s="364">
        <v>27715.21484375</v>
      </c>
      <c r="H86" s="364">
        <v>4074.21044921875</v>
      </c>
      <c r="I86" s="364">
        <v>17118.080078125</v>
      </c>
      <c r="J86" s="364">
        <v>16505.37890625</v>
      </c>
      <c r="K86" s="364">
        <v>0</v>
      </c>
      <c r="L86" s="364">
        <v>3487.652587890625</v>
      </c>
      <c r="M86" s="364">
        <v>0.20374087989330292</v>
      </c>
      <c r="N86" s="364">
        <v>14067.1884765625</v>
      </c>
      <c r="O86" s="364">
        <v>3050.8916015625</v>
      </c>
      <c r="P86" s="364">
        <v>2170.951171875</v>
      </c>
      <c r="Q86" s="364">
        <v>0</v>
      </c>
      <c r="R86" s="364">
        <v>331.48321533203125</v>
      </c>
      <c r="S86" s="364">
        <v>548.45733642578125</v>
      </c>
      <c r="T86" s="364">
        <v>123.6210587032341</v>
      </c>
      <c r="U86" s="364">
        <v>0.53849148750305176</v>
      </c>
      <c r="V86" s="364">
        <v>0.50756192207336426</v>
      </c>
      <c r="W86" s="364">
        <v>0.74883013963699341</v>
      </c>
      <c r="X86" s="364">
        <v>1.0413607358932495</v>
      </c>
      <c r="Y86" s="364">
        <v>956.0498046875</v>
      </c>
    </row>
  </sheetData>
  <mergeCells count="1">
    <mergeCell ref="L1:R1"/>
  </mergeCells>
  <pageMargins left="0.7" right="0.7" top="0.75" bottom="0.75" header="0.3" footer="0.3"/>
  <pageSetup scale="42" fitToHeight="0" orientation="portrait" horizontalDpi="4294967292" verticalDpi="4294967292"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9" tint="0.39997558519241921"/>
    <pageSetUpPr fitToPage="1"/>
  </sheetPr>
  <dimension ref="A1:P214"/>
  <sheetViews>
    <sheetView zoomScale="40" zoomScaleNormal="100" workbookViewId="0">
      <pane xSplit="2" ySplit="8" topLeftCell="C37" activePane="bottomRight" state="frozen"/>
      <selection pane="topRight" activeCell="K9" sqref="K9"/>
      <selection pane="bottomLeft" activeCell="K9" sqref="K9"/>
      <selection pane="bottomRight" activeCell="S16" sqref="S16"/>
    </sheetView>
  </sheetViews>
  <sheetFormatPr baseColWidth="10" defaultColWidth="8.6640625" defaultRowHeight="29" x14ac:dyDescent="0.35"/>
  <cols>
    <col min="1" max="8" width="20.1640625" style="385" customWidth="1"/>
    <col min="9" max="9" width="28.33203125" style="385" customWidth="1"/>
    <col min="10" max="10" width="23.33203125" style="385" customWidth="1"/>
    <col min="11" max="16" width="20.1640625" style="385" customWidth="1"/>
    <col min="17" max="16384" width="8.6640625" style="384"/>
  </cols>
  <sheetData>
    <row r="1" spans="1:16" s="364" customFormat="1" x14ac:dyDescent="0.35">
      <c r="A1" s="611" t="s">
        <v>717</v>
      </c>
      <c r="B1" s="612"/>
      <c r="C1" s="612"/>
      <c r="D1" s="612"/>
      <c r="E1" s="612"/>
      <c r="F1" s="612"/>
      <c r="G1" s="612"/>
      <c r="H1" s="612"/>
      <c r="I1" s="612"/>
      <c r="J1" s="612"/>
      <c r="K1" s="612"/>
      <c r="L1" s="612"/>
      <c r="M1" s="612"/>
      <c r="N1" s="612"/>
      <c r="O1" s="613"/>
      <c r="P1" s="369"/>
    </row>
    <row r="2" spans="1:16" ht="90" x14ac:dyDescent="0.35">
      <c r="A2" s="365" t="s">
        <v>718</v>
      </c>
      <c r="B2" s="366" t="s">
        <v>719</v>
      </c>
      <c r="C2" s="366" t="s">
        <v>720</v>
      </c>
      <c r="D2" s="366" t="s">
        <v>721</v>
      </c>
      <c r="E2" s="366" t="s">
        <v>722</v>
      </c>
      <c r="F2" s="366" t="s">
        <v>723</v>
      </c>
      <c r="G2" s="366" t="s">
        <v>724</v>
      </c>
      <c r="H2" s="366" t="s">
        <v>725</v>
      </c>
      <c r="I2" s="366" t="s">
        <v>726</v>
      </c>
      <c r="J2" s="366" t="s">
        <v>727</v>
      </c>
      <c r="K2" s="366" t="s">
        <v>728</v>
      </c>
      <c r="L2" s="366" t="s">
        <v>729</v>
      </c>
      <c r="M2" s="366" t="s">
        <v>730</v>
      </c>
      <c r="N2" s="366" t="s">
        <v>731</v>
      </c>
      <c r="O2" s="366" t="s">
        <v>732</v>
      </c>
      <c r="P2" s="367" t="s">
        <v>733</v>
      </c>
    </row>
    <row r="3" spans="1:16" ht="30" x14ac:dyDescent="0.35">
      <c r="A3" s="385" t="s">
        <v>83</v>
      </c>
      <c r="B3" s="385" t="s">
        <v>665</v>
      </c>
      <c r="C3" s="385" t="s">
        <v>666</v>
      </c>
      <c r="D3" s="385">
        <v>0</v>
      </c>
      <c r="E3" s="385">
        <v>72089.744696780006</v>
      </c>
      <c r="F3" s="385">
        <v>72089.744696780006</v>
      </c>
      <c r="G3" s="385">
        <v>36691.98046875</v>
      </c>
      <c r="H3" s="385">
        <v>35397.765625</v>
      </c>
      <c r="K3" s="385">
        <v>32369.5533039</v>
      </c>
      <c r="L3" s="385">
        <v>32369.5533039</v>
      </c>
      <c r="M3" s="385">
        <v>-1596.41552734375</v>
      </c>
      <c r="N3" s="385">
        <v>33965.96875</v>
      </c>
    </row>
    <row r="4" spans="1:16" ht="60" x14ac:dyDescent="0.35">
      <c r="A4" s="385" t="s">
        <v>208</v>
      </c>
      <c r="B4" s="385" t="s">
        <v>667</v>
      </c>
      <c r="C4" s="385" t="s">
        <v>666</v>
      </c>
      <c r="D4" s="385">
        <v>0</v>
      </c>
      <c r="E4" s="385">
        <v>184451.442419445</v>
      </c>
      <c r="F4" s="385">
        <v>184451.442419445</v>
      </c>
      <c r="G4" s="385">
        <v>80764.5078125</v>
      </c>
      <c r="H4" s="385">
        <v>103686.9375</v>
      </c>
      <c r="K4" s="385">
        <v>82881.603962185007</v>
      </c>
      <c r="L4" s="385">
        <v>82881.603962185007</v>
      </c>
      <c r="M4" s="385">
        <v>5492.67724609375</v>
      </c>
      <c r="N4" s="385">
        <v>77388.9296875</v>
      </c>
    </row>
    <row r="5" spans="1:16" ht="30" x14ac:dyDescent="0.35">
      <c r="A5" s="385" t="s">
        <v>209</v>
      </c>
      <c r="B5" s="385" t="s">
        <v>668</v>
      </c>
      <c r="C5" s="385" t="s">
        <v>666</v>
      </c>
      <c r="D5" s="385">
        <v>0</v>
      </c>
      <c r="E5" s="385">
        <v>15937.300115031001</v>
      </c>
      <c r="F5" s="385">
        <v>15937.300115031001</v>
      </c>
      <c r="G5" s="385">
        <v>3302.927978515625</v>
      </c>
      <c r="H5" s="385">
        <v>12634.3720703125</v>
      </c>
      <c r="K5" s="385">
        <v>3876.08024340273</v>
      </c>
      <c r="L5" s="385">
        <v>3876.08024340273</v>
      </c>
      <c r="M5" s="385">
        <v>261.58578491210938</v>
      </c>
      <c r="N5" s="385">
        <v>3614.494384765625</v>
      </c>
    </row>
    <row r="6" spans="1:16" ht="30" x14ac:dyDescent="0.35">
      <c r="A6" s="385" t="s">
        <v>210</v>
      </c>
      <c r="B6" s="385" t="s">
        <v>669</v>
      </c>
      <c r="C6" s="385" t="s">
        <v>666</v>
      </c>
      <c r="D6" s="385">
        <v>0</v>
      </c>
      <c r="E6" s="385">
        <v>4053.5237286545403</v>
      </c>
      <c r="F6" s="385">
        <v>4053.5237286545403</v>
      </c>
      <c r="G6" s="385">
        <v>1092.72607421875</v>
      </c>
      <c r="H6" s="385">
        <v>2960.797607421875</v>
      </c>
      <c r="K6" s="385">
        <v>92.797100773929898</v>
      </c>
      <c r="L6" s="385">
        <v>92.797100773929898</v>
      </c>
      <c r="M6" s="385">
        <v>146.51336669921875</v>
      </c>
      <c r="N6" s="385">
        <v>-53.716266632080078</v>
      </c>
    </row>
    <row r="7" spans="1:16" ht="30" x14ac:dyDescent="0.35">
      <c r="A7" s="385" t="s">
        <v>84</v>
      </c>
      <c r="B7" s="385" t="s">
        <v>670</v>
      </c>
      <c r="C7" s="385" t="s">
        <v>666</v>
      </c>
      <c r="D7" s="385">
        <v>0</v>
      </c>
      <c r="E7" s="385">
        <v>38794.413469197505</v>
      </c>
      <c r="F7" s="385">
        <v>38794.413469197505</v>
      </c>
      <c r="G7" s="385">
        <v>16779.0546875</v>
      </c>
      <c r="H7" s="385">
        <v>22015.359375</v>
      </c>
      <c r="K7" s="385">
        <v>9433.0456060563611</v>
      </c>
      <c r="L7" s="385">
        <v>9433.0456060563611</v>
      </c>
      <c r="M7" s="385">
        <v>301.8070068359375</v>
      </c>
      <c r="N7" s="385">
        <v>9131.23828125</v>
      </c>
    </row>
    <row r="8" spans="1:16" ht="60" x14ac:dyDescent="0.35">
      <c r="A8" s="385" t="s">
        <v>211</v>
      </c>
      <c r="B8" s="385" t="s">
        <v>671</v>
      </c>
      <c r="C8" s="385" t="s">
        <v>666</v>
      </c>
      <c r="D8" s="385">
        <v>0</v>
      </c>
      <c r="E8" s="385">
        <v>55287.73</v>
      </c>
      <c r="F8" s="385">
        <v>55287.73</v>
      </c>
      <c r="G8" s="385">
        <v>13411.8369140625</v>
      </c>
      <c r="H8" s="385">
        <v>41875.89453125</v>
      </c>
      <c r="K8" s="385">
        <v>23680.77</v>
      </c>
      <c r="L8" s="385">
        <v>23680.77</v>
      </c>
      <c r="M8" s="385">
        <v>15.506400108337402</v>
      </c>
      <c r="N8" s="385">
        <v>23665.263671875</v>
      </c>
    </row>
    <row r="9" spans="1:16" ht="60" x14ac:dyDescent="0.35">
      <c r="A9" s="385" t="s">
        <v>86</v>
      </c>
      <c r="B9" s="385" t="s">
        <v>672</v>
      </c>
      <c r="C9" s="385" t="s">
        <v>666</v>
      </c>
      <c r="D9" s="385">
        <v>0</v>
      </c>
      <c r="E9" s="385">
        <v>6794.9558710069396</v>
      </c>
      <c r="F9" s="385">
        <v>6794.9558710069396</v>
      </c>
      <c r="G9" s="385">
        <v>2855.808837890625</v>
      </c>
      <c r="H9" s="385">
        <v>3939.14697265625</v>
      </c>
      <c r="K9" s="385">
        <v>5218.6072969195502</v>
      </c>
      <c r="L9" s="385">
        <v>5218.6072969195502</v>
      </c>
      <c r="M9" s="385">
        <v>621.55072021484375</v>
      </c>
      <c r="N9" s="385">
        <v>4597.056640625</v>
      </c>
    </row>
    <row r="10" spans="1:16" ht="30" x14ac:dyDescent="0.35">
      <c r="A10" s="385" t="s">
        <v>68</v>
      </c>
      <c r="B10" s="385" t="s">
        <v>627</v>
      </c>
      <c r="C10" s="385" t="s">
        <v>628</v>
      </c>
      <c r="D10" s="385">
        <v>0</v>
      </c>
      <c r="E10" s="385">
        <v>79794.007490636999</v>
      </c>
      <c r="F10" s="385">
        <v>80002.533631904007</v>
      </c>
      <c r="G10" s="385">
        <v>43166.953125</v>
      </c>
      <c r="H10" s="385">
        <v>36627.0546875</v>
      </c>
      <c r="K10" s="385">
        <v>28134.276598696</v>
      </c>
      <c r="L10" s="385">
        <v>28260.7717410187</v>
      </c>
      <c r="M10" s="385">
        <v>12077.658203125</v>
      </c>
      <c r="N10" s="385">
        <v>16056.6181640625</v>
      </c>
      <c r="O10" s="385">
        <v>1375.757568359375</v>
      </c>
    </row>
    <row r="11" spans="1:16" ht="30" x14ac:dyDescent="0.35">
      <c r="A11" s="385" t="s">
        <v>187</v>
      </c>
      <c r="B11" s="385" t="s">
        <v>629</v>
      </c>
      <c r="C11" s="385" t="s">
        <v>628</v>
      </c>
      <c r="D11" s="385">
        <v>0</v>
      </c>
      <c r="E11" s="385">
        <v>21706.804080344999</v>
      </c>
      <c r="F11" s="385">
        <v>16366.9470408009</v>
      </c>
      <c r="G11" s="385">
        <v>11027.060546875</v>
      </c>
      <c r="H11" s="385">
        <v>10679.7431640625</v>
      </c>
      <c r="K11" s="385">
        <v>25799.768640236001</v>
      </c>
      <c r="L11" s="385">
        <v>18200.524707765202</v>
      </c>
      <c r="M11" s="385">
        <v>15405.2626953125</v>
      </c>
      <c r="N11" s="385">
        <v>10394.505859375</v>
      </c>
      <c r="O11" s="385">
        <v>15405.2626953125</v>
      </c>
    </row>
    <row r="12" spans="1:16" ht="30" x14ac:dyDescent="0.35">
      <c r="A12" s="385" t="s">
        <v>82</v>
      </c>
      <c r="B12" s="385" t="s">
        <v>630</v>
      </c>
      <c r="C12" s="385" t="s">
        <v>628</v>
      </c>
      <c r="D12" s="385">
        <v>0</v>
      </c>
      <c r="E12" s="385">
        <v>55518.068720673</v>
      </c>
      <c r="F12" s="385">
        <v>53857.701288930803</v>
      </c>
      <c r="G12" s="385">
        <v>52363.03515625</v>
      </c>
      <c r="H12" s="385">
        <v>3155.033447265625</v>
      </c>
      <c r="K12" s="385">
        <v>82689.404465622007</v>
      </c>
      <c r="L12" s="385">
        <v>79594.5528705865</v>
      </c>
      <c r="M12" s="385">
        <v>49012.296875</v>
      </c>
      <c r="N12" s="385">
        <v>33677.109375</v>
      </c>
      <c r="O12" s="385">
        <v>13467.4755859375</v>
      </c>
    </row>
    <row r="13" spans="1:16" ht="30" x14ac:dyDescent="0.35">
      <c r="A13" s="385" t="s">
        <v>188</v>
      </c>
      <c r="B13" s="385" t="s">
        <v>631</v>
      </c>
      <c r="C13" s="385" t="s">
        <v>628</v>
      </c>
      <c r="D13" s="385">
        <v>0</v>
      </c>
      <c r="E13" s="385">
        <v>20376.890344200001</v>
      </c>
      <c r="F13" s="385">
        <v>23930.4777545705</v>
      </c>
      <c r="G13" s="385">
        <v>8274.4970703125</v>
      </c>
      <c r="H13" s="385">
        <v>12102.3935546875</v>
      </c>
      <c r="K13" s="385">
        <v>9426.4137727203997</v>
      </c>
      <c r="L13" s="385">
        <v>10664.164292454201</v>
      </c>
      <c r="M13" s="385">
        <v>515.14910888671875</v>
      </c>
      <c r="N13" s="385">
        <v>8911.2646484375</v>
      </c>
      <c r="O13" s="385">
        <v>515.14910888671875</v>
      </c>
    </row>
    <row r="14" spans="1:16" ht="30" x14ac:dyDescent="0.35">
      <c r="A14" s="385" t="s">
        <v>189</v>
      </c>
      <c r="B14" s="385" t="s">
        <v>632</v>
      </c>
      <c r="C14" s="385" t="s">
        <v>628</v>
      </c>
      <c r="D14" s="385">
        <v>0</v>
      </c>
      <c r="E14" s="385">
        <v>22176.349130215</v>
      </c>
      <c r="F14" s="385">
        <v>21435.136552108699</v>
      </c>
      <c r="G14" s="385">
        <v>9722.9404296875</v>
      </c>
      <c r="H14" s="385">
        <v>12453.4091796875</v>
      </c>
      <c r="K14" s="385">
        <v>5903.6375082438999</v>
      </c>
      <c r="L14" s="385">
        <v>4425.6811168117101</v>
      </c>
      <c r="M14" s="385">
        <v>2029.6715087890625</v>
      </c>
      <c r="N14" s="385">
        <v>3873.966064453125</v>
      </c>
    </row>
    <row r="15" spans="1:16" ht="30" x14ac:dyDescent="0.35">
      <c r="A15" s="385" t="s">
        <v>75</v>
      </c>
      <c r="B15" s="385" t="s">
        <v>633</v>
      </c>
      <c r="C15" s="385" t="s">
        <v>628</v>
      </c>
      <c r="D15" s="385">
        <v>0</v>
      </c>
      <c r="E15" s="385">
        <v>46966.032180039998</v>
      </c>
      <c r="F15" s="385">
        <v>50521.330308238801</v>
      </c>
      <c r="G15" s="385">
        <v>46484.49609375</v>
      </c>
      <c r="H15" s="385">
        <v>481.53607177734375</v>
      </c>
      <c r="K15" s="385">
        <v>146500.15774528999</v>
      </c>
      <c r="L15" s="385">
        <v>165394.50424268201</v>
      </c>
      <c r="M15" s="385">
        <v>89264.2265625</v>
      </c>
      <c r="N15" s="385">
        <v>57235.9296875</v>
      </c>
    </row>
    <row r="16" spans="1:16" ht="30" x14ac:dyDescent="0.35">
      <c r="A16" s="385" t="s">
        <v>190</v>
      </c>
      <c r="B16" s="385" t="s">
        <v>634</v>
      </c>
      <c r="C16" s="385" t="s">
        <v>628</v>
      </c>
      <c r="D16" s="385">
        <v>0</v>
      </c>
      <c r="E16" s="385">
        <v>11132.216804465999</v>
      </c>
      <c r="F16" s="385">
        <v>10647.195564851801</v>
      </c>
      <c r="G16" s="385">
        <v>5462.71240234375</v>
      </c>
      <c r="H16" s="385">
        <v>5669.50439453125</v>
      </c>
      <c r="K16" s="385">
        <v>22738.887711116</v>
      </c>
      <c r="L16" s="385">
        <v>23218.7533120466</v>
      </c>
      <c r="M16" s="385">
        <v>11011.255859375</v>
      </c>
      <c r="N16" s="385">
        <v>11727.6318359375</v>
      </c>
    </row>
    <row r="17" spans="1:15" ht="30" x14ac:dyDescent="0.35">
      <c r="A17" s="385" t="s">
        <v>72</v>
      </c>
      <c r="B17" s="385" t="s">
        <v>635</v>
      </c>
      <c r="C17" s="385" t="s">
        <v>628</v>
      </c>
      <c r="D17" s="385">
        <v>0</v>
      </c>
      <c r="E17" s="385">
        <v>34686.086865074998</v>
      </c>
      <c r="F17" s="385">
        <v>34278.050135254402</v>
      </c>
      <c r="G17" s="385">
        <v>27067.052734375</v>
      </c>
      <c r="H17" s="385">
        <v>7619.0341796875</v>
      </c>
      <c r="K17" s="385">
        <v>47062.782626984997</v>
      </c>
      <c r="L17" s="385">
        <v>45993.478724905406</v>
      </c>
      <c r="M17" s="385">
        <v>13030.2841796875</v>
      </c>
      <c r="N17" s="385">
        <v>34032.5</v>
      </c>
    </row>
    <row r="18" spans="1:15" ht="60" x14ac:dyDescent="0.35">
      <c r="A18" s="385" t="s">
        <v>191</v>
      </c>
      <c r="B18" s="385" t="s">
        <v>636</v>
      </c>
      <c r="C18" s="385" t="s">
        <v>628</v>
      </c>
      <c r="D18" s="385">
        <v>0</v>
      </c>
      <c r="E18" s="385">
        <v>2467.1605847092001</v>
      </c>
      <c r="F18" s="385">
        <v>2469.0799019762603</v>
      </c>
      <c r="G18" s="385">
        <v>928.63128662109375</v>
      </c>
      <c r="H18" s="385">
        <v>1538.529296875</v>
      </c>
      <c r="K18" s="385">
        <v>845.18561362919002</v>
      </c>
      <c r="L18" s="385">
        <v>856.7606350648839</v>
      </c>
      <c r="M18" s="385">
        <v>426.95901489257812</v>
      </c>
      <c r="N18" s="385">
        <v>418.22659301757812</v>
      </c>
    </row>
    <row r="19" spans="1:15" ht="30" x14ac:dyDescent="0.35">
      <c r="A19" s="385" t="s">
        <v>192</v>
      </c>
      <c r="B19" s="385" t="s">
        <v>637</v>
      </c>
      <c r="C19" s="385" t="s">
        <v>628</v>
      </c>
      <c r="D19" s="385">
        <v>0</v>
      </c>
      <c r="E19" s="385">
        <v>8744.3474603007999</v>
      </c>
      <c r="F19" s="385">
        <v>8803.2626022592194</v>
      </c>
      <c r="G19" s="385">
        <v>7138.19482421875</v>
      </c>
      <c r="H19" s="385">
        <v>1606.152587890625</v>
      </c>
      <c r="K19" s="385">
        <v>15616.784099274</v>
      </c>
      <c r="L19" s="385">
        <v>16081.263655573601</v>
      </c>
      <c r="M19" s="385">
        <v>8218.1005859375</v>
      </c>
      <c r="N19" s="385">
        <v>7398.68359375</v>
      </c>
    </row>
    <row r="20" spans="1:15" ht="30" x14ac:dyDescent="0.35">
      <c r="A20" s="385" t="s">
        <v>71</v>
      </c>
      <c r="B20" s="385" t="s">
        <v>638</v>
      </c>
      <c r="C20" s="385" t="s">
        <v>628</v>
      </c>
      <c r="D20" s="385">
        <v>0</v>
      </c>
      <c r="E20" s="385">
        <v>56771.479650857</v>
      </c>
      <c r="F20" s="385">
        <v>51018.611088161793</v>
      </c>
      <c r="G20" s="385">
        <v>39027.390625</v>
      </c>
      <c r="H20" s="385">
        <v>17744.08984375</v>
      </c>
      <c r="K20" s="385">
        <v>138257.44031969999</v>
      </c>
      <c r="L20" s="385">
        <v>117553.89729261701</v>
      </c>
      <c r="M20" s="385">
        <v>74029.4453125</v>
      </c>
      <c r="N20" s="385">
        <v>64227.99609375</v>
      </c>
    </row>
    <row r="21" spans="1:15" ht="60" x14ac:dyDescent="0.35">
      <c r="A21" s="385" t="s">
        <v>70</v>
      </c>
      <c r="B21" s="385" t="s">
        <v>639</v>
      </c>
      <c r="C21" s="385" t="s">
        <v>628</v>
      </c>
      <c r="D21" s="385">
        <v>0</v>
      </c>
      <c r="E21" s="385">
        <v>89153.320999950607</v>
      </c>
      <c r="F21" s="385">
        <v>89153.320999950607</v>
      </c>
      <c r="G21" s="385">
        <v>173828.65625</v>
      </c>
      <c r="H21" s="385">
        <v>-84675.3359375</v>
      </c>
      <c r="K21" s="385">
        <v>199989.65598683403</v>
      </c>
      <c r="L21" s="385">
        <v>199989.65598683403</v>
      </c>
      <c r="M21" s="385">
        <v>170050.75</v>
      </c>
      <c r="N21" s="385">
        <v>29938.90625</v>
      </c>
    </row>
    <row r="22" spans="1:15" ht="30" x14ac:dyDescent="0.35">
      <c r="A22" s="385" t="s">
        <v>193</v>
      </c>
      <c r="B22" s="385" t="s">
        <v>640</v>
      </c>
      <c r="C22" s="385" t="s">
        <v>628</v>
      </c>
      <c r="D22" s="385">
        <v>0</v>
      </c>
      <c r="E22" s="385">
        <v>3737.9544610368998</v>
      </c>
      <c r="F22" s="385">
        <v>3689.9667662946999</v>
      </c>
      <c r="G22" s="385">
        <v>2177.868408203125</v>
      </c>
      <c r="H22" s="385">
        <v>1560.0860595703125</v>
      </c>
      <c r="K22" s="385">
        <v>1977.5942054894999</v>
      </c>
      <c r="L22" s="385">
        <v>1957.6420586805</v>
      </c>
      <c r="M22" s="385">
        <v>-55.609230041503906</v>
      </c>
      <c r="N22" s="385">
        <v>2033.2034912109375</v>
      </c>
    </row>
    <row r="23" spans="1:15" ht="30" x14ac:dyDescent="0.35">
      <c r="A23" s="385" t="s">
        <v>194</v>
      </c>
      <c r="B23" s="385" t="s">
        <v>641</v>
      </c>
      <c r="C23" s="385" t="s">
        <v>628</v>
      </c>
      <c r="D23" s="385">
        <v>0</v>
      </c>
      <c r="E23" s="385">
        <v>18306.969718523</v>
      </c>
      <c r="F23" s="385">
        <v>22754.417292672701</v>
      </c>
      <c r="G23" s="385">
        <v>8092.43798828125</v>
      </c>
      <c r="H23" s="385">
        <v>10214.53125</v>
      </c>
      <c r="K23" s="385">
        <v>11693.739925164</v>
      </c>
      <c r="L23" s="385">
        <v>16215.763718381901</v>
      </c>
      <c r="M23" s="385">
        <v>3018.638916015625</v>
      </c>
      <c r="N23" s="385">
        <v>8675.1005859375</v>
      </c>
    </row>
    <row r="24" spans="1:15" ht="30" x14ac:dyDescent="0.35">
      <c r="A24" s="385" t="s">
        <v>195</v>
      </c>
      <c r="B24" s="385" t="s">
        <v>642</v>
      </c>
      <c r="C24" s="385" t="s">
        <v>628</v>
      </c>
      <c r="D24" s="385">
        <v>0</v>
      </c>
      <c r="E24" s="385">
        <v>521.03499283419001</v>
      </c>
      <c r="F24" s="385">
        <v>569.49223732519397</v>
      </c>
      <c r="G24" s="385">
        <v>312.59368896484375</v>
      </c>
      <c r="H24" s="385">
        <v>208.44129943847656</v>
      </c>
      <c r="K24" s="385">
        <v>112.46465763707999</v>
      </c>
      <c r="L24" s="385">
        <v>239.57515255076899</v>
      </c>
      <c r="M24" s="385">
        <v>223.2593994140625</v>
      </c>
      <c r="N24" s="385">
        <v>-110.79473876953125</v>
      </c>
      <c r="O24" s="385">
        <v>109.80101013183594</v>
      </c>
    </row>
    <row r="25" spans="1:15" ht="30" x14ac:dyDescent="0.35">
      <c r="A25" s="385" t="s">
        <v>196</v>
      </c>
      <c r="B25" s="385" t="s">
        <v>643</v>
      </c>
      <c r="C25" s="385" t="s">
        <v>628</v>
      </c>
      <c r="D25" s="385">
        <v>0</v>
      </c>
      <c r="E25" s="385">
        <v>11350</v>
      </c>
      <c r="F25" s="385">
        <v>11350</v>
      </c>
      <c r="G25" s="385">
        <v>4469.029296875</v>
      </c>
      <c r="H25" s="385">
        <v>6880.970703125</v>
      </c>
      <c r="K25" s="385">
        <v>10227.299999999999</v>
      </c>
      <c r="L25" s="385">
        <v>10227.299999999999</v>
      </c>
      <c r="M25" s="385">
        <v>989.625</v>
      </c>
      <c r="N25" s="385">
        <v>9237.6748046875</v>
      </c>
    </row>
    <row r="26" spans="1:15" ht="30" x14ac:dyDescent="0.35">
      <c r="A26" s="385" t="s">
        <v>74</v>
      </c>
      <c r="B26" s="385" t="s">
        <v>644</v>
      </c>
      <c r="C26" s="385" t="s">
        <v>628</v>
      </c>
      <c r="D26" s="385">
        <v>0</v>
      </c>
      <c r="E26" s="385">
        <v>19924.497844148002</v>
      </c>
      <c r="F26" s="385">
        <v>23764.533458685102</v>
      </c>
      <c r="G26" s="385">
        <v>31330.23828125</v>
      </c>
      <c r="H26" s="385">
        <v>-11405.740234375</v>
      </c>
      <c r="K26" s="385">
        <v>44481.423914186998</v>
      </c>
      <c r="L26" s="385">
        <v>47438.702326163599</v>
      </c>
      <c r="M26" s="385">
        <v>18076.873046875</v>
      </c>
      <c r="N26" s="385">
        <v>26404.55078125</v>
      </c>
    </row>
    <row r="27" spans="1:15" ht="30" x14ac:dyDescent="0.35">
      <c r="A27" s="385" t="s">
        <v>73</v>
      </c>
      <c r="B27" s="385" t="s">
        <v>645</v>
      </c>
      <c r="C27" s="385" t="s">
        <v>628</v>
      </c>
      <c r="D27" s="385">
        <v>0</v>
      </c>
      <c r="E27" s="385">
        <v>35400.16363268</v>
      </c>
      <c r="F27" s="385">
        <v>33806.969961381998</v>
      </c>
      <c r="G27" s="385">
        <v>21276.314453125</v>
      </c>
      <c r="H27" s="385">
        <v>14123.849609375</v>
      </c>
      <c r="K27" s="385">
        <v>209360.01896417001</v>
      </c>
      <c r="L27" s="385">
        <v>210367.79900789898</v>
      </c>
      <c r="M27" s="385">
        <v>66531.6953125</v>
      </c>
      <c r="N27" s="385">
        <v>142828.328125</v>
      </c>
    </row>
    <row r="28" spans="1:15" ht="60" x14ac:dyDescent="0.35">
      <c r="A28" s="385" t="s">
        <v>197</v>
      </c>
      <c r="B28" s="385" t="s">
        <v>646</v>
      </c>
      <c r="C28" s="385" t="s">
        <v>628</v>
      </c>
      <c r="D28" s="385">
        <v>0</v>
      </c>
      <c r="E28" s="385">
        <v>10135.186970834</v>
      </c>
      <c r="F28" s="385">
        <v>17256.900000000001</v>
      </c>
      <c r="G28" s="385">
        <v>10389.259765625</v>
      </c>
      <c r="H28" s="385">
        <v>-254.07279968261719</v>
      </c>
      <c r="K28" s="385">
        <v>26019.914824930001</v>
      </c>
      <c r="L28" s="385">
        <v>29047.5</v>
      </c>
      <c r="M28" s="385">
        <v>8646.72265625</v>
      </c>
      <c r="N28" s="385">
        <v>17373.19140625</v>
      </c>
      <c r="O28" s="385">
        <v>1297.28271484375</v>
      </c>
    </row>
    <row r="29" spans="1:15" ht="30" x14ac:dyDescent="0.35">
      <c r="A29" s="385" t="s">
        <v>198</v>
      </c>
      <c r="B29" s="385" t="s">
        <v>647</v>
      </c>
      <c r="C29" s="385" t="s">
        <v>628</v>
      </c>
      <c r="D29" s="385">
        <v>0</v>
      </c>
      <c r="E29" s="385">
        <v>2160.0588915764001</v>
      </c>
      <c r="F29" s="385">
        <v>2110.2543943452401</v>
      </c>
      <c r="G29" s="385">
        <v>1897.22119140625</v>
      </c>
      <c r="H29" s="385">
        <v>262.83770751953125</v>
      </c>
      <c r="K29" s="385">
        <v>606.79356399201004</v>
      </c>
      <c r="L29" s="385">
        <v>628.57302462121402</v>
      </c>
      <c r="M29" s="385">
        <v>672.814453125</v>
      </c>
      <c r="N29" s="385">
        <v>-66.020889282226562</v>
      </c>
      <c r="O29" s="385">
        <v>140.68701171875</v>
      </c>
    </row>
    <row r="30" spans="1:15" ht="30" x14ac:dyDescent="0.35">
      <c r="A30" s="385" t="s">
        <v>81</v>
      </c>
      <c r="B30" s="385" t="s">
        <v>648</v>
      </c>
      <c r="C30" s="385" t="s">
        <v>628</v>
      </c>
      <c r="D30" s="385">
        <v>0</v>
      </c>
      <c r="E30" s="385">
        <v>0</v>
      </c>
      <c r="F30" s="385">
        <v>28042.260491000001</v>
      </c>
      <c r="G30" s="385">
        <v>30674.578125</v>
      </c>
      <c r="H30" s="385">
        <v>-30674.578125</v>
      </c>
      <c r="K30" s="385">
        <v>0</v>
      </c>
      <c r="L30" s="385">
        <v>9759.0435049999996</v>
      </c>
      <c r="M30" s="385">
        <v>6681.9228515625</v>
      </c>
      <c r="N30" s="385">
        <v>-6681.9228515625</v>
      </c>
      <c r="O30" s="385">
        <v>6681.9228515625</v>
      </c>
    </row>
    <row r="31" spans="1:15" ht="30" x14ac:dyDescent="0.35">
      <c r="A31" s="385" t="s">
        <v>200</v>
      </c>
      <c r="B31" s="385" t="s">
        <v>649</v>
      </c>
      <c r="C31" s="385" t="s">
        <v>628</v>
      </c>
      <c r="D31" s="385">
        <v>0</v>
      </c>
      <c r="E31" s="385">
        <v>19365.540055549998</v>
      </c>
      <c r="F31" s="385">
        <v>15163.897970601</v>
      </c>
      <c r="G31" s="385">
        <v>19073.01171875</v>
      </c>
      <c r="H31" s="385">
        <v>292.52835083007812</v>
      </c>
      <c r="K31" s="385">
        <v>17341.489040768</v>
      </c>
      <c r="L31" s="385">
        <v>10628.3373270351</v>
      </c>
      <c r="M31" s="385">
        <v>13028.5576171875</v>
      </c>
      <c r="N31" s="385">
        <v>4312.931640625</v>
      </c>
      <c r="O31" s="385">
        <v>3368.101806640625</v>
      </c>
    </row>
    <row r="32" spans="1:15" ht="60" x14ac:dyDescent="0.35">
      <c r="A32" s="385" t="s">
        <v>199</v>
      </c>
      <c r="B32" s="385" t="s">
        <v>650</v>
      </c>
      <c r="C32" s="385" t="s">
        <v>628</v>
      </c>
      <c r="D32" s="385">
        <v>0</v>
      </c>
      <c r="E32" s="385">
        <v>7920.9902199264998</v>
      </c>
      <c r="F32" s="385">
        <v>7789.5082825237796</v>
      </c>
      <c r="G32" s="385">
        <v>5872.06982421875</v>
      </c>
      <c r="H32" s="385">
        <v>2048.92041015625</v>
      </c>
      <c r="K32" s="385">
        <v>1344.2882944605999</v>
      </c>
      <c r="L32" s="385">
        <v>1198.13962632059</v>
      </c>
      <c r="M32" s="385">
        <v>1078.8970947265625</v>
      </c>
      <c r="N32" s="385">
        <v>265.39120483398438</v>
      </c>
    </row>
    <row r="33" spans="1:16" ht="60" x14ac:dyDescent="0.35">
      <c r="A33" s="385" t="s">
        <v>201</v>
      </c>
      <c r="B33" s="385" t="s">
        <v>651</v>
      </c>
      <c r="C33" s="385" t="s">
        <v>628</v>
      </c>
      <c r="D33" s="385">
        <v>0</v>
      </c>
      <c r="E33" s="385">
        <v>31386.365165892999</v>
      </c>
      <c r="F33" s="385">
        <v>29966</v>
      </c>
      <c r="G33" s="385">
        <v>13139.5537109375</v>
      </c>
      <c r="H33" s="385">
        <v>18246.810546875</v>
      </c>
      <c r="K33" s="385">
        <v>6676.5372277182996</v>
      </c>
      <c r="L33" s="385">
        <v>7528</v>
      </c>
      <c r="M33" s="385">
        <v>3208.8408203125</v>
      </c>
      <c r="N33" s="385">
        <v>3467.6962890625</v>
      </c>
    </row>
    <row r="34" spans="1:16" ht="30" x14ac:dyDescent="0.35">
      <c r="A34" s="385" t="s">
        <v>202</v>
      </c>
      <c r="B34" s="385" t="s">
        <v>652</v>
      </c>
      <c r="C34" s="385" t="s">
        <v>628</v>
      </c>
      <c r="D34" s="385">
        <v>0</v>
      </c>
      <c r="E34" s="385">
        <v>11183.87843096</v>
      </c>
      <c r="F34" s="385">
        <v>8099.55624561692</v>
      </c>
      <c r="G34" s="385">
        <v>6767.0625</v>
      </c>
      <c r="H34" s="385">
        <v>4416.81591796875</v>
      </c>
      <c r="K34" s="385">
        <v>5456.577978757</v>
      </c>
      <c r="L34" s="385">
        <v>4254.2429154491701</v>
      </c>
      <c r="M34" s="385">
        <v>4395.671875</v>
      </c>
      <c r="N34" s="385">
        <v>1060.9061279296875</v>
      </c>
      <c r="O34" s="385">
        <v>4395.671875</v>
      </c>
    </row>
    <row r="35" spans="1:16" ht="30" x14ac:dyDescent="0.35">
      <c r="A35" s="385" t="s">
        <v>203</v>
      </c>
      <c r="B35" s="385" t="s">
        <v>653</v>
      </c>
      <c r="C35" s="385" t="s">
        <v>628</v>
      </c>
      <c r="D35" s="385">
        <v>0</v>
      </c>
      <c r="E35" s="385">
        <v>5712.2766715743001</v>
      </c>
      <c r="F35" s="385">
        <v>4309.3367702313899</v>
      </c>
      <c r="G35" s="385">
        <v>3268.009033203125</v>
      </c>
      <c r="H35" s="385">
        <v>2444.267578125</v>
      </c>
      <c r="K35" s="385">
        <v>534.07136291934</v>
      </c>
      <c r="L35" s="385">
        <v>690.37527857754606</v>
      </c>
      <c r="M35" s="385">
        <v>574.3370361328125</v>
      </c>
      <c r="N35" s="385">
        <v>-40.265674591064453</v>
      </c>
      <c r="O35" s="385">
        <v>132.08920288085938</v>
      </c>
    </row>
    <row r="36" spans="1:16" ht="60" x14ac:dyDescent="0.35">
      <c r="A36" s="385" t="s">
        <v>204</v>
      </c>
      <c r="B36" s="385" t="s">
        <v>654</v>
      </c>
      <c r="C36" s="385" t="s">
        <v>628</v>
      </c>
      <c r="D36" s="385">
        <v>0</v>
      </c>
      <c r="E36" s="385">
        <v>2111.586917657</v>
      </c>
      <c r="F36" s="385">
        <v>2104.45573087707</v>
      </c>
      <c r="G36" s="385">
        <v>555.43658447265625</v>
      </c>
      <c r="H36" s="385">
        <v>1556.150390625</v>
      </c>
      <c r="K36" s="385">
        <v>564.39478388894997</v>
      </c>
      <c r="L36" s="385">
        <v>579.33136151021597</v>
      </c>
      <c r="M36" s="385">
        <v>81.992744445800781</v>
      </c>
      <c r="N36" s="385">
        <v>482.40203857421875</v>
      </c>
    </row>
    <row r="37" spans="1:16" ht="30" x14ac:dyDescent="0.35">
      <c r="A37" s="385" t="s">
        <v>205</v>
      </c>
      <c r="B37" s="385" t="s">
        <v>655</v>
      </c>
      <c r="C37" s="385" t="s">
        <v>628</v>
      </c>
      <c r="D37" s="385">
        <v>0</v>
      </c>
      <c r="E37" s="385">
        <v>29291.827022963</v>
      </c>
      <c r="F37" s="385">
        <v>25265.524471273202</v>
      </c>
      <c r="G37" s="385">
        <v>24907.095703125</v>
      </c>
      <c r="H37" s="385">
        <v>4384.7314453125</v>
      </c>
      <c r="K37" s="385">
        <v>48010.625562690002</v>
      </c>
      <c r="L37" s="385">
        <v>42202.395729692296</v>
      </c>
      <c r="M37" s="385">
        <v>34830.0625</v>
      </c>
      <c r="N37" s="385">
        <v>13180.5634765625</v>
      </c>
    </row>
    <row r="38" spans="1:16" ht="60" x14ac:dyDescent="0.35">
      <c r="A38" s="385" t="s">
        <v>206</v>
      </c>
      <c r="B38" s="385" t="s">
        <v>656</v>
      </c>
      <c r="C38" s="385" t="s">
        <v>628</v>
      </c>
      <c r="D38" s="385">
        <v>0</v>
      </c>
      <c r="E38" s="385">
        <v>4067.62</v>
      </c>
      <c r="F38" s="385">
        <v>4077</v>
      </c>
      <c r="G38" s="385">
        <v>8142.24072265625</v>
      </c>
      <c r="H38" s="385">
        <v>-4074.62060546875</v>
      </c>
      <c r="K38" s="385">
        <v>2212.88</v>
      </c>
      <c r="L38" s="385">
        <v>2231</v>
      </c>
      <c r="M38" s="385">
        <v>-169.9305419921875</v>
      </c>
      <c r="N38" s="385">
        <v>2382.810546875</v>
      </c>
    </row>
    <row r="39" spans="1:16" ht="60" x14ac:dyDescent="0.35">
      <c r="A39" s="385" t="s">
        <v>67</v>
      </c>
      <c r="B39" s="385" t="s">
        <v>80</v>
      </c>
      <c r="C39" s="385" t="s">
        <v>628</v>
      </c>
      <c r="D39" s="385">
        <v>0</v>
      </c>
      <c r="E39" s="385">
        <v>288883</v>
      </c>
      <c r="F39" s="385">
        <v>322715</v>
      </c>
      <c r="G39" s="385">
        <v>187286.171875</v>
      </c>
      <c r="H39" s="385">
        <v>101596.828125</v>
      </c>
      <c r="K39" s="385">
        <v>564479</v>
      </c>
      <c r="L39" s="385">
        <v>640697</v>
      </c>
      <c r="M39" s="385">
        <v>230373.328125</v>
      </c>
      <c r="N39" s="385">
        <v>334105.6875</v>
      </c>
    </row>
    <row r="40" spans="1:16" ht="30" x14ac:dyDescent="0.35">
      <c r="A40" s="385" t="s">
        <v>65</v>
      </c>
      <c r="B40" s="385" t="s">
        <v>658</v>
      </c>
      <c r="C40" s="385" t="s">
        <v>659</v>
      </c>
      <c r="D40" s="385">
        <v>1</v>
      </c>
      <c r="E40" s="385">
        <v>24735.513723840999</v>
      </c>
      <c r="F40" s="385">
        <v>44595.288061918407</v>
      </c>
      <c r="G40" s="385">
        <v>30254.103515625</v>
      </c>
      <c r="H40" s="385">
        <v>-5518.58984375</v>
      </c>
      <c r="K40" s="385">
        <v>20944.368493007001</v>
      </c>
      <c r="L40" s="385">
        <v>41691.958764245297</v>
      </c>
      <c r="M40" s="385">
        <v>31576.255859375</v>
      </c>
      <c r="N40" s="385">
        <v>-10631.8876953125</v>
      </c>
      <c r="O40" s="385">
        <v>17188.833984375</v>
      </c>
    </row>
    <row r="41" spans="1:16" ht="30" x14ac:dyDescent="0.35">
      <c r="A41" s="385" t="s">
        <v>61</v>
      </c>
      <c r="B41" s="385" t="s">
        <v>660</v>
      </c>
      <c r="C41" s="385" t="s">
        <v>659</v>
      </c>
      <c r="D41" s="385">
        <v>1</v>
      </c>
      <c r="E41" s="385">
        <v>110134.31444433</v>
      </c>
      <c r="F41" s="385">
        <v>101073.45425617101</v>
      </c>
      <c r="G41" s="385">
        <v>87659.765625</v>
      </c>
      <c r="H41" s="385">
        <v>22474.548828125</v>
      </c>
      <c r="K41" s="385">
        <v>112597.34995285999</v>
      </c>
      <c r="L41" s="385">
        <v>114601.12481518299</v>
      </c>
      <c r="M41" s="385">
        <v>78135.0859375</v>
      </c>
      <c r="N41" s="385">
        <v>34462.265625</v>
      </c>
    </row>
    <row r="42" spans="1:16" ht="30" x14ac:dyDescent="0.35">
      <c r="A42" s="385" t="s">
        <v>59</v>
      </c>
      <c r="B42" s="385" t="s">
        <v>661</v>
      </c>
      <c r="C42" s="385" t="s">
        <v>659</v>
      </c>
      <c r="D42" s="385">
        <v>1</v>
      </c>
      <c r="E42" s="385">
        <v>194054.79019875999</v>
      </c>
      <c r="F42" s="385">
        <v>184022.37004816101</v>
      </c>
      <c r="G42" s="385">
        <v>102379.9296875</v>
      </c>
      <c r="H42" s="385">
        <v>91674.859375</v>
      </c>
      <c r="I42" s="385">
        <v>42070.1328125</v>
      </c>
      <c r="K42" s="385">
        <v>34350.741402881002</v>
      </c>
      <c r="L42" s="385">
        <v>43355.456684172299</v>
      </c>
      <c r="M42" s="385">
        <v>17231.6484375</v>
      </c>
      <c r="N42" s="385">
        <v>17119.09375</v>
      </c>
    </row>
    <row r="43" spans="1:16" ht="60" x14ac:dyDescent="0.35">
      <c r="A43" s="385" t="s">
        <v>60</v>
      </c>
      <c r="B43" s="385" t="s">
        <v>662</v>
      </c>
      <c r="C43" s="385" t="s">
        <v>659</v>
      </c>
      <c r="D43" s="385">
        <v>1</v>
      </c>
      <c r="E43" s="385">
        <v>98495.109895888003</v>
      </c>
      <c r="F43" s="385">
        <v>135040.77835019401</v>
      </c>
      <c r="G43" s="385">
        <v>83586.109375</v>
      </c>
      <c r="H43" s="385">
        <v>14909.0009765625</v>
      </c>
      <c r="I43" s="385">
        <v>37579.0625</v>
      </c>
      <c r="K43" s="385">
        <v>112264.17078556999</v>
      </c>
      <c r="L43" s="385">
        <v>148439.80435017002</v>
      </c>
      <c r="M43" s="385">
        <v>105153.5234375</v>
      </c>
      <c r="N43" s="385">
        <v>7110.6474609375</v>
      </c>
      <c r="O43" s="385">
        <v>30360.166015625</v>
      </c>
    </row>
    <row r="44" spans="1:16" ht="60" x14ac:dyDescent="0.35">
      <c r="A44" s="385" t="s">
        <v>221</v>
      </c>
      <c r="B44" s="385" t="s">
        <v>663</v>
      </c>
      <c r="C44" s="385" t="s">
        <v>659</v>
      </c>
      <c r="D44" s="385">
        <v>1</v>
      </c>
      <c r="E44" s="385">
        <v>253852.14007781999</v>
      </c>
      <c r="F44" s="385">
        <v>249514.52462326901</v>
      </c>
      <c r="G44" s="385">
        <v>196397.390625</v>
      </c>
      <c r="H44" s="385">
        <v>57454.75</v>
      </c>
      <c r="I44" s="385">
        <v>5930.2841796875</v>
      </c>
      <c r="K44" s="385">
        <v>262377.74739719997</v>
      </c>
      <c r="L44" s="385">
        <v>265133.50522547401</v>
      </c>
      <c r="M44" s="385">
        <v>163522.1875</v>
      </c>
      <c r="N44" s="385">
        <v>98855.5625</v>
      </c>
      <c r="O44" s="385">
        <v>62157.16796875</v>
      </c>
      <c r="P44" s="385">
        <v>31.671548843383789</v>
      </c>
    </row>
    <row r="45" spans="1:16" ht="120" x14ac:dyDescent="0.35">
      <c r="A45" s="385" t="s">
        <v>305</v>
      </c>
      <c r="B45" s="385" t="s">
        <v>674</v>
      </c>
      <c r="C45" s="385" t="s">
        <v>675</v>
      </c>
      <c r="D45" s="385">
        <v>1</v>
      </c>
      <c r="E45" s="385">
        <v>104.85629193643101</v>
      </c>
      <c r="F45" s="385">
        <v>104.85629193643101</v>
      </c>
      <c r="G45" s="385">
        <v>67.560310363769531</v>
      </c>
      <c r="H45" s="385">
        <v>37.295982360839844</v>
      </c>
      <c r="I45" s="385">
        <v>0</v>
      </c>
      <c r="J45" s="385">
        <v>0</v>
      </c>
      <c r="K45" s="385">
        <v>32.466689272789999</v>
      </c>
      <c r="L45" s="385">
        <v>32.466689272789999</v>
      </c>
      <c r="M45" s="385">
        <v>1.0474287271499634</v>
      </c>
      <c r="N45" s="385">
        <v>31.419260025024414</v>
      </c>
      <c r="O45" s="385">
        <v>0</v>
      </c>
      <c r="P45" s="385">
        <v>2.3834459781646729</v>
      </c>
    </row>
    <row r="46" spans="1:16" ht="30" x14ac:dyDescent="0.35">
      <c r="A46" s="385" t="s">
        <v>302</v>
      </c>
      <c r="B46" s="385" t="s">
        <v>676</v>
      </c>
      <c r="C46" s="385" t="s">
        <v>675</v>
      </c>
      <c r="D46" s="385">
        <v>1</v>
      </c>
      <c r="E46" s="385">
        <v>7.8909720468877396</v>
      </c>
      <c r="F46" s="385">
        <v>7.8909720468877396</v>
      </c>
      <c r="G46" s="385">
        <v>6.798616886138916</v>
      </c>
      <c r="H46" s="385">
        <v>1.0923551321029663</v>
      </c>
      <c r="I46" s="385">
        <v>0</v>
      </c>
      <c r="J46" s="385">
        <v>0</v>
      </c>
      <c r="K46" s="385">
        <v>0.16232973331865799</v>
      </c>
      <c r="L46" s="385">
        <v>0.16232973331865799</v>
      </c>
      <c r="M46" s="385">
        <v>0</v>
      </c>
      <c r="N46" s="385">
        <v>0.16232973337173462</v>
      </c>
      <c r="O46" s="385">
        <v>0</v>
      </c>
      <c r="P46" s="385">
        <v>6.9935135841369629</v>
      </c>
    </row>
    <row r="47" spans="1:16" ht="90" x14ac:dyDescent="0.35">
      <c r="A47" s="385" t="s">
        <v>300</v>
      </c>
      <c r="B47" s="385" t="s">
        <v>677</v>
      </c>
      <c r="C47" s="385" t="s">
        <v>675</v>
      </c>
      <c r="D47" s="385">
        <v>1</v>
      </c>
      <c r="E47" s="385">
        <v>0</v>
      </c>
      <c r="F47" s="385">
        <v>0</v>
      </c>
      <c r="G47" s="385">
        <v>23.153711318969727</v>
      </c>
      <c r="H47" s="385">
        <v>-23.153711318969727</v>
      </c>
      <c r="I47" s="385">
        <v>23.153711318969727</v>
      </c>
      <c r="J47" s="385">
        <v>0</v>
      </c>
      <c r="K47" s="385">
        <v>0</v>
      </c>
      <c r="L47" s="385">
        <v>0</v>
      </c>
      <c r="M47" s="385">
        <v>17.997686386108398</v>
      </c>
      <c r="N47" s="385">
        <v>-17.997686386108398</v>
      </c>
      <c r="O47" s="385">
        <v>17.997686386108398</v>
      </c>
      <c r="P47" s="385">
        <v>12.00860595703125</v>
      </c>
    </row>
    <row r="48" spans="1:16" ht="60" x14ac:dyDescent="0.35">
      <c r="A48" s="385" t="s">
        <v>303</v>
      </c>
      <c r="B48" s="385" t="s">
        <v>678</v>
      </c>
      <c r="C48" s="385" t="s">
        <v>675</v>
      </c>
      <c r="D48" s="385">
        <v>1</v>
      </c>
      <c r="E48" s="385">
        <v>39.7573846387996</v>
      </c>
      <c r="F48" s="385">
        <v>39.7573846387996</v>
      </c>
      <c r="G48" s="385">
        <v>1.0169312953948975</v>
      </c>
      <c r="H48" s="385">
        <v>38.740451812744141</v>
      </c>
      <c r="I48" s="385">
        <v>0</v>
      </c>
      <c r="J48" s="385">
        <v>0</v>
      </c>
      <c r="K48" s="385">
        <v>0.176407979473616</v>
      </c>
      <c r="L48" s="385">
        <v>0.176407979473616</v>
      </c>
      <c r="M48" s="385">
        <v>5.5421178694814444E-4</v>
      </c>
      <c r="N48" s="385">
        <v>0.17585377395153046</v>
      </c>
      <c r="O48" s="385">
        <v>0</v>
      </c>
      <c r="P48" s="385">
        <v>10.039823532104492</v>
      </c>
    </row>
    <row r="49" spans="1:16" ht="30" x14ac:dyDescent="0.35">
      <c r="A49" s="385" t="s">
        <v>679</v>
      </c>
      <c r="B49" s="385" t="s">
        <v>680</v>
      </c>
      <c r="C49" s="385" t="s">
        <v>675</v>
      </c>
      <c r="D49" s="385">
        <v>1</v>
      </c>
      <c r="E49" s="385">
        <v>0</v>
      </c>
      <c r="F49" s="385">
        <v>0</v>
      </c>
      <c r="G49" s="385">
        <v>33.239253997802734</v>
      </c>
      <c r="H49" s="385">
        <v>-33.239253997802734</v>
      </c>
      <c r="I49" s="385">
        <v>33.239253997802734</v>
      </c>
      <c r="J49" s="385">
        <v>0</v>
      </c>
      <c r="K49" s="385">
        <v>0</v>
      </c>
      <c r="L49" s="385">
        <v>0</v>
      </c>
      <c r="M49" s="385">
        <v>1.002325177192688</v>
      </c>
      <c r="N49" s="385">
        <v>-1.002325177192688</v>
      </c>
      <c r="O49" s="385">
        <v>1.002325177192688</v>
      </c>
      <c r="P49" s="385">
        <v>1844.7371826171875</v>
      </c>
    </row>
    <row r="50" spans="1:16" ht="90" x14ac:dyDescent="0.35">
      <c r="A50" s="385" t="s">
        <v>308</v>
      </c>
      <c r="B50" s="385" t="s">
        <v>681</v>
      </c>
      <c r="C50" s="385" t="s">
        <v>675</v>
      </c>
      <c r="D50" s="385">
        <v>1</v>
      </c>
      <c r="E50" s="385">
        <v>6107.44680851064</v>
      </c>
      <c r="F50" s="385">
        <v>6107.44680851064</v>
      </c>
      <c r="G50" s="385">
        <v>185.40081787109375</v>
      </c>
      <c r="H50" s="385">
        <v>5922.0458984375</v>
      </c>
      <c r="I50" s="385">
        <v>0</v>
      </c>
      <c r="J50" s="385">
        <v>0</v>
      </c>
      <c r="K50" s="385">
        <v>4144.6808510638302</v>
      </c>
      <c r="L50" s="385">
        <v>4144.6808510638302</v>
      </c>
      <c r="M50" s="385">
        <v>31.162498474121094</v>
      </c>
      <c r="N50" s="385">
        <v>4113.5185546875</v>
      </c>
      <c r="O50" s="385">
        <v>0</v>
      </c>
      <c r="P50" s="385">
        <v>803.2679443359375</v>
      </c>
    </row>
    <row r="51" spans="1:16" ht="60" x14ac:dyDescent="0.35">
      <c r="A51" s="385" t="s">
        <v>307</v>
      </c>
      <c r="B51" s="385" t="s">
        <v>682</v>
      </c>
      <c r="C51" s="385" t="s">
        <v>675</v>
      </c>
      <c r="D51" s="385">
        <v>1</v>
      </c>
      <c r="E51" s="385">
        <v>327.60537868</v>
      </c>
      <c r="F51" s="385">
        <v>327.60537868</v>
      </c>
      <c r="G51" s="385">
        <v>2659.412109375</v>
      </c>
      <c r="H51" s="385">
        <v>-2331.806640625</v>
      </c>
      <c r="I51" s="385">
        <v>2331.806640625</v>
      </c>
      <c r="J51" s="385">
        <v>0</v>
      </c>
      <c r="K51" s="385">
        <v>0</v>
      </c>
      <c r="L51" s="385">
        <v>0</v>
      </c>
      <c r="M51" s="385">
        <v>217.78630065917969</v>
      </c>
      <c r="N51" s="385">
        <v>-217.78630065917969</v>
      </c>
      <c r="O51" s="385">
        <v>217.78630065917969</v>
      </c>
      <c r="P51" s="385">
        <v>31.136774063110352</v>
      </c>
    </row>
    <row r="52" spans="1:16" ht="30" x14ac:dyDescent="0.35">
      <c r="A52" s="385" t="s">
        <v>313</v>
      </c>
      <c r="B52" s="385" t="s">
        <v>683</v>
      </c>
      <c r="C52" s="385" t="s">
        <v>675</v>
      </c>
      <c r="D52" s="385">
        <v>1</v>
      </c>
      <c r="E52" s="385">
        <v>103.085792459903</v>
      </c>
      <c r="F52" s="385">
        <v>103.085792459903</v>
      </c>
      <c r="G52" s="385">
        <v>-0.42966875433921814</v>
      </c>
      <c r="H52" s="385">
        <v>103.51546478271484</v>
      </c>
      <c r="I52" s="385">
        <v>0</v>
      </c>
      <c r="J52" s="385">
        <v>0</v>
      </c>
      <c r="K52" s="385">
        <v>2.2571826275133402</v>
      </c>
      <c r="L52" s="385">
        <v>2.2571826275133402</v>
      </c>
      <c r="M52" s="385">
        <v>19.039670944213867</v>
      </c>
      <c r="N52" s="385">
        <v>-16.782487869262695</v>
      </c>
      <c r="O52" s="385">
        <v>16.782487869262695</v>
      </c>
      <c r="P52" s="385">
        <v>8458.2880859375</v>
      </c>
    </row>
    <row r="53" spans="1:16" ht="30" x14ac:dyDescent="0.35">
      <c r="A53" s="385" t="s">
        <v>224</v>
      </c>
      <c r="B53" s="385" t="s">
        <v>684</v>
      </c>
      <c r="C53" s="385" t="s">
        <v>675</v>
      </c>
      <c r="D53" s="385">
        <v>1</v>
      </c>
      <c r="E53" s="385">
        <v>0</v>
      </c>
      <c r="F53" s="385">
        <v>0</v>
      </c>
      <c r="G53" s="385">
        <v>28003.201171875</v>
      </c>
      <c r="H53" s="385">
        <v>-28003.201171875</v>
      </c>
      <c r="I53" s="385">
        <v>28003.201171875</v>
      </c>
      <c r="J53" s="385">
        <v>0</v>
      </c>
      <c r="K53" s="385">
        <v>0</v>
      </c>
      <c r="L53" s="385">
        <v>0</v>
      </c>
      <c r="M53" s="385">
        <v>18156.443359375</v>
      </c>
      <c r="N53" s="385">
        <v>-18156.443359375</v>
      </c>
      <c r="O53" s="385">
        <v>18156.443359375</v>
      </c>
      <c r="P53" s="385">
        <v>627.08233642578125</v>
      </c>
    </row>
    <row r="54" spans="1:16" ht="30" x14ac:dyDescent="0.35">
      <c r="A54" s="385" t="s">
        <v>310</v>
      </c>
      <c r="B54" s="385" t="s">
        <v>685</v>
      </c>
      <c r="C54" s="385" t="s">
        <v>675</v>
      </c>
      <c r="D54" s="385">
        <v>1</v>
      </c>
      <c r="E54" s="385">
        <v>0</v>
      </c>
      <c r="F54" s="385">
        <v>0</v>
      </c>
      <c r="G54" s="385">
        <v>2076.107177734375</v>
      </c>
      <c r="H54" s="385">
        <v>-2076.107177734375</v>
      </c>
      <c r="I54" s="385">
        <v>2076.107177734375</v>
      </c>
      <c r="J54" s="385">
        <v>0</v>
      </c>
      <c r="K54" s="385">
        <v>0</v>
      </c>
      <c r="L54" s="385">
        <v>0</v>
      </c>
      <c r="M54" s="385">
        <v>1418.0958251953125</v>
      </c>
      <c r="N54" s="385">
        <v>-1418.0958251953125</v>
      </c>
      <c r="O54" s="385">
        <v>1418.0958251953125</v>
      </c>
      <c r="P54" s="385">
        <v>0</v>
      </c>
    </row>
    <row r="55" spans="1:16" ht="120" x14ac:dyDescent="0.35">
      <c r="A55" s="385" t="s">
        <v>337</v>
      </c>
      <c r="B55" s="385" t="s">
        <v>686</v>
      </c>
      <c r="C55" s="385" t="s">
        <v>675</v>
      </c>
      <c r="D55" s="385">
        <v>1</v>
      </c>
      <c r="E55" s="385">
        <v>70.954597988826791</v>
      </c>
      <c r="F55" s="385">
        <v>70.954597988826791</v>
      </c>
      <c r="G55" s="385">
        <v>307.35104370117188</v>
      </c>
      <c r="H55" s="385">
        <v>-236.39643859863281</v>
      </c>
      <c r="I55" s="385">
        <v>236.39643859863281</v>
      </c>
      <c r="J55" s="385">
        <v>12940</v>
      </c>
      <c r="K55" s="385">
        <v>13.835987033519599</v>
      </c>
      <c r="L55" s="385">
        <v>13.835987033519599</v>
      </c>
      <c r="M55" s="385">
        <v>1174.4200439453125</v>
      </c>
      <c r="N55" s="385">
        <v>-1160.5841064453125</v>
      </c>
      <c r="O55" s="385">
        <v>1160.5841064453125</v>
      </c>
      <c r="P55" s="385">
        <v>11601.7587890625</v>
      </c>
    </row>
    <row r="56" spans="1:16" ht="60" x14ac:dyDescent="0.35">
      <c r="A56" s="385" t="s">
        <v>326</v>
      </c>
      <c r="B56" s="385" t="s">
        <v>687</v>
      </c>
      <c r="C56" s="385" t="s">
        <v>675</v>
      </c>
      <c r="D56" s="385">
        <v>1</v>
      </c>
      <c r="E56" s="385">
        <v>0</v>
      </c>
      <c r="F56" s="385">
        <v>0</v>
      </c>
      <c r="G56" s="385">
        <v>38410.41796875</v>
      </c>
      <c r="H56" s="385">
        <v>-38410.41796875</v>
      </c>
      <c r="I56" s="385">
        <v>38410.41796875</v>
      </c>
      <c r="J56" s="385">
        <v>0</v>
      </c>
      <c r="K56" s="385">
        <v>0</v>
      </c>
      <c r="L56" s="385">
        <v>0</v>
      </c>
      <c r="M56" s="385">
        <v>14507.5419921875</v>
      </c>
      <c r="N56" s="385">
        <v>-14507.5419921875</v>
      </c>
      <c r="O56" s="385">
        <v>14507.5419921875</v>
      </c>
      <c r="P56" s="385">
        <v>7637.017578125</v>
      </c>
    </row>
    <row r="57" spans="1:16" ht="30" x14ac:dyDescent="0.35">
      <c r="A57" s="385" t="s">
        <v>338</v>
      </c>
      <c r="B57" s="385" t="s">
        <v>688</v>
      </c>
      <c r="C57" s="385" t="s">
        <v>675</v>
      </c>
      <c r="D57" s="385">
        <v>1</v>
      </c>
      <c r="E57" s="385">
        <v>25284.1874045847</v>
      </c>
      <c r="F57" s="385">
        <v>25284.1874045847</v>
      </c>
      <c r="G57" s="385">
        <v>9231.037109375</v>
      </c>
      <c r="H57" s="385">
        <v>16053.150390625</v>
      </c>
      <c r="I57" s="385">
        <v>0</v>
      </c>
      <c r="J57" s="385">
        <v>0</v>
      </c>
      <c r="K57" s="385">
        <v>22572.682436079602</v>
      </c>
      <c r="L57" s="385">
        <v>22572.682436079602</v>
      </c>
      <c r="M57" s="385">
        <v>8225.16796875</v>
      </c>
      <c r="N57" s="385">
        <v>14347.5146484375</v>
      </c>
      <c r="O57" s="385">
        <v>0</v>
      </c>
      <c r="P57" s="385">
        <v>228.45701599121094</v>
      </c>
    </row>
    <row r="58" spans="1:16" ht="30" x14ac:dyDescent="0.35">
      <c r="A58" s="385" t="s">
        <v>575</v>
      </c>
      <c r="B58" s="385" t="s">
        <v>689</v>
      </c>
      <c r="C58" s="385" t="s">
        <v>675</v>
      </c>
      <c r="D58" s="385">
        <v>1</v>
      </c>
      <c r="E58" s="385">
        <v>0</v>
      </c>
      <c r="F58" s="385">
        <v>0</v>
      </c>
      <c r="G58" s="385">
        <v>756.36199951171875</v>
      </c>
      <c r="H58" s="385">
        <v>-756.36199951171875</v>
      </c>
      <c r="I58" s="385">
        <v>756.36199951171875</v>
      </c>
      <c r="J58" s="385">
        <v>0</v>
      </c>
      <c r="K58" s="385">
        <v>0</v>
      </c>
      <c r="L58" s="385">
        <v>0</v>
      </c>
      <c r="M58" s="385">
        <v>6692.77587890625</v>
      </c>
      <c r="N58" s="385">
        <v>-6692.77587890625</v>
      </c>
      <c r="O58" s="385">
        <v>6692.77587890625</v>
      </c>
      <c r="P58" s="385">
        <v>412.22198486328125</v>
      </c>
    </row>
    <row r="59" spans="1:16" ht="30" x14ac:dyDescent="0.35">
      <c r="A59" s="385" t="s">
        <v>574</v>
      </c>
      <c r="B59" s="385" t="s">
        <v>690</v>
      </c>
      <c r="C59" s="385" t="s">
        <v>675</v>
      </c>
      <c r="D59" s="385">
        <v>1</v>
      </c>
      <c r="E59" s="385">
        <v>0</v>
      </c>
      <c r="F59" s="385">
        <v>0</v>
      </c>
      <c r="G59" s="385">
        <v>1364.76025390625</v>
      </c>
      <c r="H59" s="385">
        <v>-1364.76025390625</v>
      </c>
      <c r="I59" s="385">
        <v>1364.76025390625</v>
      </c>
      <c r="J59" s="385">
        <v>0</v>
      </c>
      <c r="K59" s="385">
        <v>0</v>
      </c>
      <c r="L59" s="385">
        <v>0</v>
      </c>
      <c r="M59" s="385">
        <v>1884.3145751953125</v>
      </c>
      <c r="N59" s="385">
        <v>-1884.3145751953125</v>
      </c>
      <c r="O59" s="385">
        <v>1884.3145751953125</v>
      </c>
      <c r="P59" s="385">
        <v>20.76800537109375</v>
      </c>
    </row>
    <row r="60" spans="1:16" ht="30" x14ac:dyDescent="0.35">
      <c r="A60" s="385" t="s">
        <v>359</v>
      </c>
      <c r="B60" s="385" t="s">
        <v>691</v>
      </c>
      <c r="C60" s="385" t="s">
        <v>675</v>
      </c>
      <c r="D60" s="385">
        <v>1</v>
      </c>
      <c r="E60" s="385">
        <v>68.757489379633299</v>
      </c>
      <c r="F60" s="385">
        <v>68.757489379633299</v>
      </c>
      <c r="G60" s="385">
        <v>0</v>
      </c>
      <c r="H60" s="385">
        <v>68.757492065429688</v>
      </c>
      <c r="I60" s="385">
        <v>0</v>
      </c>
      <c r="J60" s="385">
        <v>0</v>
      </c>
      <c r="K60" s="385">
        <v>0.39249217177790002</v>
      </c>
      <c r="L60" s="385">
        <v>0.39249217177790002</v>
      </c>
      <c r="M60" s="385">
        <v>0</v>
      </c>
      <c r="N60" s="385">
        <v>0.39249217510223389</v>
      </c>
      <c r="O60" s="385">
        <v>0</v>
      </c>
      <c r="P60" s="385">
        <v>50391.33984375</v>
      </c>
    </row>
    <row r="61" spans="1:16" ht="60" x14ac:dyDescent="0.35">
      <c r="A61" s="385" t="s">
        <v>329</v>
      </c>
      <c r="B61" s="385" t="s">
        <v>692</v>
      </c>
      <c r="C61" s="385" t="s">
        <v>675</v>
      </c>
      <c r="D61" s="385">
        <v>1</v>
      </c>
      <c r="E61" s="385">
        <v>166832.674052471</v>
      </c>
      <c r="F61" s="385">
        <v>166832.674052471</v>
      </c>
      <c r="G61" s="385">
        <v>31020.1015625</v>
      </c>
      <c r="H61" s="385">
        <v>135812.578125</v>
      </c>
      <c r="I61" s="385">
        <v>0</v>
      </c>
      <c r="J61" s="385">
        <v>0</v>
      </c>
      <c r="K61" s="385">
        <v>150310.893166344</v>
      </c>
      <c r="L61" s="385">
        <v>150310.893166344</v>
      </c>
      <c r="M61" s="385">
        <v>5854.279296875</v>
      </c>
      <c r="N61" s="385">
        <v>144456.609375</v>
      </c>
      <c r="O61" s="385">
        <v>0</v>
      </c>
      <c r="P61" s="385">
        <v>48.349567413330078</v>
      </c>
    </row>
    <row r="62" spans="1:16" ht="30" x14ac:dyDescent="0.35">
      <c r="A62" s="385" t="s">
        <v>576</v>
      </c>
      <c r="B62" s="385" t="s">
        <v>693</v>
      </c>
      <c r="C62" s="385" t="s">
        <v>675</v>
      </c>
      <c r="D62" s="385">
        <v>1</v>
      </c>
      <c r="E62" s="385">
        <v>0</v>
      </c>
      <c r="F62" s="385">
        <v>0</v>
      </c>
      <c r="G62" s="385">
        <v>160.07289123535156</v>
      </c>
      <c r="H62" s="385">
        <v>-160.07289123535156</v>
      </c>
      <c r="I62" s="385">
        <v>160.07289123535156</v>
      </c>
      <c r="J62" s="385">
        <v>0</v>
      </c>
      <c r="K62" s="385">
        <v>0</v>
      </c>
      <c r="L62" s="385">
        <v>0</v>
      </c>
      <c r="M62" s="385">
        <v>9.4961080551147461</v>
      </c>
      <c r="N62" s="385">
        <v>-9.4961080551147461</v>
      </c>
      <c r="O62" s="385">
        <v>9.4961080551147461</v>
      </c>
      <c r="P62" s="385">
        <v>5474.5849609375</v>
      </c>
    </row>
    <row r="63" spans="1:16" ht="30" x14ac:dyDescent="0.35">
      <c r="A63" s="385" t="s">
        <v>577</v>
      </c>
      <c r="B63" s="385" t="s">
        <v>694</v>
      </c>
      <c r="C63" s="385" t="s">
        <v>675</v>
      </c>
      <c r="D63" s="385">
        <v>1</v>
      </c>
      <c r="E63" s="385">
        <v>0</v>
      </c>
      <c r="F63" s="385">
        <v>0</v>
      </c>
      <c r="G63" s="385">
        <v>18124.93359375</v>
      </c>
      <c r="H63" s="385">
        <v>-18124.93359375</v>
      </c>
      <c r="I63" s="385">
        <v>18124.93359375</v>
      </c>
      <c r="J63" s="385">
        <v>0</v>
      </c>
      <c r="K63" s="385">
        <v>0</v>
      </c>
      <c r="L63" s="385">
        <v>0</v>
      </c>
      <c r="M63" s="385">
        <v>3608.505615234375</v>
      </c>
      <c r="N63" s="385">
        <v>-3608.505615234375</v>
      </c>
      <c r="O63" s="385">
        <v>3608.505615234375</v>
      </c>
      <c r="P63" s="385">
        <v>0</v>
      </c>
    </row>
    <row r="64" spans="1:16" ht="60" x14ac:dyDescent="0.35">
      <c r="A64" s="385" t="s">
        <v>430</v>
      </c>
      <c r="B64" s="385" t="s">
        <v>695</v>
      </c>
      <c r="C64" s="385" t="s">
        <v>675</v>
      </c>
      <c r="D64" s="385">
        <v>1</v>
      </c>
      <c r="E64" s="385">
        <v>58.794755071442594</v>
      </c>
      <c r="F64" s="385">
        <v>58.794755071442594</v>
      </c>
      <c r="G64" s="385">
        <v>42.000129699707031</v>
      </c>
      <c r="H64" s="385">
        <v>16.794626235961914</v>
      </c>
      <c r="I64" s="385">
        <v>0</v>
      </c>
      <c r="J64" s="385">
        <v>6.3019999999999996</v>
      </c>
      <c r="K64" s="385">
        <v>1.08693029079589</v>
      </c>
      <c r="L64" s="385">
        <v>1.08693029079589</v>
      </c>
      <c r="M64" s="385">
        <v>2.4020402431488037</v>
      </c>
      <c r="N64" s="385">
        <v>-1.3151099681854248</v>
      </c>
      <c r="O64" s="385">
        <v>1.3151099681854248</v>
      </c>
      <c r="P64" s="385">
        <v>20.612258911132812</v>
      </c>
    </row>
    <row r="65" spans="1:16" ht="30" x14ac:dyDescent="0.35">
      <c r="A65" s="385" t="s">
        <v>378</v>
      </c>
      <c r="B65" s="385" t="s">
        <v>696</v>
      </c>
      <c r="C65" s="385" t="s">
        <v>675</v>
      </c>
      <c r="D65" s="385">
        <v>1</v>
      </c>
      <c r="E65" s="385">
        <v>68.2418491961934</v>
      </c>
      <c r="F65" s="385">
        <v>68.2418491961934</v>
      </c>
      <c r="G65" s="385">
        <v>48.532756805419922</v>
      </c>
      <c r="H65" s="385">
        <v>19.70909309387207</v>
      </c>
      <c r="I65" s="385">
        <v>0</v>
      </c>
      <c r="J65" s="385">
        <v>0</v>
      </c>
      <c r="K65" s="385">
        <v>342.52497553215198</v>
      </c>
      <c r="L65" s="385">
        <v>342.52497553215198</v>
      </c>
      <c r="M65" s="385">
        <v>-16.090608596801758</v>
      </c>
      <c r="N65" s="385">
        <v>358.61557006835938</v>
      </c>
      <c r="O65" s="385">
        <v>0</v>
      </c>
      <c r="P65" s="385">
        <v>37.823520660400391</v>
      </c>
    </row>
    <row r="66" spans="1:16" ht="30" x14ac:dyDescent="0.35">
      <c r="A66" s="385" t="s">
        <v>431</v>
      </c>
      <c r="B66" s="385" t="s">
        <v>697</v>
      </c>
      <c r="C66" s="385" t="s">
        <v>675</v>
      </c>
      <c r="D66" s="385">
        <v>1</v>
      </c>
      <c r="E66" s="385">
        <v>125.22388001451799</v>
      </c>
      <c r="F66" s="385">
        <v>125.22388001451799</v>
      </c>
      <c r="G66" s="385">
        <v>19.079219818115234</v>
      </c>
      <c r="H66" s="385">
        <v>106.14466094970703</v>
      </c>
      <c r="I66" s="385">
        <v>0</v>
      </c>
      <c r="J66" s="385">
        <v>0</v>
      </c>
      <c r="K66" s="385">
        <v>28.110921489665401</v>
      </c>
      <c r="L66" s="385">
        <v>28.110921489665401</v>
      </c>
      <c r="M66" s="385">
        <v>5.6367652723565698E-4</v>
      </c>
      <c r="N66" s="385">
        <v>28.110357284545898</v>
      </c>
      <c r="O66" s="385">
        <v>0</v>
      </c>
      <c r="P66" s="385">
        <v>0</v>
      </c>
    </row>
    <row r="67" spans="1:16" ht="60" x14ac:dyDescent="0.35">
      <c r="A67" s="385" t="s">
        <v>698</v>
      </c>
      <c r="B67" s="385" t="s">
        <v>699</v>
      </c>
      <c r="C67" s="385" t="s">
        <v>675</v>
      </c>
      <c r="D67" s="385">
        <v>1</v>
      </c>
      <c r="E67" s="385">
        <v>0</v>
      </c>
      <c r="F67" s="385">
        <v>0</v>
      </c>
      <c r="G67" s="385">
        <v>-10.978403091430664</v>
      </c>
      <c r="H67" s="385">
        <v>10.978403091430664</v>
      </c>
      <c r="I67" s="385">
        <v>0</v>
      </c>
      <c r="J67" s="385">
        <v>0</v>
      </c>
      <c r="K67" s="385">
        <v>0</v>
      </c>
      <c r="L67" s="385">
        <v>0</v>
      </c>
      <c r="M67" s="385">
        <v>881.581298828125</v>
      </c>
      <c r="N67" s="385">
        <v>-881.581298828125</v>
      </c>
      <c r="O67" s="385">
        <v>881.581298828125</v>
      </c>
      <c r="P67" s="385">
        <v>-64.323692321777344</v>
      </c>
    </row>
    <row r="68" spans="1:16" ht="60" x14ac:dyDescent="0.35">
      <c r="A68" s="385" t="s">
        <v>330</v>
      </c>
      <c r="B68" s="385" t="s">
        <v>700</v>
      </c>
      <c r="C68" s="385" t="s">
        <v>675</v>
      </c>
      <c r="D68" s="385">
        <v>1</v>
      </c>
      <c r="E68" s="385">
        <v>-1385.3454290509801</v>
      </c>
      <c r="F68" s="385">
        <v>-1385.3454290509801</v>
      </c>
      <c r="G68" s="385">
        <v>-212.95913696289062</v>
      </c>
      <c r="H68" s="385">
        <v>-1172.3863525390625</v>
      </c>
      <c r="I68" s="385">
        <v>1172.3863525390625</v>
      </c>
      <c r="J68" s="385">
        <v>0</v>
      </c>
      <c r="K68" s="385">
        <v>10.314760128933699</v>
      </c>
      <c r="L68" s="385">
        <v>10.314760128933699</v>
      </c>
      <c r="M68" s="385">
        <v>-4.102536678314209</v>
      </c>
      <c r="N68" s="385">
        <v>14.417296409606934</v>
      </c>
      <c r="O68" s="385">
        <v>0</v>
      </c>
      <c r="P68" s="385">
        <v>43.866355895996094</v>
      </c>
    </row>
    <row r="69" spans="1:16" ht="90" x14ac:dyDescent="0.35">
      <c r="A69" s="385" t="s">
        <v>387</v>
      </c>
      <c r="B69" s="385" t="s">
        <v>702</v>
      </c>
      <c r="C69" s="385" t="s">
        <v>675</v>
      </c>
      <c r="D69" s="385">
        <v>1</v>
      </c>
      <c r="E69" s="385">
        <v>0</v>
      </c>
      <c r="F69" s="385">
        <v>0</v>
      </c>
      <c r="G69" s="385">
        <v>145.23014831542969</v>
      </c>
      <c r="H69" s="385">
        <v>-145.23014831542969</v>
      </c>
      <c r="I69" s="385">
        <v>145.23014831542969</v>
      </c>
      <c r="J69" s="385">
        <v>0</v>
      </c>
      <c r="K69" s="385">
        <v>0</v>
      </c>
      <c r="L69" s="385">
        <v>0</v>
      </c>
      <c r="M69" s="385">
        <v>-58.086742401123047</v>
      </c>
      <c r="N69" s="385">
        <v>58.086742401123047</v>
      </c>
      <c r="O69" s="385">
        <v>0</v>
      </c>
      <c r="P69" s="385">
        <v>3306.933837890625</v>
      </c>
    </row>
    <row r="70" spans="1:16" ht="30" x14ac:dyDescent="0.35">
      <c r="A70" s="385" t="s">
        <v>222</v>
      </c>
      <c r="B70" s="385" t="s">
        <v>703</v>
      </c>
      <c r="C70" s="385" t="s">
        <v>675</v>
      </c>
      <c r="D70" s="385">
        <v>1</v>
      </c>
      <c r="E70" s="385">
        <v>10948.401108195199</v>
      </c>
      <c r="F70" s="385">
        <v>10948.401108195199</v>
      </c>
      <c r="G70" s="385">
        <v>5000.09375</v>
      </c>
      <c r="H70" s="385">
        <v>5948.30712890625</v>
      </c>
      <c r="I70" s="385">
        <v>0</v>
      </c>
      <c r="J70" s="385">
        <v>0</v>
      </c>
      <c r="K70" s="385">
        <v>168.319357891869</v>
      </c>
      <c r="L70" s="385">
        <v>168.319357891869</v>
      </c>
      <c r="M70" s="385">
        <v>3068.13720703125</v>
      </c>
      <c r="N70" s="385">
        <v>-2899.81787109375</v>
      </c>
      <c r="O70" s="385">
        <v>2899.81787109375</v>
      </c>
      <c r="P70" s="385">
        <v>1020.7922973632812</v>
      </c>
    </row>
    <row r="71" spans="1:16" ht="30" x14ac:dyDescent="0.35">
      <c r="A71" s="385" t="s">
        <v>389</v>
      </c>
      <c r="B71" s="385" t="s">
        <v>704</v>
      </c>
      <c r="C71" s="385" t="s">
        <v>675</v>
      </c>
      <c r="D71" s="385">
        <v>1</v>
      </c>
      <c r="E71" s="385">
        <v>3379.5788584870002</v>
      </c>
      <c r="F71" s="385">
        <v>3379.5788584870002</v>
      </c>
      <c r="G71" s="385">
        <v>1076.8309326171875</v>
      </c>
      <c r="H71" s="385">
        <v>2302.748046875</v>
      </c>
      <c r="I71" s="385">
        <v>0</v>
      </c>
      <c r="J71" s="385">
        <v>0</v>
      </c>
      <c r="K71" s="385">
        <v>4345.7856890012899</v>
      </c>
      <c r="L71" s="385">
        <v>4345.7856890012899</v>
      </c>
      <c r="M71" s="385">
        <v>26.033763885498047</v>
      </c>
      <c r="N71" s="385">
        <v>4319.751953125</v>
      </c>
      <c r="O71" s="385">
        <v>0</v>
      </c>
      <c r="P71" s="385">
        <v>601.86737060546875</v>
      </c>
    </row>
    <row r="72" spans="1:16" ht="30" x14ac:dyDescent="0.35">
      <c r="A72" s="385" t="s">
        <v>409</v>
      </c>
      <c r="B72" s="385" t="s">
        <v>705</v>
      </c>
      <c r="C72" s="385" t="s">
        <v>675</v>
      </c>
      <c r="D72" s="385">
        <v>1</v>
      </c>
      <c r="E72" s="385">
        <v>1992.62690752</v>
      </c>
      <c r="F72" s="385">
        <v>1992.62690752</v>
      </c>
      <c r="G72" s="385">
        <v>1557.15625</v>
      </c>
      <c r="H72" s="385">
        <v>435.47067260742188</v>
      </c>
      <c r="I72" s="385">
        <v>0</v>
      </c>
      <c r="J72" s="385">
        <v>0</v>
      </c>
      <c r="K72" s="385">
        <v>154.56330740999999</v>
      </c>
      <c r="L72" s="385">
        <v>154.56330740999999</v>
      </c>
      <c r="M72" s="385">
        <v>783.14227294921875</v>
      </c>
      <c r="N72" s="385">
        <v>-628.5789794921875</v>
      </c>
      <c r="O72" s="385">
        <v>628.5789794921875</v>
      </c>
      <c r="P72" s="385">
        <v>70563.6953125</v>
      </c>
    </row>
    <row r="73" spans="1:16" ht="30" x14ac:dyDescent="0.35">
      <c r="A73" s="385" t="s">
        <v>62</v>
      </c>
      <c r="B73" s="385" t="s">
        <v>707</v>
      </c>
      <c r="C73" s="385" t="s">
        <v>675</v>
      </c>
      <c r="D73" s="385">
        <v>1</v>
      </c>
      <c r="E73" s="385">
        <v>233618.12907904279</v>
      </c>
      <c r="F73" s="385">
        <v>233618.12907904279</v>
      </c>
      <c r="G73" s="385">
        <v>98328.3203125</v>
      </c>
      <c r="H73" s="385">
        <v>135289.8125</v>
      </c>
      <c r="I73" s="385">
        <v>0</v>
      </c>
      <c r="J73" s="385">
        <v>0</v>
      </c>
      <c r="K73" s="385">
        <v>155745.41938602849</v>
      </c>
      <c r="L73" s="385">
        <v>155745.41938602849</v>
      </c>
      <c r="M73" s="385">
        <v>19073.283203125</v>
      </c>
      <c r="N73" s="385">
        <v>136672.140625</v>
      </c>
      <c r="O73" s="385">
        <v>0</v>
      </c>
      <c r="P73" s="385">
        <v>5.0388402938842773</v>
      </c>
    </row>
    <row r="74" spans="1:16" ht="150" x14ac:dyDescent="0.35">
      <c r="A74" s="385" t="s">
        <v>425</v>
      </c>
      <c r="B74" s="385" t="s">
        <v>708</v>
      </c>
      <c r="C74" s="385" t="s">
        <v>675</v>
      </c>
      <c r="D74" s="385">
        <v>1</v>
      </c>
      <c r="E74" s="385">
        <v>2.2367590837988804</v>
      </c>
      <c r="F74" s="385">
        <v>2.2367590837988804</v>
      </c>
      <c r="G74" s="385">
        <v>16.682294845581055</v>
      </c>
      <c r="H74" s="385">
        <v>-14.445535659790039</v>
      </c>
      <c r="I74" s="385">
        <v>14.445535659790039</v>
      </c>
      <c r="J74" s="385">
        <v>0</v>
      </c>
      <c r="K74" s="385">
        <v>5.3724531284916193</v>
      </c>
      <c r="L74" s="385">
        <v>5.3724531284916193</v>
      </c>
      <c r="M74" s="385">
        <v>3.726995550096035E-3</v>
      </c>
      <c r="N74" s="385">
        <v>5.3687262535095215</v>
      </c>
      <c r="O74" s="385">
        <v>0</v>
      </c>
      <c r="P74" s="385">
        <v>42.604953765869141</v>
      </c>
    </row>
    <row r="75" spans="1:16" ht="30" x14ac:dyDescent="0.35">
      <c r="A75" s="385" t="s">
        <v>423</v>
      </c>
      <c r="B75" s="385" t="s">
        <v>709</v>
      </c>
      <c r="C75" s="385" t="s">
        <v>675</v>
      </c>
      <c r="D75" s="385">
        <v>1</v>
      </c>
      <c r="E75" s="385">
        <v>55.559845492858607</v>
      </c>
      <c r="F75" s="385">
        <v>55.559845492858607</v>
      </c>
      <c r="G75" s="385">
        <v>141.05397033691406</v>
      </c>
      <c r="H75" s="385">
        <v>-85.494125366210938</v>
      </c>
      <c r="I75" s="385">
        <v>85.494125366210938</v>
      </c>
      <c r="J75" s="385">
        <v>0</v>
      </c>
      <c r="K75" s="385">
        <v>12.317932427034899</v>
      </c>
      <c r="L75" s="385">
        <v>12.317932427034899</v>
      </c>
      <c r="M75" s="385">
        <v>34.450958251953125</v>
      </c>
      <c r="N75" s="385">
        <v>-22.133026123046875</v>
      </c>
      <c r="O75" s="385">
        <v>22.133026123046875</v>
      </c>
      <c r="P75" s="385">
        <v>0</v>
      </c>
    </row>
    <row r="76" spans="1:16" ht="90" x14ac:dyDescent="0.35">
      <c r="A76" s="385" t="s">
        <v>445</v>
      </c>
      <c r="B76" s="385" t="s">
        <v>710</v>
      </c>
      <c r="C76" s="385" t="s">
        <v>675</v>
      </c>
      <c r="D76" s="385">
        <v>1</v>
      </c>
      <c r="E76" s="385">
        <v>0</v>
      </c>
      <c r="F76" s="385">
        <v>0</v>
      </c>
      <c r="G76" s="385">
        <v>2.000105194747448E-2</v>
      </c>
      <c r="H76" s="385">
        <v>-2.000105194747448E-2</v>
      </c>
      <c r="I76" s="385">
        <v>2.000105194747448E-2</v>
      </c>
      <c r="J76" s="385">
        <v>24.917000000000002</v>
      </c>
      <c r="K76" s="385">
        <v>0</v>
      </c>
      <c r="L76" s="385">
        <v>0</v>
      </c>
      <c r="M76" s="385">
        <v>1.1218323707580566</v>
      </c>
      <c r="N76" s="385">
        <v>-1.1218323707580566</v>
      </c>
      <c r="O76" s="385">
        <v>1.1218323707580566</v>
      </c>
      <c r="P76" s="385">
        <v>3.0474293231964111</v>
      </c>
    </row>
    <row r="77" spans="1:16" ht="90" x14ac:dyDescent="0.35">
      <c r="A77" s="385" t="s">
        <v>432</v>
      </c>
      <c r="B77" s="385" t="s">
        <v>711</v>
      </c>
      <c r="C77" s="385" t="s">
        <v>675</v>
      </c>
      <c r="D77" s="385">
        <v>1</v>
      </c>
      <c r="E77" s="385">
        <v>10.0892493115105</v>
      </c>
      <c r="F77" s="385">
        <v>10.0892493115105</v>
      </c>
      <c r="G77" s="385">
        <v>5.258176326751709</v>
      </c>
      <c r="H77" s="385">
        <v>4.8310728073120117</v>
      </c>
      <c r="I77" s="385">
        <v>0</v>
      </c>
      <c r="J77" s="385">
        <v>0</v>
      </c>
      <c r="K77" s="385">
        <v>9.6038739802963E-2</v>
      </c>
      <c r="L77" s="385">
        <v>9.6038739802963E-2</v>
      </c>
      <c r="M77" s="385">
        <v>0.19932062923908234</v>
      </c>
      <c r="N77" s="385">
        <v>-0.1032818928360939</v>
      </c>
      <c r="O77" s="385">
        <v>0.1032818928360939</v>
      </c>
      <c r="P77" s="385">
        <v>0</v>
      </c>
    </row>
    <row r="78" spans="1:16" ht="90" x14ac:dyDescent="0.35">
      <c r="A78" s="385" t="s">
        <v>547</v>
      </c>
      <c r="B78" s="385" t="s">
        <v>712</v>
      </c>
      <c r="C78" s="385" t="s">
        <v>675</v>
      </c>
      <c r="D78" s="385">
        <v>1</v>
      </c>
      <c r="E78" s="385">
        <v>0</v>
      </c>
      <c r="F78" s="385">
        <v>0</v>
      </c>
      <c r="G78" s="385">
        <v>986.23583984375</v>
      </c>
      <c r="H78" s="385">
        <v>-986.23583984375</v>
      </c>
      <c r="I78" s="385">
        <v>986.23583984375</v>
      </c>
      <c r="J78" s="385">
        <v>31376</v>
      </c>
      <c r="K78" s="385">
        <v>0</v>
      </c>
      <c r="L78" s="385">
        <v>0</v>
      </c>
      <c r="M78" s="385">
        <v>3465.824462890625</v>
      </c>
      <c r="N78" s="385">
        <v>-3465.824462890625</v>
      </c>
      <c r="O78" s="385">
        <v>3465.824462890625</v>
      </c>
    </row>
    <row r="79" spans="1:16" ht="90" x14ac:dyDescent="0.35">
      <c r="A79" s="385" t="s">
        <v>296</v>
      </c>
      <c r="B79" s="385" t="s">
        <v>734</v>
      </c>
      <c r="C79" s="385" t="s">
        <v>714</v>
      </c>
      <c r="D79" s="385">
        <v>0</v>
      </c>
      <c r="E79" s="385">
        <v>0</v>
      </c>
      <c r="F79" s="385">
        <v>0</v>
      </c>
      <c r="G79" s="385">
        <v>3</v>
      </c>
      <c r="H79" s="385">
        <v>-3</v>
      </c>
      <c r="K79" s="385">
        <v>0</v>
      </c>
      <c r="L79" s="385">
        <v>0</v>
      </c>
      <c r="M79" s="385">
        <v>358.06671142578125</v>
      </c>
      <c r="N79" s="385">
        <v>-358.06671142578125</v>
      </c>
    </row>
    <row r="80" spans="1:16" ht="30" x14ac:dyDescent="0.35">
      <c r="A80" s="385" t="s">
        <v>301</v>
      </c>
      <c r="B80" s="385" t="s">
        <v>735</v>
      </c>
      <c r="C80" s="385" t="s">
        <v>714</v>
      </c>
      <c r="D80" s="385">
        <v>0</v>
      </c>
      <c r="E80" s="385">
        <v>5880.9450100000004</v>
      </c>
      <c r="F80" s="385">
        <v>5880.9450100000004</v>
      </c>
      <c r="G80" s="385">
        <v>2716.82177734375</v>
      </c>
      <c r="H80" s="385">
        <v>3164.123291015625</v>
      </c>
      <c r="K80" s="385">
        <v>20.264900000000001</v>
      </c>
      <c r="L80" s="385">
        <v>20.264900000000001</v>
      </c>
      <c r="M80" s="385">
        <v>-3.4559533596038818</v>
      </c>
      <c r="N80" s="385">
        <v>23.720853805541992</v>
      </c>
    </row>
    <row r="81" spans="1:14" ht="30" x14ac:dyDescent="0.35">
      <c r="A81" s="385" t="s">
        <v>298</v>
      </c>
      <c r="B81" s="385" t="s">
        <v>736</v>
      </c>
      <c r="C81" s="385" t="s">
        <v>714</v>
      </c>
      <c r="D81" s="385">
        <v>0</v>
      </c>
      <c r="E81" s="385">
        <v>789.53462710890403</v>
      </c>
      <c r="F81" s="385">
        <v>789.53462710890403</v>
      </c>
      <c r="G81" s="385">
        <v>142.31680297851562</v>
      </c>
      <c r="H81" s="385">
        <v>647.21783447265625</v>
      </c>
      <c r="K81" s="385">
        <v>71.963128301406996</v>
      </c>
      <c r="L81" s="385">
        <v>71.963128301406996</v>
      </c>
      <c r="M81" s="385">
        <v>1.8118339776992798</v>
      </c>
      <c r="N81" s="385">
        <v>70.151290893554688</v>
      </c>
    </row>
    <row r="82" spans="1:14" ht="60" x14ac:dyDescent="0.35">
      <c r="A82" s="385" t="s">
        <v>401</v>
      </c>
      <c r="B82" s="385" t="s">
        <v>737</v>
      </c>
      <c r="C82" s="385" t="s">
        <v>714</v>
      </c>
      <c r="D82" s="385">
        <v>0</v>
      </c>
      <c r="E82" s="385">
        <v>0</v>
      </c>
      <c r="F82" s="385">
        <v>0</v>
      </c>
      <c r="K82" s="385">
        <v>0</v>
      </c>
      <c r="L82" s="385">
        <v>0</v>
      </c>
    </row>
    <row r="83" spans="1:14" ht="30" x14ac:dyDescent="0.35">
      <c r="A83" s="385" t="s">
        <v>212</v>
      </c>
      <c r="B83" s="385" t="s">
        <v>738</v>
      </c>
      <c r="C83" s="385" t="s">
        <v>714</v>
      </c>
      <c r="D83" s="385">
        <v>0</v>
      </c>
      <c r="E83" s="385">
        <v>7256.5434642420705</v>
      </c>
      <c r="F83" s="385">
        <v>7256.5434642420705</v>
      </c>
      <c r="G83" s="385">
        <v>5125.466796875</v>
      </c>
      <c r="H83" s="385">
        <v>2131.07666015625</v>
      </c>
      <c r="K83" s="385">
        <v>1131.46576250416</v>
      </c>
      <c r="L83" s="385">
        <v>1131.46576250416</v>
      </c>
      <c r="M83" s="385">
        <v>-304.4859619140625</v>
      </c>
      <c r="N83" s="385">
        <v>1435.9517822265625</v>
      </c>
    </row>
    <row r="84" spans="1:14" ht="60" x14ac:dyDescent="0.35">
      <c r="A84" s="385" t="s">
        <v>304</v>
      </c>
      <c r="B84" s="385" t="s">
        <v>739</v>
      </c>
      <c r="C84" s="385" t="s">
        <v>714</v>
      </c>
      <c r="D84" s="385">
        <v>0</v>
      </c>
      <c r="E84" s="385">
        <v>833.98450821854397</v>
      </c>
      <c r="F84" s="385">
        <v>833.98450821854397</v>
      </c>
      <c r="G84" s="385">
        <v>8.8295354843139648</v>
      </c>
      <c r="H84" s="385">
        <v>825.15496826171875</v>
      </c>
      <c r="K84" s="385">
        <v>7.00540662919287</v>
      </c>
      <c r="L84" s="385">
        <v>7.00540662919287</v>
      </c>
      <c r="M84" s="385">
        <v>0.35719498991966248</v>
      </c>
      <c r="N84" s="385">
        <v>6.6482114791870117</v>
      </c>
    </row>
    <row r="85" spans="1:14" ht="30" x14ac:dyDescent="0.35">
      <c r="A85" s="385" t="s">
        <v>417</v>
      </c>
      <c r="B85" s="385" t="s">
        <v>740</v>
      </c>
      <c r="C85" s="385" t="s">
        <v>714</v>
      </c>
      <c r="D85" s="385">
        <v>0</v>
      </c>
      <c r="E85" s="385">
        <v>0</v>
      </c>
      <c r="F85" s="385">
        <v>0</v>
      </c>
      <c r="G85" s="385">
        <v>0</v>
      </c>
      <c r="H85" s="385">
        <v>0</v>
      </c>
      <c r="K85" s="385">
        <v>0</v>
      </c>
      <c r="L85" s="385">
        <v>0</v>
      </c>
      <c r="M85" s="385">
        <v>4.6587444376200438E-4</v>
      </c>
      <c r="N85" s="385">
        <v>-4.6587444376200438E-4</v>
      </c>
    </row>
    <row r="86" spans="1:14" ht="60" x14ac:dyDescent="0.35">
      <c r="A86" s="385" t="s">
        <v>306</v>
      </c>
      <c r="B86" s="385" t="s">
        <v>741</v>
      </c>
      <c r="C86" s="385" t="s">
        <v>714</v>
      </c>
      <c r="D86" s="385">
        <v>0</v>
      </c>
      <c r="E86" s="385">
        <v>6152.7529999999997</v>
      </c>
      <c r="F86" s="385">
        <v>6152.7529999999997</v>
      </c>
      <c r="G86" s="385">
        <v>420.35498046875</v>
      </c>
      <c r="H86" s="385">
        <v>5732.39794921875</v>
      </c>
      <c r="K86" s="385">
        <v>358.18900000000002</v>
      </c>
      <c r="L86" s="385">
        <v>358.18900000000002</v>
      </c>
      <c r="M86" s="385">
        <v>146.473876953125</v>
      </c>
      <c r="N86" s="385">
        <v>211.71511840820312</v>
      </c>
    </row>
    <row r="87" spans="1:14" ht="30" x14ac:dyDescent="0.35">
      <c r="A87" s="385" t="s">
        <v>322</v>
      </c>
      <c r="B87" s="385" t="s">
        <v>742</v>
      </c>
      <c r="C87" s="385" t="s">
        <v>714</v>
      </c>
      <c r="D87" s="385">
        <v>0</v>
      </c>
      <c r="E87" s="385">
        <v>0</v>
      </c>
      <c r="F87" s="385">
        <v>0</v>
      </c>
      <c r="G87" s="385">
        <v>1.7562309221830219E-4</v>
      </c>
      <c r="H87" s="385">
        <v>-1.7562309221830219E-4</v>
      </c>
      <c r="K87" s="385">
        <v>0</v>
      </c>
      <c r="L87" s="385">
        <v>0</v>
      </c>
      <c r="M87" s="385">
        <v>1.2535492423921824E-3</v>
      </c>
      <c r="N87" s="385">
        <v>-1.2535492423921824E-3</v>
      </c>
    </row>
    <row r="88" spans="1:14" ht="30" x14ac:dyDescent="0.35">
      <c r="A88" s="385" t="s">
        <v>314</v>
      </c>
      <c r="B88" s="385" t="s">
        <v>743</v>
      </c>
      <c r="C88" s="385" t="s">
        <v>714</v>
      </c>
      <c r="D88" s="385">
        <v>0</v>
      </c>
      <c r="E88" s="385">
        <v>0</v>
      </c>
      <c r="F88" s="385">
        <v>0</v>
      </c>
      <c r="G88" s="385">
        <v>0.2008623480796814</v>
      </c>
      <c r="H88" s="385">
        <v>-0.2008623480796814</v>
      </c>
      <c r="K88" s="385">
        <v>0</v>
      </c>
      <c r="L88" s="385">
        <v>0</v>
      </c>
      <c r="M88" s="385">
        <v>0.15565149486064911</v>
      </c>
      <c r="N88" s="385">
        <v>-0.15565149486064911</v>
      </c>
    </row>
    <row r="89" spans="1:14" ht="60" x14ac:dyDescent="0.35">
      <c r="A89" s="385" t="s">
        <v>321</v>
      </c>
      <c r="B89" s="385" t="s">
        <v>744</v>
      </c>
      <c r="C89" s="385" t="s">
        <v>714</v>
      </c>
      <c r="D89" s="385">
        <v>0</v>
      </c>
      <c r="E89" s="385">
        <v>0</v>
      </c>
      <c r="F89" s="385">
        <v>0</v>
      </c>
      <c r="G89" s="385">
        <v>-3.2506792545318604</v>
      </c>
      <c r="H89" s="385">
        <v>3.2506792545318604</v>
      </c>
      <c r="K89" s="385">
        <v>0</v>
      </c>
      <c r="L89" s="385">
        <v>0</v>
      </c>
      <c r="M89" s="385">
        <v>-6.9996844977140427E-3</v>
      </c>
      <c r="N89" s="385">
        <v>6.9996844977140427E-3</v>
      </c>
    </row>
    <row r="90" spans="1:14" ht="30" x14ac:dyDescent="0.35">
      <c r="A90" s="385" t="s">
        <v>309</v>
      </c>
      <c r="B90" s="385" t="s">
        <v>745</v>
      </c>
      <c r="C90" s="385" t="s">
        <v>714</v>
      </c>
      <c r="D90" s="385">
        <v>0</v>
      </c>
      <c r="E90" s="385">
        <v>1569.9044352257199</v>
      </c>
      <c r="F90" s="385">
        <v>1569.9044352257199</v>
      </c>
      <c r="G90" s="385">
        <v>112.95223236083984</v>
      </c>
      <c r="H90" s="385">
        <v>1456.9521484375</v>
      </c>
      <c r="K90" s="385">
        <v>11.273894925420299</v>
      </c>
      <c r="L90" s="385">
        <v>11.273894925420299</v>
      </c>
      <c r="M90" s="385">
        <v>0.44495531916618347</v>
      </c>
      <c r="N90" s="385">
        <v>10.828939437866211</v>
      </c>
    </row>
    <row r="91" spans="1:14" ht="30" x14ac:dyDescent="0.35">
      <c r="A91" s="385" t="s">
        <v>320</v>
      </c>
      <c r="B91" s="385" t="s">
        <v>746</v>
      </c>
      <c r="C91" s="385" t="s">
        <v>714</v>
      </c>
      <c r="D91" s="385">
        <v>0</v>
      </c>
      <c r="E91" s="385">
        <v>4290.5600000000004</v>
      </c>
      <c r="F91" s="385">
        <v>4290.5600000000004</v>
      </c>
      <c r="G91" s="385">
        <v>1906.1416015625</v>
      </c>
      <c r="H91" s="385">
        <v>2384.41845703125</v>
      </c>
      <c r="K91" s="385">
        <v>441.67</v>
      </c>
      <c r="L91" s="385">
        <v>441.67</v>
      </c>
      <c r="M91" s="385">
        <v>56.349197387695312</v>
      </c>
      <c r="N91" s="385">
        <v>385.32080078125</v>
      </c>
    </row>
    <row r="92" spans="1:14" ht="90" x14ac:dyDescent="0.35">
      <c r="A92" s="385" t="s">
        <v>317</v>
      </c>
      <c r="B92" s="385" t="s">
        <v>747</v>
      </c>
      <c r="C92" s="385" t="s">
        <v>714</v>
      </c>
      <c r="D92" s="385">
        <v>0</v>
      </c>
      <c r="E92" s="385">
        <v>932.11501842432301</v>
      </c>
      <c r="F92" s="385">
        <v>932.11501842432301</v>
      </c>
      <c r="G92" s="385">
        <v>222.41227722167969</v>
      </c>
      <c r="H92" s="385">
        <v>709.7027587890625</v>
      </c>
      <c r="K92" s="385">
        <v>35.836440915508902</v>
      </c>
      <c r="L92" s="385">
        <v>35.836440915508902</v>
      </c>
      <c r="M92" s="385">
        <v>10.310794830322266</v>
      </c>
      <c r="N92" s="385">
        <v>25.525646209716797</v>
      </c>
    </row>
    <row r="93" spans="1:14" ht="60" x14ac:dyDescent="0.35">
      <c r="A93" s="385" t="s">
        <v>311</v>
      </c>
      <c r="B93" s="385" t="s">
        <v>748</v>
      </c>
      <c r="C93" s="385" t="s">
        <v>714</v>
      </c>
      <c r="D93" s="385">
        <v>0</v>
      </c>
      <c r="E93" s="385">
        <v>2864.4818509899997</v>
      </c>
      <c r="F93" s="385">
        <v>2864.4818509899997</v>
      </c>
      <c r="G93" s="385">
        <v>78.082923889160156</v>
      </c>
      <c r="H93" s="385">
        <v>2786.39892578125</v>
      </c>
      <c r="K93" s="385">
        <v>124.52209999999999</v>
      </c>
      <c r="L93" s="385">
        <v>124.52209999999999</v>
      </c>
      <c r="M93" s="385">
        <v>178.43333435058594</v>
      </c>
      <c r="N93" s="385">
        <v>-53.911235809326172</v>
      </c>
    </row>
    <row r="94" spans="1:14" ht="30" x14ac:dyDescent="0.35">
      <c r="A94" s="385" t="s">
        <v>316</v>
      </c>
      <c r="B94" s="385" t="s">
        <v>749</v>
      </c>
      <c r="C94" s="385" t="s">
        <v>714</v>
      </c>
      <c r="D94" s="385">
        <v>0</v>
      </c>
      <c r="E94" s="385">
        <v>961.79726259516201</v>
      </c>
      <c r="F94" s="385">
        <v>961.79726259516201</v>
      </c>
      <c r="G94" s="385">
        <v>416.45138549804688</v>
      </c>
      <c r="H94" s="385">
        <v>545.34588623046875</v>
      </c>
      <c r="K94" s="385">
        <v>12.7794007775833</v>
      </c>
      <c r="L94" s="385">
        <v>12.7794007775833</v>
      </c>
      <c r="M94" s="385">
        <v>-0.65450358390808105</v>
      </c>
      <c r="N94" s="385">
        <v>13.433904647827148</v>
      </c>
    </row>
    <row r="95" spans="1:14" ht="60" x14ac:dyDescent="0.35">
      <c r="A95" s="385" t="s">
        <v>319</v>
      </c>
      <c r="B95" s="385" t="s">
        <v>750</v>
      </c>
      <c r="C95" s="385" t="s">
        <v>714</v>
      </c>
      <c r="D95" s="385">
        <v>0</v>
      </c>
      <c r="E95" s="385">
        <v>0</v>
      </c>
      <c r="F95" s="385">
        <v>0</v>
      </c>
      <c r="G95" s="385">
        <v>11.221820831298828</v>
      </c>
      <c r="H95" s="385">
        <v>-11.221820831298828</v>
      </c>
      <c r="K95" s="385">
        <v>0</v>
      </c>
      <c r="L95" s="385">
        <v>0</v>
      </c>
      <c r="M95" s="385">
        <v>1.4060710668563843</v>
      </c>
      <c r="N95" s="385">
        <v>-1.4060710668563843</v>
      </c>
    </row>
    <row r="96" spans="1:14" ht="30" x14ac:dyDescent="0.35">
      <c r="A96" s="385" t="s">
        <v>315</v>
      </c>
      <c r="B96" s="385" t="s">
        <v>751</v>
      </c>
      <c r="C96" s="385" t="s">
        <v>714</v>
      </c>
      <c r="D96" s="385">
        <v>0</v>
      </c>
      <c r="E96" s="385">
        <v>2.6678047723784801</v>
      </c>
      <c r="F96" s="385">
        <v>2.6678047723784801</v>
      </c>
      <c r="G96" s="385">
        <v>6.2256806995719671E-4</v>
      </c>
      <c r="H96" s="385">
        <v>2.6671822071075439</v>
      </c>
      <c r="K96" s="385">
        <v>0</v>
      </c>
      <c r="L96" s="385">
        <v>0</v>
      </c>
      <c r="M96" s="385">
        <v>3.5072036553174257E-3</v>
      </c>
      <c r="N96" s="385">
        <v>-3.5072036553174257E-3</v>
      </c>
    </row>
    <row r="97" spans="1:14" ht="30" x14ac:dyDescent="0.35">
      <c r="A97" s="385" t="s">
        <v>318</v>
      </c>
      <c r="B97" s="385" t="s">
        <v>752</v>
      </c>
      <c r="C97" s="385" t="s">
        <v>714</v>
      </c>
      <c r="D97" s="385">
        <v>0</v>
      </c>
      <c r="E97" s="385">
        <v>634.29708463395002</v>
      </c>
      <c r="F97" s="385">
        <v>634.29708463395002</v>
      </c>
      <c r="G97" s="385">
        <v>5.7072157859802246</v>
      </c>
      <c r="H97" s="385">
        <v>628.58984375</v>
      </c>
      <c r="K97" s="385">
        <v>-1.4830940654406899</v>
      </c>
      <c r="L97" s="385">
        <v>-1.4830940654406899</v>
      </c>
      <c r="M97" s="385">
        <v>7.7821011655032635E-4</v>
      </c>
      <c r="N97" s="385">
        <v>-1.4838722944259644</v>
      </c>
    </row>
    <row r="98" spans="1:14" ht="90" x14ac:dyDescent="0.35">
      <c r="A98" s="385" t="s">
        <v>327</v>
      </c>
      <c r="B98" s="385" t="s">
        <v>753</v>
      </c>
      <c r="C98" s="385" t="s">
        <v>714</v>
      </c>
      <c r="D98" s="385">
        <v>0</v>
      </c>
      <c r="E98" s="385">
        <v>0</v>
      </c>
      <c r="F98" s="385">
        <v>0</v>
      </c>
      <c r="G98" s="385">
        <v>1.5248711861204356E-4</v>
      </c>
      <c r="H98" s="385">
        <v>-1.5248711861204356E-4</v>
      </c>
      <c r="K98" s="385">
        <v>0</v>
      </c>
      <c r="L98" s="385">
        <v>0</v>
      </c>
      <c r="M98" s="385">
        <v>0</v>
      </c>
      <c r="N98" s="385">
        <v>0</v>
      </c>
    </row>
    <row r="99" spans="1:14" ht="60" x14ac:dyDescent="0.35">
      <c r="A99" s="385" t="s">
        <v>334</v>
      </c>
      <c r="B99" s="385" t="s">
        <v>754</v>
      </c>
      <c r="C99" s="385" t="s">
        <v>714</v>
      </c>
      <c r="D99" s="385">
        <v>0</v>
      </c>
      <c r="E99" s="385">
        <v>0</v>
      </c>
      <c r="F99" s="385">
        <v>0</v>
      </c>
      <c r="G99" s="385">
        <v>169.79017639160156</v>
      </c>
      <c r="H99" s="385">
        <v>-169.79017639160156</v>
      </c>
      <c r="K99" s="385">
        <v>0</v>
      </c>
      <c r="L99" s="385">
        <v>0</v>
      </c>
      <c r="M99" s="385">
        <v>85.094123840332031</v>
      </c>
      <c r="N99" s="385">
        <v>-85.094123840332031</v>
      </c>
    </row>
    <row r="100" spans="1:14" ht="30" x14ac:dyDescent="0.35">
      <c r="A100" s="385" t="s">
        <v>325</v>
      </c>
      <c r="B100" s="385" t="s">
        <v>755</v>
      </c>
      <c r="C100" s="385" t="s">
        <v>714</v>
      </c>
      <c r="D100" s="385">
        <v>0</v>
      </c>
      <c r="E100" s="385">
        <v>949.99073872603799</v>
      </c>
      <c r="F100" s="385">
        <v>949.99073872603799</v>
      </c>
      <c r="G100" s="385">
        <v>71.453201293945312</v>
      </c>
      <c r="H100" s="385">
        <v>878.53753662109375</v>
      </c>
      <c r="K100" s="385">
        <v>2.0831401741046602</v>
      </c>
      <c r="L100" s="385">
        <v>2.0831401741046602</v>
      </c>
      <c r="M100" s="385">
        <v>0.43393898010253906</v>
      </c>
      <c r="N100" s="385">
        <v>1.6492011547088623</v>
      </c>
    </row>
    <row r="101" spans="1:14" ht="90" x14ac:dyDescent="0.35">
      <c r="A101" s="385" t="s">
        <v>332</v>
      </c>
      <c r="B101" s="385" t="s">
        <v>756</v>
      </c>
      <c r="C101" s="385" t="s">
        <v>714</v>
      </c>
      <c r="D101" s="385">
        <v>0</v>
      </c>
      <c r="E101" s="385">
        <v>0</v>
      </c>
      <c r="F101" s="385">
        <v>0</v>
      </c>
      <c r="G101" s="385">
        <v>73.410614013671875</v>
      </c>
      <c r="H101" s="385">
        <v>-73.410614013671875</v>
      </c>
      <c r="K101" s="385">
        <v>0</v>
      </c>
      <c r="L101" s="385">
        <v>0</v>
      </c>
      <c r="M101" s="385">
        <v>-2.0965864658355713</v>
      </c>
      <c r="N101" s="385">
        <v>2.0965864658355713</v>
      </c>
    </row>
    <row r="102" spans="1:14" ht="60" x14ac:dyDescent="0.35">
      <c r="A102" s="385" t="s">
        <v>333</v>
      </c>
      <c r="B102" s="385" t="s">
        <v>757</v>
      </c>
      <c r="C102" s="385" t="s">
        <v>714</v>
      </c>
      <c r="D102" s="385">
        <v>0</v>
      </c>
      <c r="E102" s="385">
        <v>0</v>
      </c>
      <c r="F102" s="385">
        <v>0</v>
      </c>
      <c r="G102" s="385">
        <v>10.692004203796387</v>
      </c>
      <c r="H102" s="385">
        <v>-10.692004203796387</v>
      </c>
      <c r="K102" s="385">
        <v>0</v>
      </c>
      <c r="L102" s="385">
        <v>0</v>
      </c>
      <c r="M102" s="385">
        <v>64.199760437011719</v>
      </c>
      <c r="N102" s="385">
        <v>-64.199760437011719</v>
      </c>
    </row>
    <row r="103" spans="1:14" ht="90" x14ac:dyDescent="0.35">
      <c r="A103" s="385" t="s">
        <v>331</v>
      </c>
      <c r="B103" s="385" t="s">
        <v>758</v>
      </c>
      <c r="C103" s="385" t="s">
        <v>714</v>
      </c>
      <c r="D103" s="385">
        <v>0</v>
      </c>
      <c r="E103" s="385">
        <v>2.3981172237331201</v>
      </c>
      <c r="F103" s="385">
        <v>2.3981172237331201</v>
      </c>
      <c r="G103" s="385">
        <v>4.1644758312031627E-4</v>
      </c>
      <c r="H103" s="385">
        <v>2.3977007865905762</v>
      </c>
      <c r="K103" s="385">
        <v>0</v>
      </c>
      <c r="L103" s="385">
        <v>0</v>
      </c>
      <c r="M103" s="385">
        <v>9.6392892301082611E-3</v>
      </c>
      <c r="N103" s="385">
        <v>-9.6392892301082611E-3</v>
      </c>
    </row>
    <row r="104" spans="1:14" ht="30" x14ac:dyDescent="0.35">
      <c r="A104" s="385" t="s">
        <v>323</v>
      </c>
      <c r="B104" s="385" t="s">
        <v>759</v>
      </c>
      <c r="C104" s="385" t="s">
        <v>714</v>
      </c>
      <c r="D104" s="385">
        <v>0</v>
      </c>
      <c r="E104" s="385">
        <v>15.2180046581848</v>
      </c>
      <c r="F104" s="385">
        <v>15.2180046581848</v>
      </c>
      <c r="G104" s="385">
        <v>26.140291213989258</v>
      </c>
      <c r="H104" s="385">
        <v>-10.922286987304688</v>
      </c>
      <c r="K104" s="385">
        <v>0.68997843541005599</v>
      </c>
      <c r="L104" s="385">
        <v>0.68997843541005599</v>
      </c>
      <c r="M104" s="385">
        <v>2.3135976516641676E-4</v>
      </c>
      <c r="N104" s="385">
        <v>0.68974709510803223</v>
      </c>
    </row>
    <row r="105" spans="1:14" ht="30" x14ac:dyDescent="0.35">
      <c r="A105" s="385" t="s">
        <v>760</v>
      </c>
      <c r="B105" s="385" t="s">
        <v>761</v>
      </c>
      <c r="C105" s="385" t="s">
        <v>714</v>
      </c>
      <c r="D105" s="385">
        <v>0</v>
      </c>
      <c r="E105" s="385">
        <v>0</v>
      </c>
      <c r="F105" s="385">
        <v>0</v>
      </c>
      <c r="G105" s="385">
        <v>77.821014404296875</v>
      </c>
      <c r="H105" s="385">
        <v>-77.821014404296875</v>
      </c>
      <c r="K105" s="385">
        <v>0</v>
      </c>
      <c r="L105" s="385">
        <v>0</v>
      </c>
      <c r="M105" s="385">
        <v>-16.973394393920898</v>
      </c>
      <c r="N105" s="385">
        <v>16.973394393920898</v>
      </c>
    </row>
    <row r="106" spans="1:14" ht="30" x14ac:dyDescent="0.35">
      <c r="A106" s="385" t="s">
        <v>340</v>
      </c>
      <c r="B106" s="385" t="s">
        <v>762</v>
      </c>
      <c r="C106" s="385" t="s">
        <v>714</v>
      </c>
      <c r="D106" s="385">
        <v>0</v>
      </c>
      <c r="E106" s="385">
        <v>117.245570304016</v>
      </c>
      <c r="F106" s="385">
        <v>117.245570304016</v>
      </c>
      <c r="G106" s="385">
        <v>15.56895637512207</v>
      </c>
      <c r="H106" s="385">
        <v>101.67661285400391</v>
      </c>
      <c r="K106" s="385">
        <v>0</v>
      </c>
      <c r="L106" s="385">
        <v>0</v>
      </c>
      <c r="M106" s="385">
        <v>0.1045735627412796</v>
      </c>
      <c r="N106" s="385">
        <v>-0.1045735627412796</v>
      </c>
    </row>
    <row r="107" spans="1:14" ht="30" x14ac:dyDescent="0.35">
      <c r="A107" s="385" t="s">
        <v>341</v>
      </c>
      <c r="B107" s="385" t="s">
        <v>763</v>
      </c>
      <c r="C107" s="385" t="s">
        <v>714</v>
      </c>
      <c r="D107" s="385">
        <v>0</v>
      </c>
      <c r="E107" s="385">
        <v>2.40649156556678</v>
      </c>
      <c r="F107" s="385">
        <v>2.40649156556678</v>
      </c>
      <c r="G107" s="385">
        <v>-20.980861663818359</v>
      </c>
      <c r="H107" s="385">
        <v>23.387353897094727</v>
      </c>
      <c r="K107" s="385">
        <v>0</v>
      </c>
      <c r="L107" s="385">
        <v>0</v>
      </c>
      <c r="M107" s="385">
        <v>4.7954570618458092E-4</v>
      </c>
      <c r="N107" s="385">
        <v>-4.7954570618458092E-4</v>
      </c>
    </row>
    <row r="108" spans="1:14" ht="60" x14ac:dyDescent="0.35">
      <c r="A108" s="385" t="s">
        <v>342</v>
      </c>
      <c r="B108" s="385" t="s">
        <v>764</v>
      </c>
      <c r="C108" s="385" t="s">
        <v>714</v>
      </c>
      <c r="D108" s="385">
        <v>0</v>
      </c>
      <c r="E108" s="385">
        <v>3080.7</v>
      </c>
      <c r="F108" s="385">
        <v>3080.7</v>
      </c>
      <c r="G108" s="385">
        <v>689.63116455078125</v>
      </c>
      <c r="H108" s="385">
        <v>2391.06884765625</v>
      </c>
      <c r="K108" s="385">
        <v>7.9</v>
      </c>
      <c r="L108" s="385">
        <v>7.9</v>
      </c>
      <c r="M108" s="385">
        <v>-10.332606315612793</v>
      </c>
      <c r="N108" s="385">
        <v>18.232606887817383</v>
      </c>
    </row>
    <row r="109" spans="1:14" ht="30" x14ac:dyDescent="0.35">
      <c r="A109" s="385" t="s">
        <v>299</v>
      </c>
      <c r="B109" s="385" t="s">
        <v>765</v>
      </c>
      <c r="C109" s="385" t="s">
        <v>714</v>
      </c>
      <c r="D109" s="385">
        <v>0</v>
      </c>
      <c r="E109" s="385">
        <v>5974.3076533650601</v>
      </c>
      <c r="F109" s="385">
        <v>5974.3076533650601</v>
      </c>
      <c r="G109" s="385">
        <v>1165.42431640625</v>
      </c>
      <c r="H109" s="385">
        <v>4808.88330078125</v>
      </c>
      <c r="K109" s="385">
        <v>133.188495822254</v>
      </c>
      <c r="L109" s="385">
        <v>133.188495822254</v>
      </c>
      <c r="M109" s="385">
        <v>1.4813677072525024</v>
      </c>
      <c r="N109" s="385">
        <v>131.70712280273438</v>
      </c>
    </row>
    <row r="110" spans="1:14" ht="30" x14ac:dyDescent="0.35">
      <c r="A110" s="385" t="s">
        <v>344</v>
      </c>
      <c r="B110" s="385" t="s">
        <v>766</v>
      </c>
      <c r="C110" s="385" t="s">
        <v>714</v>
      </c>
      <c r="D110" s="385">
        <v>0</v>
      </c>
      <c r="E110" s="385">
        <v>344.87221213707102</v>
      </c>
      <c r="F110" s="385">
        <v>344.87221213707102</v>
      </c>
      <c r="G110" s="385">
        <v>637.34393310546875</v>
      </c>
      <c r="H110" s="385">
        <v>-292.47171020507812</v>
      </c>
      <c r="K110" s="385">
        <v>0</v>
      </c>
      <c r="L110" s="385">
        <v>0</v>
      </c>
      <c r="M110" s="385">
        <v>-4.0019240379333496</v>
      </c>
      <c r="N110" s="385">
        <v>4.0019240379333496</v>
      </c>
    </row>
    <row r="111" spans="1:14" ht="60" x14ac:dyDescent="0.35">
      <c r="A111" s="385" t="s">
        <v>345</v>
      </c>
      <c r="B111" s="385" t="s">
        <v>767</v>
      </c>
      <c r="C111" s="385" t="s">
        <v>714</v>
      </c>
      <c r="D111" s="385">
        <v>0</v>
      </c>
      <c r="E111" s="385">
        <v>11701.5</v>
      </c>
      <c r="F111" s="385">
        <v>11701.5</v>
      </c>
      <c r="G111" s="385">
        <v>1825.505859375</v>
      </c>
      <c r="H111" s="385">
        <v>9875.994140625</v>
      </c>
      <c r="K111" s="385">
        <v>204.3</v>
      </c>
      <c r="L111" s="385">
        <v>204.3</v>
      </c>
      <c r="M111" s="385">
        <v>216.20819091796875</v>
      </c>
      <c r="N111" s="385">
        <v>-11.908190727233887</v>
      </c>
    </row>
    <row r="112" spans="1:14" ht="60" x14ac:dyDescent="0.35">
      <c r="A112" s="385" t="s">
        <v>348</v>
      </c>
      <c r="B112" s="385" t="s">
        <v>768</v>
      </c>
      <c r="C112" s="385" t="s">
        <v>714</v>
      </c>
      <c r="D112" s="385">
        <v>0</v>
      </c>
      <c r="E112" s="385">
        <v>0</v>
      </c>
      <c r="F112" s="385">
        <v>0</v>
      </c>
      <c r="G112" s="385">
        <v>0</v>
      </c>
      <c r="H112" s="385">
        <v>0</v>
      </c>
      <c r="K112" s="385">
        <v>0</v>
      </c>
      <c r="L112" s="385">
        <v>0</v>
      </c>
      <c r="M112" s="385">
        <v>6.2046483159065247E-2</v>
      </c>
      <c r="N112" s="385">
        <v>-6.2046483159065247E-2</v>
      </c>
    </row>
    <row r="113" spans="1:14" ht="120" x14ac:dyDescent="0.35">
      <c r="A113" s="385" t="s">
        <v>350</v>
      </c>
      <c r="B113" s="385" t="s">
        <v>769</v>
      </c>
      <c r="C113" s="385" t="s">
        <v>714</v>
      </c>
      <c r="D113" s="385">
        <v>0</v>
      </c>
      <c r="E113" s="385">
        <v>0</v>
      </c>
      <c r="F113" s="385">
        <v>0</v>
      </c>
      <c r="G113" s="385">
        <v>892.3941650390625</v>
      </c>
      <c r="H113" s="385">
        <v>-892.3941650390625</v>
      </c>
      <c r="K113" s="385">
        <v>-0.30698475159751504</v>
      </c>
      <c r="L113" s="385">
        <v>-0.30698475159751504</v>
      </c>
      <c r="M113" s="385">
        <v>0.11163318902254105</v>
      </c>
      <c r="N113" s="385">
        <v>-0.41861793398857117</v>
      </c>
    </row>
    <row r="114" spans="1:14" ht="30" x14ac:dyDescent="0.35">
      <c r="A114" s="385" t="s">
        <v>353</v>
      </c>
      <c r="B114" s="385" t="s">
        <v>770</v>
      </c>
      <c r="C114" s="385" t="s">
        <v>714</v>
      </c>
      <c r="D114" s="385">
        <v>0</v>
      </c>
      <c r="E114" s="385">
        <v>282.07090109634203</v>
      </c>
      <c r="F114" s="385">
        <v>282.07090109634203</v>
      </c>
      <c r="G114" s="385">
        <v>19.706254959106445</v>
      </c>
      <c r="H114" s="385">
        <v>262.36465454101562</v>
      </c>
      <c r="K114" s="385">
        <v>0</v>
      </c>
      <c r="L114" s="385">
        <v>0</v>
      </c>
      <c r="M114" s="385">
        <v>3.4721843898296356E-2</v>
      </c>
      <c r="N114" s="385">
        <v>-3.4721843898296356E-2</v>
      </c>
    </row>
    <row r="115" spans="1:14" ht="60" x14ac:dyDescent="0.35">
      <c r="A115" s="385" t="s">
        <v>352</v>
      </c>
      <c r="B115" s="385" t="s">
        <v>771</v>
      </c>
      <c r="C115" s="385" t="s">
        <v>714</v>
      </c>
      <c r="D115" s="385">
        <v>0</v>
      </c>
      <c r="E115" s="385">
        <v>0</v>
      </c>
      <c r="F115" s="385">
        <v>0</v>
      </c>
      <c r="G115" s="385">
        <v>47.288494110107422</v>
      </c>
      <c r="H115" s="385">
        <v>-47.288494110107422</v>
      </c>
      <c r="K115" s="385">
        <v>0</v>
      </c>
      <c r="L115" s="385">
        <v>0</v>
      </c>
      <c r="M115" s="385">
        <v>-1.527265191078186</v>
      </c>
      <c r="N115" s="385">
        <v>1.527265191078186</v>
      </c>
    </row>
    <row r="116" spans="1:14" ht="90" x14ac:dyDescent="0.35">
      <c r="A116" s="385" t="s">
        <v>390</v>
      </c>
      <c r="B116" s="385" t="s">
        <v>772</v>
      </c>
      <c r="C116" s="385" t="s">
        <v>714</v>
      </c>
      <c r="D116" s="385">
        <v>0</v>
      </c>
      <c r="E116" s="385">
        <v>0</v>
      </c>
      <c r="F116" s="385">
        <v>0</v>
      </c>
      <c r="G116" s="385">
        <v>9</v>
      </c>
      <c r="H116" s="385">
        <v>-9</v>
      </c>
      <c r="K116" s="385">
        <v>0</v>
      </c>
      <c r="L116" s="385">
        <v>0</v>
      </c>
      <c r="M116" s="385">
        <v>2.1032704971730709E-3</v>
      </c>
      <c r="N116" s="385">
        <v>-2.1032704971730709E-3</v>
      </c>
    </row>
    <row r="117" spans="1:14" ht="30" x14ac:dyDescent="0.35">
      <c r="A117" s="385" t="s">
        <v>355</v>
      </c>
      <c r="B117" s="385" t="s">
        <v>773</v>
      </c>
      <c r="C117" s="385" t="s">
        <v>714</v>
      </c>
      <c r="D117" s="385">
        <v>0</v>
      </c>
      <c r="E117" s="385">
        <v>0</v>
      </c>
      <c r="F117" s="385">
        <v>0</v>
      </c>
      <c r="G117" s="385">
        <v>39.439666748046875</v>
      </c>
      <c r="H117" s="385">
        <v>-39.439666748046875</v>
      </c>
      <c r="K117" s="385">
        <v>0</v>
      </c>
      <c r="L117" s="385">
        <v>0</v>
      </c>
      <c r="M117" s="385">
        <v>4.9174465239048004E-3</v>
      </c>
      <c r="N117" s="385">
        <v>-4.9174465239048004E-3</v>
      </c>
    </row>
    <row r="118" spans="1:14" ht="30" x14ac:dyDescent="0.35">
      <c r="A118" s="385" t="s">
        <v>357</v>
      </c>
      <c r="B118" s="385" t="s">
        <v>774</v>
      </c>
      <c r="C118" s="385" t="s">
        <v>714</v>
      </c>
      <c r="D118" s="385">
        <v>0</v>
      </c>
      <c r="E118" s="385">
        <v>2302.7674373</v>
      </c>
      <c r="F118" s="385">
        <v>2302.7674373</v>
      </c>
      <c r="G118" s="385">
        <v>321.2332763671875</v>
      </c>
      <c r="H118" s="385">
        <v>1981.5341796875</v>
      </c>
      <c r="K118" s="385">
        <v>380.11698682999997</v>
      </c>
      <c r="L118" s="385">
        <v>380.11698682999997</v>
      </c>
      <c r="M118" s="385">
        <v>1.4244682788848877</v>
      </c>
      <c r="N118" s="385">
        <v>378.6925048828125</v>
      </c>
    </row>
    <row r="119" spans="1:14" ht="30" x14ac:dyDescent="0.35">
      <c r="A119" s="385" t="s">
        <v>358</v>
      </c>
      <c r="B119" s="385" t="s">
        <v>775</v>
      </c>
      <c r="C119" s="385" t="s">
        <v>714</v>
      </c>
      <c r="D119" s="385">
        <v>0</v>
      </c>
      <c r="E119" s="385">
        <v>3476.1471595739899</v>
      </c>
      <c r="F119" s="385">
        <v>3476.1471595739899</v>
      </c>
      <c r="G119" s="385">
        <v>260.6583251953125</v>
      </c>
      <c r="H119" s="385">
        <v>3215.48876953125</v>
      </c>
      <c r="K119" s="385">
        <v>549.45011782164795</v>
      </c>
      <c r="L119" s="385">
        <v>549.45011782164795</v>
      </c>
      <c r="M119" s="385">
        <v>-52.640655517578125</v>
      </c>
      <c r="N119" s="385">
        <v>602.09075927734375</v>
      </c>
    </row>
    <row r="120" spans="1:14" ht="30" x14ac:dyDescent="0.35">
      <c r="A120" s="385" t="s">
        <v>361</v>
      </c>
      <c r="B120" s="385" t="s">
        <v>776</v>
      </c>
      <c r="C120" s="385" t="s">
        <v>714</v>
      </c>
      <c r="D120" s="385">
        <v>0</v>
      </c>
      <c r="E120" s="385">
        <v>31.11</v>
      </c>
      <c r="F120" s="385">
        <v>31.11</v>
      </c>
      <c r="G120" s="385">
        <v>11.57487678527832</v>
      </c>
      <c r="H120" s="385">
        <v>19.535123825073242</v>
      </c>
      <c r="K120" s="385">
        <v>0.37</v>
      </c>
      <c r="L120" s="385">
        <v>0.37</v>
      </c>
      <c r="M120" s="385">
        <v>3.4486275166273117E-2</v>
      </c>
      <c r="N120" s="385">
        <v>0.33551371097564697</v>
      </c>
    </row>
    <row r="121" spans="1:14" ht="60" x14ac:dyDescent="0.35">
      <c r="A121" s="385" t="s">
        <v>356</v>
      </c>
      <c r="B121" s="385" t="s">
        <v>777</v>
      </c>
      <c r="C121" s="385" t="s">
        <v>714</v>
      </c>
      <c r="D121" s="385">
        <v>0</v>
      </c>
      <c r="E121" s="385">
        <v>26.789000000000001</v>
      </c>
      <c r="F121" s="385">
        <v>26.789000000000001</v>
      </c>
      <c r="G121" s="385">
        <v>-2.1024544239044189</v>
      </c>
      <c r="H121" s="385">
        <v>28.891454696655273</v>
      </c>
      <c r="K121" s="385">
        <v>0</v>
      </c>
      <c r="L121" s="385">
        <v>0</v>
      </c>
      <c r="M121" s="385">
        <v>5.3948891581967473E-4</v>
      </c>
      <c r="N121" s="385">
        <v>-5.3948891581967473E-4</v>
      </c>
    </row>
    <row r="122" spans="1:14" ht="60" x14ac:dyDescent="0.35">
      <c r="A122" s="385" t="s">
        <v>362</v>
      </c>
      <c r="B122" s="385" t="s">
        <v>778</v>
      </c>
      <c r="C122" s="385" t="s">
        <v>714</v>
      </c>
      <c r="D122" s="385">
        <v>0</v>
      </c>
      <c r="E122" s="385">
        <v>0</v>
      </c>
      <c r="F122" s="385">
        <v>0</v>
      </c>
      <c r="G122" s="385">
        <v>8.7286777794361115E-2</v>
      </c>
      <c r="H122" s="385">
        <v>-8.7286777794361115E-2</v>
      </c>
      <c r="K122" s="385">
        <v>0</v>
      </c>
      <c r="L122" s="385">
        <v>0</v>
      </c>
      <c r="M122" s="385">
        <v>1.7467662692070007E-3</v>
      </c>
      <c r="N122" s="385">
        <v>-1.7467662692070007E-3</v>
      </c>
    </row>
    <row r="123" spans="1:14" ht="90" x14ac:dyDescent="0.35">
      <c r="A123" s="385" t="s">
        <v>347</v>
      </c>
      <c r="B123" s="385" t="s">
        <v>779</v>
      </c>
      <c r="C123" s="385" t="s">
        <v>714</v>
      </c>
      <c r="D123" s="385">
        <v>0</v>
      </c>
      <c r="E123" s="385">
        <v>0</v>
      </c>
      <c r="F123" s="385">
        <v>0</v>
      </c>
      <c r="G123" s="385">
        <v>1156.7718505859375</v>
      </c>
      <c r="H123" s="385">
        <v>-1156.7718505859375</v>
      </c>
      <c r="K123" s="385">
        <v>0</v>
      </c>
      <c r="L123" s="385">
        <v>0</v>
      </c>
      <c r="M123" s="385">
        <v>0</v>
      </c>
      <c r="N123" s="385">
        <v>0</v>
      </c>
    </row>
    <row r="124" spans="1:14" ht="30" x14ac:dyDescent="0.35">
      <c r="A124" s="385" t="s">
        <v>360</v>
      </c>
      <c r="B124" s="385" t="s">
        <v>780</v>
      </c>
      <c r="C124" s="385" t="s">
        <v>714</v>
      </c>
      <c r="D124" s="385">
        <v>0</v>
      </c>
      <c r="E124" s="385">
        <v>2548.0052599999999</v>
      </c>
      <c r="F124" s="385">
        <v>2548.0052599999999</v>
      </c>
      <c r="G124" s="385">
        <v>219.05545043945312</v>
      </c>
      <c r="H124" s="385">
        <v>2328.94970703125</v>
      </c>
      <c r="K124" s="385">
        <v>601.55687999999998</v>
      </c>
      <c r="L124" s="385">
        <v>601.55687999999998</v>
      </c>
      <c r="M124" s="385">
        <v>0.25828403234481812</v>
      </c>
      <c r="N124" s="385">
        <v>601.298583984375</v>
      </c>
    </row>
    <row r="125" spans="1:14" ht="30" x14ac:dyDescent="0.35">
      <c r="A125" s="385" t="s">
        <v>561</v>
      </c>
      <c r="B125" s="385" t="s">
        <v>781</v>
      </c>
      <c r="C125" s="385" t="s">
        <v>714</v>
      </c>
      <c r="D125" s="385">
        <v>0</v>
      </c>
      <c r="E125" s="385">
        <v>0</v>
      </c>
      <c r="F125" s="385">
        <v>0</v>
      </c>
      <c r="G125" s="385">
        <v>0.28531521558761597</v>
      </c>
      <c r="H125" s="385">
        <v>-0.28531521558761597</v>
      </c>
      <c r="K125" s="385">
        <v>0</v>
      </c>
      <c r="L125" s="385">
        <v>0</v>
      </c>
      <c r="M125" s="385">
        <v>-6.2845726497471333E-3</v>
      </c>
      <c r="N125" s="385">
        <v>6.2845726497471333E-3</v>
      </c>
    </row>
    <row r="126" spans="1:14" ht="30" x14ac:dyDescent="0.35">
      <c r="A126" s="385" t="s">
        <v>363</v>
      </c>
      <c r="B126" s="385" t="s">
        <v>782</v>
      </c>
      <c r="C126" s="385" t="s">
        <v>714</v>
      </c>
      <c r="D126" s="385">
        <v>0</v>
      </c>
      <c r="E126" s="385">
        <v>4464.8830772721594</v>
      </c>
      <c r="F126" s="385">
        <v>4464.8830772721594</v>
      </c>
      <c r="G126" s="385">
        <v>1.0517877340316772</v>
      </c>
      <c r="H126" s="385">
        <v>4463.8310546875</v>
      </c>
      <c r="K126" s="385">
        <v>0</v>
      </c>
      <c r="L126" s="385">
        <v>0</v>
      </c>
      <c r="M126" s="385">
        <v>0</v>
      </c>
      <c r="N126" s="385">
        <v>0</v>
      </c>
    </row>
    <row r="127" spans="1:14" ht="30" x14ac:dyDescent="0.35">
      <c r="A127" s="385" t="s">
        <v>365</v>
      </c>
      <c r="B127" s="385" t="s">
        <v>783</v>
      </c>
      <c r="C127" s="385" t="s">
        <v>714</v>
      </c>
      <c r="D127" s="385">
        <v>0</v>
      </c>
      <c r="E127" s="385">
        <v>1903.56292692431</v>
      </c>
      <c r="F127" s="385">
        <v>1903.56292692431</v>
      </c>
      <c r="G127" s="385">
        <v>235.79544067382812</v>
      </c>
      <c r="H127" s="385">
        <v>1667.7674560546875</v>
      </c>
      <c r="K127" s="385">
        <v>78.957913921904904</v>
      </c>
      <c r="L127" s="385">
        <v>78.957913921904904</v>
      </c>
      <c r="M127" s="385">
        <v>-5.2789989858865738E-2</v>
      </c>
      <c r="N127" s="385">
        <v>79.010704040527344</v>
      </c>
    </row>
    <row r="128" spans="1:14" ht="60" x14ac:dyDescent="0.35">
      <c r="A128" s="385" t="s">
        <v>335</v>
      </c>
      <c r="B128" s="385" t="s">
        <v>784</v>
      </c>
      <c r="C128" s="385" t="s">
        <v>714</v>
      </c>
      <c r="D128" s="385">
        <v>0</v>
      </c>
      <c r="E128" s="385">
        <v>2783.6134050865899</v>
      </c>
      <c r="F128" s="385">
        <v>2783.6134050865899</v>
      </c>
      <c r="G128" s="385">
        <v>1486.1378173828125</v>
      </c>
      <c r="H128" s="385">
        <v>1297.4755859375</v>
      </c>
      <c r="K128" s="385">
        <v>358.06601603084601</v>
      </c>
      <c r="L128" s="385">
        <v>358.06601603084601</v>
      </c>
      <c r="M128" s="385">
        <v>140.5142822265625</v>
      </c>
      <c r="N128" s="385">
        <v>217.55172729492188</v>
      </c>
    </row>
    <row r="129" spans="1:14" ht="30" x14ac:dyDescent="0.35">
      <c r="A129" s="385" t="s">
        <v>364</v>
      </c>
      <c r="B129" s="385" t="s">
        <v>785</v>
      </c>
      <c r="C129" s="385" t="s">
        <v>714</v>
      </c>
      <c r="D129" s="385">
        <v>0</v>
      </c>
      <c r="E129" s="385">
        <v>0</v>
      </c>
      <c r="F129" s="385">
        <v>0</v>
      </c>
      <c r="G129" s="385">
        <v>-1.9652349948883057</v>
      </c>
      <c r="H129" s="385">
        <v>1.9652349948883057</v>
      </c>
      <c r="K129" s="385">
        <v>0</v>
      </c>
      <c r="L129" s="385">
        <v>0</v>
      </c>
      <c r="M129" s="385">
        <v>2.1032704971730709E-3</v>
      </c>
      <c r="N129" s="385">
        <v>-2.1032704971730709E-3</v>
      </c>
    </row>
    <row r="130" spans="1:14" ht="30" x14ac:dyDescent="0.35">
      <c r="A130" s="385" t="s">
        <v>366</v>
      </c>
      <c r="B130" s="385" t="s">
        <v>786</v>
      </c>
      <c r="C130" s="385" t="s">
        <v>714</v>
      </c>
      <c r="D130" s="385">
        <v>0</v>
      </c>
      <c r="E130" s="385">
        <v>25526.379040126401</v>
      </c>
      <c r="F130" s="385">
        <v>25526.379040126401</v>
      </c>
      <c r="G130" s="385">
        <v>11077.7841796875</v>
      </c>
      <c r="H130" s="385">
        <v>14448.5947265625</v>
      </c>
      <c r="K130" s="385">
        <v>3000.1932563884802</v>
      </c>
      <c r="L130" s="385">
        <v>3000.1932563884802</v>
      </c>
      <c r="M130" s="385">
        <v>-517.78741455078125</v>
      </c>
      <c r="N130" s="385">
        <v>3517.980712890625</v>
      </c>
    </row>
    <row r="131" spans="1:14" ht="90" x14ac:dyDescent="0.35">
      <c r="A131" s="385" t="s">
        <v>367</v>
      </c>
      <c r="B131" s="385" t="s">
        <v>787</v>
      </c>
      <c r="C131" s="385" t="s">
        <v>714</v>
      </c>
      <c r="D131" s="385">
        <v>0</v>
      </c>
      <c r="E131" s="385">
        <v>0</v>
      </c>
      <c r="F131" s="385">
        <v>0</v>
      </c>
      <c r="G131" s="385">
        <v>64.536399841308594</v>
      </c>
      <c r="H131" s="385">
        <v>-64.536399841308594</v>
      </c>
      <c r="K131" s="385">
        <v>0</v>
      </c>
      <c r="L131" s="385">
        <v>0</v>
      </c>
      <c r="M131" s="385">
        <v>-36.268646240234375</v>
      </c>
      <c r="N131" s="385">
        <v>36.268646240234375</v>
      </c>
    </row>
    <row r="132" spans="1:14" ht="30" x14ac:dyDescent="0.35">
      <c r="A132" s="385" t="s">
        <v>368</v>
      </c>
      <c r="B132" s="385" t="s">
        <v>788</v>
      </c>
      <c r="C132" s="385" t="s">
        <v>714</v>
      </c>
      <c r="D132" s="385">
        <v>0</v>
      </c>
      <c r="E132" s="385">
        <v>1828.1</v>
      </c>
      <c r="F132" s="385">
        <v>1828.1</v>
      </c>
      <c r="G132" s="385">
        <v>38.603927612304688</v>
      </c>
      <c r="H132" s="385">
        <v>1789.49609375</v>
      </c>
      <c r="K132" s="385">
        <v>43.9</v>
      </c>
      <c r="L132" s="385">
        <v>43.9</v>
      </c>
      <c r="M132" s="385">
        <v>0.98099124431610107</v>
      </c>
      <c r="N132" s="385">
        <v>42.919010162353516</v>
      </c>
    </row>
    <row r="133" spans="1:14" ht="30" x14ac:dyDescent="0.35">
      <c r="A133" s="385" t="s">
        <v>369</v>
      </c>
      <c r="B133" s="385" t="s">
        <v>789</v>
      </c>
      <c r="C133" s="385" t="s">
        <v>714</v>
      </c>
      <c r="D133" s="385">
        <v>0</v>
      </c>
      <c r="E133" s="385">
        <v>87.721752759253803</v>
      </c>
      <c r="F133" s="385">
        <v>87.721752759253803</v>
      </c>
      <c r="G133" s="385">
        <v>125.55771636962891</v>
      </c>
      <c r="H133" s="385">
        <v>-37.835964202880859</v>
      </c>
      <c r="K133" s="385">
        <v>9.4700187970913792</v>
      </c>
      <c r="L133" s="385">
        <v>9.4700187970913792</v>
      </c>
      <c r="M133" s="385">
        <v>6.9578337669372559</v>
      </c>
      <c r="N133" s="385">
        <v>2.5121850967407227</v>
      </c>
    </row>
    <row r="134" spans="1:14" ht="30" x14ac:dyDescent="0.35">
      <c r="A134" s="385" t="s">
        <v>370</v>
      </c>
      <c r="B134" s="385" t="s">
        <v>790</v>
      </c>
      <c r="C134" s="385" t="s">
        <v>714</v>
      </c>
      <c r="D134" s="385">
        <v>0</v>
      </c>
      <c r="E134" s="385">
        <v>856.05633802816908</v>
      </c>
      <c r="F134" s="385">
        <v>856.05633802816908</v>
      </c>
      <c r="G134" s="385">
        <v>201.03614807128906</v>
      </c>
      <c r="H134" s="385">
        <v>655.02020263671875</v>
      </c>
      <c r="K134" s="385">
        <v>0</v>
      </c>
      <c r="L134" s="385">
        <v>0</v>
      </c>
      <c r="M134" s="385">
        <v>-7.9840793609619141</v>
      </c>
      <c r="N134" s="385">
        <v>7.9840793609619141</v>
      </c>
    </row>
    <row r="135" spans="1:14" ht="60" x14ac:dyDescent="0.35">
      <c r="A135" s="385" t="s">
        <v>371</v>
      </c>
      <c r="B135" s="385" t="s">
        <v>791</v>
      </c>
      <c r="C135" s="385" t="s">
        <v>714</v>
      </c>
      <c r="D135" s="385">
        <v>0</v>
      </c>
      <c r="E135" s="385">
        <v>25293.893611110001</v>
      </c>
      <c r="F135" s="385">
        <v>25293.893611110001</v>
      </c>
      <c r="G135" s="385">
        <v>4354.4013671875</v>
      </c>
      <c r="H135" s="385">
        <v>20939.4921875</v>
      </c>
      <c r="K135" s="385">
        <v>1411.7243100000001</v>
      </c>
      <c r="L135" s="385">
        <v>1411.7243100000001</v>
      </c>
      <c r="M135" s="385">
        <v>940.87164306640625</v>
      </c>
      <c r="N135" s="385">
        <v>470.8526611328125</v>
      </c>
    </row>
    <row r="136" spans="1:14" ht="30" x14ac:dyDescent="0.35">
      <c r="A136" s="385" t="s">
        <v>372</v>
      </c>
      <c r="B136" s="385" t="s">
        <v>792</v>
      </c>
      <c r="C136" s="385" t="s">
        <v>714</v>
      </c>
      <c r="D136" s="385">
        <v>0</v>
      </c>
      <c r="E136" s="385">
        <v>612.41894058392404</v>
      </c>
      <c r="F136" s="385">
        <v>612.41894058392404</v>
      </c>
      <c r="G136" s="385">
        <v>15.980046272277832</v>
      </c>
      <c r="H136" s="385">
        <v>596.43890380859375</v>
      </c>
      <c r="K136" s="385">
        <v>-55.937184853890102</v>
      </c>
      <c r="L136" s="385">
        <v>-55.937184853890102</v>
      </c>
      <c r="M136" s="385">
        <v>-94.295600891113281</v>
      </c>
      <c r="N136" s="385">
        <v>38.358417510986328</v>
      </c>
    </row>
    <row r="137" spans="1:14" ht="60" x14ac:dyDescent="0.35">
      <c r="A137" s="385" t="s">
        <v>376</v>
      </c>
      <c r="B137" s="385" t="s">
        <v>793</v>
      </c>
      <c r="C137" s="385" t="s">
        <v>714</v>
      </c>
      <c r="D137" s="385">
        <v>0</v>
      </c>
      <c r="E137" s="385">
        <v>143.6148</v>
      </c>
      <c r="F137" s="385">
        <v>143.6148</v>
      </c>
      <c r="G137" s="385">
        <v>6.8555855751037598</v>
      </c>
      <c r="H137" s="385">
        <v>136.75921630859375</v>
      </c>
      <c r="K137" s="385">
        <v>0</v>
      </c>
      <c r="L137" s="385">
        <v>0</v>
      </c>
      <c r="M137" s="385">
        <v>0.22641001641750336</v>
      </c>
      <c r="N137" s="385">
        <v>-0.22641001641750336</v>
      </c>
    </row>
    <row r="138" spans="1:14" ht="30" x14ac:dyDescent="0.35">
      <c r="A138" s="385" t="s">
        <v>324</v>
      </c>
      <c r="B138" s="385" t="s">
        <v>794</v>
      </c>
      <c r="C138" s="385" t="s">
        <v>714</v>
      </c>
      <c r="D138" s="385">
        <v>0</v>
      </c>
      <c r="E138" s="385">
        <v>1595.3410548696302</v>
      </c>
      <c r="F138" s="385">
        <v>1595.3410548696302</v>
      </c>
      <c r="G138" s="385">
        <v>26.553991317749023</v>
      </c>
      <c r="H138" s="385">
        <v>1568.787109375</v>
      </c>
      <c r="K138" s="385">
        <v>47.303669325678399</v>
      </c>
      <c r="L138" s="385">
        <v>47.303669325678399</v>
      </c>
      <c r="M138" s="385">
        <v>9.482700377702713E-2</v>
      </c>
      <c r="N138" s="385">
        <v>47.208843231201172</v>
      </c>
    </row>
    <row r="139" spans="1:14" ht="30" x14ac:dyDescent="0.35">
      <c r="A139" s="385" t="s">
        <v>373</v>
      </c>
      <c r="B139" s="385" t="s">
        <v>795</v>
      </c>
      <c r="C139" s="385" t="s">
        <v>714</v>
      </c>
      <c r="D139" s="385">
        <v>0</v>
      </c>
      <c r="E139" s="385">
        <v>4.0467473828318496</v>
      </c>
      <c r="F139" s="385">
        <v>4.0467473828318496</v>
      </c>
      <c r="G139" s="385">
        <v>-1.4710867404937744</v>
      </c>
      <c r="H139" s="385">
        <v>5.5178341865539551</v>
      </c>
      <c r="K139" s="385">
        <v>1.7274691605515001E-2</v>
      </c>
      <c r="L139" s="385">
        <v>1.7274691605515001E-2</v>
      </c>
      <c r="M139" s="385">
        <v>0</v>
      </c>
      <c r="N139" s="385">
        <v>1.7274690791964531E-2</v>
      </c>
    </row>
    <row r="140" spans="1:14" ht="30" x14ac:dyDescent="0.35">
      <c r="A140" s="385" t="s">
        <v>375</v>
      </c>
      <c r="B140" s="385" t="s">
        <v>796</v>
      </c>
      <c r="C140" s="385" t="s">
        <v>714</v>
      </c>
      <c r="D140" s="385">
        <v>0</v>
      </c>
      <c r="E140" s="385">
        <v>3105.35269819934</v>
      </c>
      <c r="F140" s="385">
        <v>3105.35269819934</v>
      </c>
      <c r="G140" s="385">
        <v>267.1466064453125</v>
      </c>
      <c r="H140" s="385">
        <v>2838.2060546875</v>
      </c>
      <c r="K140" s="385">
        <v>10035.1045738349</v>
      </c>
      <c r="L140" s="385">
        <v>10035.1045738349</v>
      </c>
      <c r="M140" s="385">
        <v>36.262996673583984</v>
      </c>
      <c r="N140" s="385">
        <v>9998.841796875</v>
      </c>
    </row>
    <row r="141" spans="1:14" ht="90" x14ac:dyDescent="0.35">
      <c r="A141" s="385" t="s">
        <v>377</v>
      </c>
      <c r="B141" s="385" t="s">
        <v>797</v>
      </c>
      <c r="C141" s="385" t="s">
        <v>714</v>
      </c>
      <c r="D141" s="385">
        <v>0</v>
      </c>
      <c r="E141" s="385">
        <v>351.90831594779002</v>
      </c>
      <c r="F141" s="385">
        <v>351.90831594779002</v>
      </c>
      <c r="G141" s="385">
        <v>36.987075805664062</v>
      </c>
      <c r="H141" s="385">
        <v>314.92123413085938</v>
      </c>
      <c r="K141" s="385">
        <v>0</v>
      </c>
      <c r="L141" s="385">
        <v>0</v>
      </c>
      <c r="M141" s="385">
        <v>0</v>
      </c>
      <c r="N141" s="385">
        <v>0</v>
      </c>
    </row>
    <row r="142" spans="1:14" ht="30" x14ac:dyDescent="0.35">
      <c r="A142" s="385" t="s">
        <v>380</v>
      </c>
      <c r="B142" s="385" t="s">
        <v>798</v>
      </c>
      <c r="C142" s="385" t="s">
        <v>714</v>
      </c>
      <c r="D142" s="385">
        <v>0</v>
      </c>
      <c r="E142" s="385">
        <v>56.641644829216602</v>
      </c>
      <c r="F142" s="385">
        <v>56.641644829216602</v>
      </c>
      <c r="G142" s="385">
        <v>10.444222450256348</v>
      </c>
      <c r="H142" s="385">
        <v>46.197422027587891</v>
      </c>
      <c r="K142" s="385">
        <v>0</v>
      </c>
      <c r="L142" s="385">
        <v>0</v>
      </c>
      <c r="M142" s="385">
        <v>55.997516632080078</v>
      </c>
      <c r="N142" s="385">
        <v>-55.997516632080078</v>
      </c>
    </row>
    <row r="143" spans="1:14" ht="30" x14ac:dyDescent="0.35">
      <c r="A143" s="385" t="s">
        <v>381</v>
      </c>
      <c r="B143" s="385" t="s">
        <v>799</v>
      </c>
      <c r="C143" s="385" t="s">
        <v>714</v>
      </c>
      <c r="D143" s="385">
        <v>0</v>
      </c>
      <c r="E143" s="385">
        <v>0</v>
      </c>
      <c r="F143" s="385">
        <v>0</v>
      </c>
      <c r="G143" s="385">
        <v>682.83026123046875</v>
      </c>
      <c r="H143" s="385">
        <v>-682.83026123046875</v>
      </c>
      <c r="K143" s="385">
        <v>0</v>
      </c>
      <c r="L143" s="385">
        <v>0</v>
      </c>
      <c r="M143" s="385">
        <v>0.32412031292915344</v>
      </c>
      <c r="N143" s="385">
        <v>-0.32412031292915344</v>
      </c>
    </row>
    <row r="144" spans="1:14" ht="30" x14ac:dyDescent="0.35">
      <c r="A144" s="385" t="s">
        <v>429</v>
      </c>
      <c r="B144" s="385" t="s">
        <v>800</v>
      </c>
      <c r="C144" s="385" t="s">
        <v>714</v>
      </c>
      <c r="D144" s="385">
        <v>0</v>
      </c>
      <c r="E144" s="385">
        <v>532.439917931894</v>
      </c>
      <c r="F144" s="385">
        <v>532.439917931894</v>
      </c>
      <c r="G144" s="385">
        <v>181.25556945800781</v>
      </c>
      <c r="H144" s="385">
        <v>351.18435668945312</v>
      </c>
      <c r="K144" s="385">
        <v>14.972179176457601</v>
      </c>
      <c r="L144" s="385">
        <v>14.972179176457601</v>
      </c>
      <c r="M144" s="385">
        <v>0.34914290904998779</v>
      </c>
      <c r="N144" s="385">
        <v>14.62303638458252</v>
      </c>
    </row>
    <row r="145" spans="1:15" ht="90" x14ac:dyDescent="0.35">
      <c r="A145" s="385" t="s">
        <v>379</v>
      </c>
      <c r="B145" s="385" t="s">
        <v>801</v>
      </c>
      <c r="C145" s="385" t="s">
        <v>714</v>
      </c>
      <c r="D145" s="385">
        <v>0</v>
      </c>
      <c r="E145" s="385">
        <v>97.897548068749401</v>
      </c>
      <c r="F145" s="385">
        <v>97.897548068749401</v>
      </c>
      <c r="G145" s="385">
        <v>0.94238513708114624</v>
      </c>
      <c r="H145" s="385">
        <v>96.955162048339844</v>
      </c>
      <c r="K145" s="385">
        <v>0</v>
      </c>
      <c r="L145" s="385">
        <v>0</v>
      </c>
      <c r="M145" s="385">
        <v>-1</v>
      </c>
      <c r="N145" s="385">
        <v>1</v>
      </c>
    </row>
    <row r="146" spans="1:15" ht="30" x14ac:dyDescent="0.35">
      <c r="A146" s="385" t="s">
        <v>382</v>
      </c>
      <c r="B146" s="385" t="s">
        <v>802</v>
      </c>
      <c r="C146" s="385" t="s">
        <v>714</v>
      </c>
      <c r="D146" s="385">
        <v>0</v>
      </c>
      <c r="E146" s="385">
        <v>3565.4748133346998</v>
      </c>
      <c r="F146" s="385">
        <v>3186.7808905859097</v>
      </c>
      <c r="G146" s="385">
        <v>1192.009033203125</v>
      </c>
      <c r="H146" s="385">
        <v>2373.4658203125</v>
      </c>
      <c r="K146" s="385">
        <v>164.58092333579</v>
      </c>
      <c r="L146" s="385">
        <v>200.17002277502598</v>
      </c>
      <c r="M146" s="385">
        <v>289.14016723632812</v>
      </c>
      <c r="N146" s="385">
        <v>-124.55924224853516</v>
      </c>
      <c r="O146" s="385">
        <v>126.07360076904297</v>
      </c>
    </row>
    <row r="147" spans="1:15" ht="30" x14ac:dyDescent="0.35">
      <c r="A147" s="385" t="s">
        <v>395</v>
      </c>
      <c r="B147" s="385" t="s">
        <v>803</v>
      </c>
      <c r="C147" s="385" t="s">
        <v>714</v>
      </c>
      <c r="D147" s="385">
        <v>0</v>
      </c>
      <c r="E147" s="385">
        <v>1648.0368528665399</v>
      </c>
      <c r="F147" s="385">
        <v>1648.0368528665399</v>
      </c>
      <c r="G147" s="385">
        <v>704.14697265625</v>
      </c>
      <c r="H147" s="385">
        <v>943.889892578125</v>
      </c>
      <c r="K147" s="385">
        <v>444.16288270906199</v>
      </c>
      <c r="L147" s="385">
        <v>444.16288270906199</v>
      </c>
      <c r="M147" s="385">
        <v>85.963066101074219</v>
      </c>
      <c r="N147" s="385">
        <v>358.1998291015625</v>
      </c>
    </row>
    <row r="148" spans="1:15" ht="60" x14ac:dyDescent="0.35">
      <c r="A148" s="385" t="s">
        <v>391</v>
      </c>
      <c r="B148" s="385" t="s">
        <v>804</v>
      </c>
      <c r="C148" s="385" t="s">
        <v>714</v>
      </c>
      <c r="D148" s="385">
        <v>0</v>
      </c>
      <c r="E148" s="385">
        <v>665.39</v>
      </c>
      <c r="F148" s="385">
        <v>665.39</v>
      </c>
      <c r="G148" s="385">
        <v>46.948268890380859</v>
      </c>
      <c r="H148" s="385">
        <v>618.44171142578125</v>
      </c>
      <c r="K148" s="385">
        <v>10.97</v>
      </c>
      <c r="L148" s="385">
        <v>10.97</v>
      </c>
      <c r="M148" s="385">
        <v>-2.0823454856872559</v>
      </c>
      <c r="N148" s="385">
        <v>13.052345275878906</v>
      </c>
    </row>
    <row r="149" spans="1:15" ht="60" x14ac:dyDescent="0.35">
      <c r="A149" s="385" t="s">
        <v>383</v>
      </c>
      <c r="B149" s="385" t="s">
        <v>805</v>
      </c>
      <c r="C149" s="385" t="s">
        <v>714</v>
      </c>
      <c r="D149" s="385">
        <v>0</v>
      </c>
      <c r="E149" s="385">
        <v>301.07594958290497</v>
      </c>
      <c r="F149" s="385">
        <v>301.07594958290497</v>
      </c>
      <c r="G149" s="385">
        <v>18.488491058349609</v>
      </c>
      <c r="H149" s="385">
        <v>282.58746337890625</v>
      </c>
      <c r="K149" s="385">
        <v>0</v>
      </c>
      <c r="L149" s="385">
        <v>0</v>
      </c>
      <c r="M149" s="385">
        <v>2.7416131924837828E-3</v>
      </c>
      <c r="N149" s="385">
        <v>-2.7416131924837828E-3</v>
      </c>
    </row>
    <row r="150" spans="1:15" ht="30" x14ac:dyDescent="0.35">
      <c r="A150" s="385" t="s">
        <v>385</v>
      </c>
      <c r="B150" s="385" t="s">
        <v>806</v>
      </c>
      <c r="C150" s="385" t="s">
        <v>714</v>
      </c>
      <c r="D150" s="385">
        <v>0</v>
      </c>
      <c r="E150" s="385">
        <v>457.24894594840003</v>
      </c>
      <c r="F150" s="385">
        <v>457.24894594840003</v>
      </c>
      <c r="G150" s="385">
        <v>-9.9657468795776367</v>
      </c>
      <c r="H150" s="385">
        <v>467.21469116210938</v>
      </c>
      <c r="K150" s="385">
        <v>0</v>
      </c>
      <c r="L150" s="385">
        <v>0</v>
      </c>
      <c r="M150" s="385">
        <v>0</v>
      </c>
      <c r="N150" s="385">
        <v>0</v>
      </c>
    </row>
    <row r="151" spans="1:15" ht="90" x14ac:dyDescent="0.35">
      <c r="A151" s="385" t="s">
        <v>405</v>
      </c>
      <c r="B151" s="385" t="s">
        <v>807</v>
      </c>
      <c r="C151" s="385" t="s">
        <v>714</v>
      </c>
      <c r="D151" s="385">
        <v>0</v>
      </c>
      <c r="E151" s="385">
        <v>578.24262139875498</v>
      </c>
      <c r="F151" s="385">
        <v>578.24262139875498</v>
      </c>
      <c r="G151" s="385">
        <v>150.98466491699219</v>
      </c>
      <c r="H151" s="385">
        <v>427.25796508789062</v>
      </c>
      <c r="K151" s="385">
        <v>28.854849036483198</v>
      </c>
      <c r="L151" s="385">
        <v>28.854849036483198</v>
      </c>
      <c r="M151" s="385">
        <v>12.426003456115723</v>
      </c>
      <c r="N151" s="385">
        <v>16.42884635925293</v>
      </c>
    </row>
    <row r="152" spans="1:15" ht="30" x14ac:dyDescent="0.35">
      <c r="A152" s="385" t="s">
        <v>386</v>
      </c>
      <c r="B152" s="385" t="s">
        <v>808</v>
      </c>
      <c r="C152" s="385" t="s">
        <v>714</v>
      </c>
      <c r="D152" s="385">
        <v>0</v>
      </c>
      <c r="E152" s="385">
        <v>0</v>
      </c>
      <c r="F152" s="385">
        <v>0</v>
      </c>
      <c r="G152" s="385">
        <v>9.025822639465332</v>
      </c>
      <c r="H152" s="385">
        <v>-9.025822639465332</v>
      </c>
      <c r="K152" s="385">
        <v>0</v>
      </c>
      <c r="L152" s="385">
        <v>0</v>
      </c>
      <c r="M152" s="385">
        <v>1.7909349408000708E-3</v>
      </c>
      <c r="N152" s="385">
        <v>-1.7909349408000708E-3</v>
      </c>
    </row>
    <row r="153" spans="1:15" ht="30" x14ac:dyDescent="0.35">
      <c r="A153" s="385" t="s">
        <v>397</v>
      </c>
      <c r="B153" s="385" t="s">
        <v>809</v>
      </c>
      <c r="C153" s="385" t="s">
        <v>714</v>
      </c>
      <c r="D153" s="385">
        <v>0</v>
      </c>
      <c r="E153" s="385">
        <v>0</v>
      </c>
      <c r="F153" s="385">
        <v>0</v>
      </c>
      <c r="G153" s="385">
        <v>-148.668212890625</v>
      </c>
      <c r="H153" s="385">
        <v>148.668212890625</v>
      </c>
      <c r="K153" s="385">
        <v>0</v>
      </c>
      <c r="L153" s="385">
        <v>0</v>
      </c>
      <c r="M153" s="385">
        <v>1.5669365529902279E-4</v>
      </c>
      <c r="N153" s="385">
        <v>-1.5669365529902279E-4</v>
      </c>
    </row>
    <row r="154" spans="1:15" ht="30" x14ac:dyDescent="0.35">
      <c r="A154" s="385" t="s">
        <v>393</v>
      </c>
      <c r="B154" s="385" t="s">
        <v>810</v>
      </c>
      <c r="C154" s="385" t="s">
        <v>714</v>
      </c>
      <c r="D154" s="385">
        <v>0</v>
      </c>
      <c r="E154" s="385">
        <v>67.870935803322709</v>
      </c>
      <c r="F154" s="385">
        <v>67.870935803322709</v>
      </c>
      <c r="G154" s="385">
        <v>83.926872253417969</v>
      </c>
      <c r="H154" s="385">
        <v>-16.055936813354492</v>
      </c>
      <c r="K154" s="385">
        <v>10.055359731578999</v>
      </c>
      <c r="L154" s="385">
        <v>10.055359731578999</v>
      </c>
      <c r="M154" s="385">
        <v>3.0881855487823486</v>
      </c>
      <c r="N154" s="385">
        <v>6.9671740531921387</v>
      </c>
    </row>
    <row r="155" spans="1:15" ht="30" x14ac:dyDescent="0.35">
      <c r="A155" s="385" t="s">
        <v>392</v>
      </c>
      <c r="B155" s="385" t="s">
        <v>811</v>
      </c>
      <c r="C155" s="385" t="s">
        <v>714</v>
      </c>
      <c r="D155" s="385">
        <v>0</v>
      </c>
      <c r="E155" s="385">
        <v>1159.1067125708898</v>
      </c>
      <c r="F155" s="385">
        <v>1159.1067125708898</v>
      </c>
      <c r="G155" s="385">
        <v>13.074785232543945</v>
      </c>
      <c r="H155" s="385">
        <v>1146.031982421875</v>
      </c>
      <c r="K155" s="385">
        <v>1.37339582840815</v>
      </c>
      <c r="L155" s="385">
        <v>1.37339582840815</v>
      </c>
      <c r="M155" s="385">
        <v>-4.4174693524837494E-2</v>
      </c>
      <c r="N155" s="385">
        <v>1.4175704717636108</v>
      </c>
    </row>
    <row r="156" spans="1:15" ht="60" x14ac:dyDescent="0.35">
      <c r="A156" s="385" t="s">
        <v>396</v>
      </c>
      <c r="B156" s="385" t="s">
        <v>812</v>
      </c>
      <c r="C156" s="385" t="s">
        <v>714</v>
      </c>
      <c r="D156" s="385">
        <v>0</v>
      </c>
      <c r="E156" s="385">
        <v>716.74603830520198</v>
      </c>
      <c r="F156" s="385">
        <v>716.74603830520198</v>
      </c>
      <c r="G156" s="385">
        <v>419.994873046875</v>
      </c>
      <c r="H156" s="385">
        <v>296.75115966796875</v>
      </c>
      <c r="K156" s="385">
        <v>20.987880890822499</v>
      </c>
      <c r="L156" s="385">
        <v>20.987880890822499</v>
      </c>
      <c r="M156" s="385">
        <v>-0.1093679666519165</v>
      </c>
      <c r="N156" s="385">
        <v>21.097248077392578</v>
      </c>
    </row>
    <row r="157" spans="1:15" ht="90" x14ac:dyDescent="0.35">
      <c r="A157" s="385" t="s">
        <v>388</v>
      </c>
      <c r="B157" s="385" t="s">
        <v>813</v>
      </c>
      <c r="C157" s="385" t="s">
        <v>714</v>
      </c>
      <c r="D157" s="385">
        <v>0</v>
      </c>
      <c r="E157" s="385">
        <v>137.41010247527601</v>
      </c>
      <c r="F157" s="385">
        <v>137.41010247527601</v>
      </c>
      <c r="G157" s="385">
        <v>0</v>
      </c>
      <c r="H157" s="385">
        <v>137.41009521484375</v>
      </c>
      <c r="K157" s="385">
        <v>0.154541181040941</v>
      </c>
      <c r="L157" s="385">
        <v>0.154541181040941</v>
      </c>
      <c r="M157" s="385">
        <v>3.4837521612644196E-2</v>
      </c>
      <c r="N157" s="385">
        <v>0.11970365792512894</v>
      </c>
    </row>
    <row r="158" spans="1:15" ht="30" x14ac:dyDescent="0.35">
      <c r="A158" s="385" t="s">
        <v>394</v>
      </c>
      <c r="B158" s="385" t="s">
        <v>814</v>
      </c>
      <c r="C158" s="385" t="s">
        <v>714</v>
      </c>
      <c r="D158" s="385">
        <v>0</v>
      </c>
      <c r="E158" s="385">
        <v>0.12184566825627899</v>
      </c>
      <c r="F158" s="385">
        <v>0.12184566825627899</v>
      </c>
      <c r="G158" s="385">
        <v>0</v>
      </c>
      <c r="H158" s="385">
        <v>0.12184567004442215</v>
      </c>
      <c r="K158" s="385">
        <v>2.5669694786593002E-2</v>
      </c>
      <c r="L158" s="385">
        <v>2.5669694786593002E-2</v>
      </c>
      <c r="M158" s="385">
        <v>0</v>
      </c>
      <c r="N158" s="385">
        <v>2.5669693946838379E-2</v>
      </c>
    </row>
    <row r="159" spans="1:15" ht="30" x14ac:dyDescent="0.35">
      <c r="A159" s="385" t="s">
        <v>384</v>
      </c>
      <c r="B159" s="385" t="s">
        <v>815</v>
      </c>
      <c r="C159" s="385" t="s">
        <v>714</v>
      </c>
      <c r="D159" s="385">
        <v>0</v>
      </c>
      <c r="E159" s="385">
        <v>0</v>
      </c>
      <c r="F159" s="385">
        <v>0</v>
      </c>
      <c r="G159" s="385">
        <v>40.9483642578125</v>
      </c>
      <c r="H159" s="385">
        <v>-40.9483642578125</v>
      </c>
      <c r="K159" s="385">
        <v>0</v>
      </c>
      <c r="L159" s="385">
        <v>0</v>
      </c>
      <c r="M159" s="385">
        <v>5.5736669310135767E-5</v>
      </c>
      <c r="N159" s="385">
        <v>-5.5736669310135767E-5</v>
      </c>
    </row>
    <row r="160" spans="1:15" ht="30" x14ac:dyDescent="0.35">
      <c r="A160" s="385" t="s">
        <v>214</v>
      </c>
      <c r="B160" s="385" t="s">
        <v>816</v>
      </c>
      <c r="C160" s="385" t="s">
        <v>714</v>
      </c>
      <c r="D160" s="385">
        <v>0</v>
      </c>
      <c r="E160" s="385">
        <v>23818.106094836301</v>
      </c>
      <c r="F160" s="385">
        <v>23818.106094836301</v>
      </c>
      <c r="G160" s="385">
        <v>5617.08056640625</v>
      </c>
      <c r="H160" s="385">
        <v>18201.025390625</v>
      </c>
      <c r="K160" s="385">
        <v>11142.7366252881</v>
      </c>
      <c r="L160" s="385">
        <v>11142.7366252881</v>
      </c>
      <c r="M160" s="385">
        <v>1001.7830200195312</v>
      </c>
      <c r="N160" s="385">
        <v>10140.953125</v>
      </c>
    </row>
    <row r="161" spans="1:14" ht="30" x14ac:dyDescent="0.35">
      <c r="A161" s="385" t="s">
        <v>398</v>
      </c>
      <c r="B161" s="385" t="s">
        <v>817</v>
      </c>
      <c r="C161" s="385" t="s">
        <v>714</v>
      </c>
      <c r="D161" s="385">
        <v>0</v>
      </c>
      <c r="E161" s="385">
        <v>518.50839106131605</v>
      </c>
      <c r="F161" s="385">
        <v>518.50839106131605</v>
      </c>
      <c r="G161" s="385">
        <v>-2.8794291019439697</v>
      </c>
      <c r="H161" s="385">
        <v>521.3878173828125</v>
      </c>
      <c r="K161" s="385">
        <v>10.194346242303499</v>
      </c>
      <c r="L161" s="385">
        <v>10.194346242303499</v>
      </c>
      <c r="M161" s="385">
        <v>1.2074013948440552</v>
      </c>
      <c r="N161" s="385">
        <v>8.9869451522827148</v>
      </c>
    </row>
    <row r="162" spans="1:14" ht="60" x14ac:dyDescent="0.35">
      <c r="A162" s="385" t="s">
        <v>402</v>
      </c>
      <c r="B162" s="385" t="s">
        <v>818</v>
      </c>
      <c r="C162" s="385" t="s">
        <v>714</v>
      </c>
      <c r="D162" s="385">
        <v>0</v>
      </c>
      <c r="E162" s="385">
        <v>0</v>
      </c>
      <c r="F162" s="385">
        <v>0</v>
      </c>
      <c r="G162" s="385">
        <v>0.30736711621284485</v>
      </c>
      <c r="H162" s="385">
        <v>-0.30736711621284485</v>
      </c>
      <c r="K162" s="385">
        <v>0</v>
      </c>
      <c r="L162" s="385">
        <v>0</v>
      </c>
      <c r="M162" s="385">
        <v>0</v>
      </c>
      <c r="N162" s="385">
        <v>0</v>
      </c>
    </row>
    <row r="163" spans="1:14" ht="30" x14ac:dyDescent="0.35">
      <c r="A163" s="385" t="s">
        <v>404</v>
      </c>
      <c r="B163" s="385" t="s">
        <v>819</v>
      </c>
      <c r="C163" s="385" t="s">
        <v>714</v>
      </c>
      <c r="D163" s="385">
        <v>0</v>
      </c>
      <c r="E163" s="385">
        <v>0</v>
      </c>
      <c r="F163" s="385">
        <v>0</v>
      </c>
      <c r="G163" s="385">
        <v>0</v>
      </c>
      <c r="H163" s="385">
        <v>0</v>
      </c>
      <c r="K163" s="385">
        <v>0</v>
      </c>
      <c r="L163" s="385">
        <v>0</v>
      </c>
      <c r="M163" s="385">
        <v>5.0899147754535079E-4</v>
      </c>
      <c r="N163" s="385">
        <v>-5.0899147754535079E-4</v>
      </c>
    </row>
    <row r="164" spans="1:14" ht="30" x14ac:dyDescent="0.35">
      <c r="A164" s="385" t="s">
        <v>215</v>
      </c>
      <c r="B164" s="385" t="s">
        <v>820</v>
      </c>
      <c r="C164" s="385" t="s">
        <v>714</v>
      </c>
      <c r="D164" s="385">
        <v>0</v>
      </c>
      <c r="E164" s="385">
        <v>12467.718242012899</v>
      </c>
      <c r="F164" s="385">
        <v>12467.718242012899</v>
      </c>
      <c r="G164" s="385">
        <v>459.22222900390625</v>
      </c>
      <c r="H164" s="385">
        <v>12008.49609375</v>
      </c>
      <c r="K164" s="385">
        <v>466.03106793756598</v>
      </c>
      <c r="L164" s="385">
        <v>466.03106793756598</v>
      </c>
      <c r="M164" s="385">
        <v>4.3789553642272949</v>
      </c>
      <c r="N164" s="385">
        <v>461.652099609375</v>
      </c>
    </row>
    <row r="165" spans="1:14" ht="30" x14ac:dyDescent="0.35">
      <c r="A165" s="385" t="s">
        <v>403</v>
      </c>
      <c r="B165" s="385" t="s">
        <v>821</v>
      </c>
      <c r="C165" s="385" t="s">
        <v>714</v>
      </c>
      <c r="D165" s="385">
        <v>0</v>
      </c>
      <c r="E165" s="385">
        <v>1030.5</v>
      </c>
      <c r="F165" s="385">
        <v>1030.5</v>
      </c>
      <c r="G165" s="385">
        <v>10.176478385925293</v>
      </c>
      <c r="H165" s="385">
        <v>1020.3235473632812</v>
      </c>
      <c r="K165" s="385">
        <v>1.70513573570294</v>
      </c>
      <c r="L165" s="385">
        <v>1.70513573570294</v>
      </c>
      <c r="M165" s="385">
        <v>1.0396507978439331</v>
      </c>
      <c r="N165" s="385">
        <v>0.6654849648475647</v>
      </c>
    </row>
    <row r="166" spans="1:14" ht="30" x14ac:dyDescent="0.35">
      <c r="A166" s="385" t="s">
        <v>400</v>
      </c>
      <c r="B166" s="385" t="s">
        <v>822</v>
      </c>
      <c r="C166" s="385" t="s">
        <v>714</v>
      </c>
      <c r="D166" s="385">
        <v>0</v>
      </c>
      <c r="E166" s="385">
        <v>122.33137651190501</v>
      </c>
      <c r="F166" s="385">
        <v>122.33137651190501</v>
      </c>
      <c r="G166" s="385">
        <v>6.6176533699035645</v>
      </c>
      <c r="H166" s="385">
        <v>115.71372222900391</v>
      </c>
      <c r="K166" s="385">
        <v>0</v>
      </c>
      <c r="L166" s="385">
        <v>0</v>
      </c>
      <c r="M166" s="385">
        <v>0.45383906364440918</v>
      </c>
      <c r="N166" s="385">
        <v>-0.45383906364440918</v>
      </c>
    </row>
    <row r="167" spans="1:14" ht="60" x14ac:dyDescent="0.35">
      <c r="A167" s="385" t="s">
        <v>399</v>
      </c>
      <c r="B167" s="385" t="s">
        <v>823</v>
      </c>
      <c r="C167" s="385" t="s">
        <v>714</v>
      </c>
      <c r="D167" s="385">
        <v>0</v>
      </c>
      <c r="E167" s="385">
        <v>0</v>
      </c>
      <c r="F167" s="385">
        <v>0</v>
      </c>
      <c r="G167" s="385">
        <v>0</v>
      </c>
      <c r="H167" s="385">
        <v>0</v>
      </c>
      <c r="K167" s="385">
        <v>0</v>
      </c>
      <c r="L167" s="385">
        <v>0</v>
      </c>
      <c r="M167" s="385">
        <v>0</v>
      </c>
      <c r="N167" s="385">
        <v>0</v>
      </c>
    </row>
    <row r="168" spans="1:14" ht="30" x14ac:dyDescent="0.35">
      <c r="A168" s="385" t="s">
        <v>406</v>
      </c>
      <c r="B168" s="385" t="s">
        <v>824</v>
      </c>
      <c r="C168" s="385" t="s">
        <v>714</v>
      </c>
      <c r="D168" s="385">
        <v>0</v>
      </c>
      <c r="E168" s="385">
        <v>4557.03250521272</v>
      </c>
      <c r="F168" s="385">
        <v>4557.03250521272</v>
      </c>
      <c r="G168" s="385">
        <v>982.86785888671875</v>
      </c>
      <c r="H168" s="385">
        <v>3574.16455078125</v>
      </c>
      <c r="K168" s="385">
        <v>192.50533159948</v>
      </c>
      <c r="L168" s="385">
        <v>192.50533159948</v>
      </c>
      <c r="M168" s="385">
        <v>146.75303649902344</v>
      </c>
      <c r="N168" s="385">
        <v>45.752296447753906</v>
      </c>
    </row>
    <row r="169" spans="1:14" ht="30" x14ac:dyDescent="0.35">
      <c r="A169" s="385" t="s">
        <v>407</v>
      </c>
      <c r="B169" s="385" t="s">
        <v>825</v>
      </c>
      <c r="C169" s="385" t="s">
        <v>714</v>
      </c>
      <c r="D169" s="385">
        <v>0</v>
      </c>
      <c r="E169" s="385">
        <v>2147</v>
      </c>
      <c r="F169" s="385">
        <v>2147</v>
      </c>
      <c r="G169" s="385">
        <v>539.5882568359375</v>
      </c>
      <c r="H169" s="385">
        <v>1607.4117431640625</v>
      </c>
      <c r="K169" s="385">
        <v>27</v>
      </c>
      <c r="L169" s="385">
        <v>27</v>
      </c>
      <c r="M169" s="385">
        <v>-9.36065673828125</v>
      </c>
      <c r="N169" s="385">
        <v>36.36065673828125</v>
      </c>
    </row>
    <row r="170" spans="1:14" ht="30" x14ac:dyDescent="0.35">
      <c r="A170" s="385" t="s">
        <v>412</v>
      </c>
      <c r="B170" s="385" t="s">
        <v>826</v>
      </c>
      <c r="C170" s="385" t="s">
        <v>714</v>
      </c>
      <c r="D170" s="385">
        <v>0</v>
      </c>
      <c r="E170" s="385">
        <v>15330</v>
      </c>
      <c r="F170" s="385">
        <v>15330</v>
      </c>
      <c r="G170" s="385">
        <v>4403.39306640625</v>
      </c>
      <c r="H170" s="385">
        <v>10926.607421875</v>
      </c>
      <c r="K170" s="385">
        <v>627.12640079216692</v>
      </c>
      <c r="L170" s="385">
        <v>627.12640079216692</v>
      </c>
      <c r="M170" s="385">
        <v>16.69270133972168</v>
      </c>
      <c r="N170" s="385">
        <v>610.4337158203125</v>
      </c>
    </row>
    <row r="171" spans="1:14" ht="30" x14ac:dyDescent="0.35">
      <c r="A171" s="385" t="s">
        <v>413</v>
      </c>
      <c r="B171" s="385" t="s">
        <v>827</v>
      </c>
      <c r="C171" s="385" t="s">
        <v>714</v>
      </c>
      <c r="D171" s="385">
        <v>0</v>
      </c>
      <c r="E171" s="385">
        <v>4287.1853609053996</v>
      </c>
      <c r="F171" s="385">
        <v>4287.1853609053996</v>
      </c>
      <c r="G171" s="385">
        <v>1555.680908203125</v>
      </c>
      <c r="H171" s="385">
        <v>2731.50439453125</v>
      </c>
      <c r="K171" s="385">
        <v>1404.7937574126402</v>
      </c>
      <c r="L171" s="385">
        <v>1404.7937574126402</v>
      </c>
      <c r="M171" s="385">
        <v>-24.935199737548828</v>
      </c>
      <c r="N171" s="385">
        <v>1429.72900390625</v>
      </c>
    </row>
    <row r="172" spans="1:14" ht="60" x14ac:dyDescent="0.35">
      <c r="A172" s="385" t="s">
        <v>408</v>
      </c>
      <c r="B172" s="385" t="s">
        <v>828</v>
      </c>
      <c r="C172" s="385" t="s">
        <v>714</v>
      </c>
      <c r="D172" s="385">
        <v>0</v>
      </c>
      <c r="E172" s="385">
        <v>16.457999999999998</v>
      </c>
      <c r="F172" s="385">
        <v>16.457999999999998</v>
      </c>
      <c r="G172" s="385">
        <v>1</v>
      </c>
      <c r="H172" s="385">
        <v>15.458000183105469</v>
      </c>
      <c r="K172" s="385">
        <v>0</v>
      </c>
      <c r="L172" s="385">
        <v>0</v>
      </c>
      <c r="M172" s="385">
        <v>0</v>
      </c>
      <c r="N172" s="385">
        <v>0</v>
      </c>
    </row>
    <row r="173" spans="1:14" ht="60" x14ac:dyDescent="0.35">
      <c r="A173" s="385" t="s">
        <v>410</v>
      </c>
      <c r="B173" s="385" t="s">
        <v>829</v>
      </c>
      <c r="C173" s="385" t="s">
        <v>714</v>
      </c>
      <c r="D173" s="385">
        <v>0</v>
      </c>
      <c r="E173" s="385">
        <v>0</v>
      </c>
      <c r="F173" s="385">
        <v>0</v>
      </c>
      <c r="G173" s="385">
        <v>15.767276763916016</v>
      </c>
      <c r="H173" s="385">
        <v>-15.767276763916016</v>
      </c>
      <c r="K173" s="385">
        <v>0</v>
      </c>
      <c r="L173" s="385">
        <v>0</v>
      </c>
      <c r="M173" s="385">
        <v>0</v>
      </c>
      <c r="N173" s="385">
        <v>0</v>
      </c>
    </row>
    <row r="174" spans="1:14" ht="30" x14ac:dyDescent="0.35">
      <c r="A174" s="385" t="s">
        <v>411</v>
      </c>
      <c r="B174" s="385" t="s">
        <v>830</v>
      </c>
      <c r="C174" s="385" t="s">
        <v>714</v>
      </c>
      <c r="D174" s="385">
        <v>0</v>
      </c>
      <c r="E174" s="385">
        <v>612.84604164401992</v>
      </c>
      <c r="F174" s="385">
        <v>612.84604164401992</v>
      </c>
      <c r="G174" s="385">
        <v>644.10504150390625</v>
      </c>
      <c r="H174" s="385">
        <v>-31.259000778198242</v>
      </c>
      <c r="K174" s="385">
        <v>0</v>
      </c>
      <c r="L174" s="385">
        <v>0</v>
      </c>
      <c r="M174" s="385">
        <v>0.44763591885566711</v>
      </c>
      <c r="N174" s="385">
        <v>-0.44763591885566711</v>
      </c>
    </row>
    <row r="175" spans="1:14" ht="60" x14ac:dyDescent="0.35">
      <c r="A175" s="385" t="s">
        <v>453</v>
      </c>
      <c r="B175" s="385" t="s">
        <v>831</v>
      </c>
      <c r="C175" s="385" t="s">
        <v>714</v>
      </c>
      <c r="D175" s="385">
        <v>0</v>
      </c>
      <c r="E175" s="385">
        <v>157.585199904012</v>
      </c>
      <c r="F175" s="385">
        <v>157.585199904012</v>
      </c>
      <c r="G175" s="385">
        <v>10.516352653503418</v>
      </c>
      <c r="H175" s="385">
        <v>147.06884765625</v>
      </c>
      <c r="K175" s="385">
        <v>51.053107288545306</v>
      </c>
      <c r="L175" s="385">
        <v>51.053107288545306</v>
      </c>
      <c r="M175" s="385">
        <v>1.0251340456306934E-2</v>
      </c>
      <c r="N175" s="385">
        <v>51.042854309082031</v>
      </c>
    </row>
    <row r="176" spans="1:14" ht="60" x14ac:dyDescent="0.35">
      <c r="A176" s="385" t="s">
        <v>354</v>
      </c>
      <c r="B176" s="385" t="s">
        <v>832</v>
      </c>
      <c r="C176" s="385" t="s">
        <v>714</v>
      </c>
      <c r="D176" s="385">
        <v>0</v>
      </c>
      <c r="E176" s="385">
        <v>0</v>
      </c>
      <c r="F176" s="385">
        <v>0</v>
      </c>
      <c r="G176" s="385">
        <v>-1.9999347925186157</v>
      </c>
      <c r="H176" s="385">
        <v>1.9999347925186157</v>
      </c>
      <c r="K176" s="385">
        <v>0</v>
      </c>
      <c r="L176" s="385">
        <v>0</v>
      </c>
      <c r="M176" s="385">
        <v>1.684130635112524E-3</v>
      </c>
      <c r="N176" s="385">
        <v>-1.684130635112524E-3</v>
      </c>
    </row>
    <row r="177" spans="1:14" ht="30" x14ac:dyDescent="0.35">
      <c r="A177" s="385" t="s">
        <v>414</v>
      </c>
      <c r="B177" s="385" t="s">
        <v>833</v>
      </c>
      <c r="C177" s="385" t="s">
        <v>714</v>
      </c>
      <c r="D177" s="385">
        <v>0</v>
      </c>
      <c r="E177" s="385">
        <v>0</v>
      </c>
      <c r="F177" s="385">
        <v>0</v>
      </c>
      <c r="G177" s="385">
        <v>7685.6611328125</v>
      </c>
      <c r="H177" s="385">
        <v>-7685.6611328125</v>
      </c>
      <c r="K177" s="385">
        <v>0</v>
      </c>
      <c r="L177" s="385">
        <v>0</v>
      </c>
      <c r="M177" s="385">
        <v>267.8118896484375</v>
      </c>
      <c r="N177" s="385">
        <v>-267.8118896484375</v>
      </c>
    </row>
    <row r="178" spans="1:14" ht="30" x14ac:dyDescent="0.35">
      <c r="A178" s="385" t="s">
        <v>415</v>
      </c>
      <c r="B178" s="385" t="s">
        <v>834</v>
      </c>
      <c r="C178" s="385" t="s">
        <v>714</v>
      </c>
      <c r="D178" s="385">
        <v>0</v>
      </c>
      <c r="E178" s="385">
        <v>12987.4625858524</v>
      </c>
      <c r="F178" s="385">
        <v>12987.4625858524</v>
      </c>
      <c r="K178" s="385">
        <v>524.26479506244698</v>
      </c>
      <c r="L178" s="385">
        <v>524.26479506244698</v>
      </c>
    </row>
    <row r="179" spans="1:14" ht="30" x14ac:dyDescent="0.35">
      <c r="A179" s="385" t="s">
        <v>416</v>
      </c>
      <c r="B179" s="385" t="s">
        <v>835</v>
      </c>
      <c r="C179" s="385" t="s">
        <v>714</v>
      </c>
      <c r="D179" s="385">
        <v>0</v>
      </c>
      <c r="E179" s="385">
        <v>125.78502152507501</v>
      </c>
      <c r="F179" s="385">
        <v>125.78502152507501</v>
      </c>
      <c r="G179" s="385">
        <v>-10.082208633422852</v>
      </c>
      <c r="H179" s="385">
        <v>135.86723327636719</v>
      </c>
      <c r="K179" s="385">
        <v>0</v>
      </c>
      <c r="L179" s="385">
        <v>0</v>
      </c>
      <c r="M179" s="385">
        <v>1.5323378145694733E-2</v>
      </c>
      <c r="N179" s="385">
        <v>-1.5323378145694733E-2</v>
      </c>
    </row>
    <row r="180" spans="1:14" ht="60" x14ac:dyDescent="0.35">
      <c r="A180" s="385" t="s">
        <v>420</v>
      </c>
      <c r="B180" s="385" t="s">
        <v>836</v>
      </c>
      <c r="C180" s="385" t="s">
        <v>714</v>
      </c>
      <c r="D180" s="385">
        <v>0</v>
      </c>
      <c r="E180" s="385">
        <v>4224.22878645114</v>
      </c>
      <c r="F180" s="385">
        <v>4224.22878645114</v>
      </c>
      <c r="G180" s="385">
        <v>2397.848876953125</v>
      </c>
      <c r="H180" s="385">
        <v>1826.3798828125</v>
      </c>
      <c r="K180" s="385">
        <v>11450.906082174299</v>
      </c>
      <c r="L180" s="385">
        <v>11450.906082174299</v>
      </c>
      <c r="M180" s="385">
        <v>1741.22998046875</v>
      </c>
      <c r="N180" s="385">
        <v>9709.67578125</v>
      </c>
    </row>
    <row r="181" spans="1:14" ht="30" x14ac:dyDescent="0.35">
      <c r="A181" s="385" t="s">
        <v>433</v>
      </c>
      <c r="B181" s="385" t="s">
        <v>837</v>
      </c>
      <c r="C181" s="385" t="s">
        <v>714</v>
      </c>
      <c r="D181" s="385">
        <v>0</v>
      </c>
      <c r="E181" s="385">
        <v>8.2760097741175596</v>
      </c>
      <c r="F181" s="385">
        <v>8.2760097741175596</v>
      </c>
      <c r="G181" s="385">
        <v>7.3614470660686493E-2</v>
      </c>
      <c r="H181" s="385">
        <v>8.2023954391479492</v>
      </c>
      <c r="K181" s="385">
        <v>0</v>
      </c>
      <c r="L181" s="385">
        <v>0</v>
      </c>
      <c r="M181" s="385">
        <v>9.4647174701094627E-3</v>
      </c>
      <c r="N181" s="385">
        <v>-9.4647174701094627E-3</v>
      </c>
    </row>
    <row r="182" spans="1:14" ht="30" x14ac:dyDescent="0.35">
      <c r="A182" s="385" t="s">
        <v>421</v>
      </c>
      <c r="B182" s="385" t="s">
        <v>838</v>
      </c>
      <c r="C182" s="385" t="s">
        <v>714</v>
      </c>
      <c r="D182" s="385">
        <v>0</v>
      </c>
      <c r="E182" s="385">
        <v>0</v>
      </c>
      <c r="F182" s="385">
        <v>0</v>
      </c>
      <c r="G182" s="385">
        <v>3.9925346374511719</v>
      </c>
      <c r="H182" s="385">
        <v>-3.9925346374511719</v>
      </c>
      <c r="K182" s="385">
        <v>0</v>
      </c>
      <c r="L182" s="385">
        <v>0</v>
      </c>
      <c r="M182" s="385">
        <v>3.1549058854579926E-2</v>
      </c>
      <c r="N182" s="385">
        <v>-3.1549058854579926E-2</v>
      </c>
    </row>
    <row r="183" spans="1:14" ht="60" x14ac:dyDescent="0.35">
      <c r="A183" s="385" t="s">
        <v>426</v>
      </c>
      <c r="B183" s="385" t="s">
        <v>839</v>
      </c>
      <c r="C183" s="385" t="s">
        <v>714</v>
      </c>
      <c r="D183" s="385">
        <v>0</v>
      </c>
      <c r="E183" s="385">
        <v>36.056497887776004</v>
      </c>
      <c r="F183" s="385">
        <v>36.056497887776004</v>
      </c>
      <c r="G183" s="385">
        <v>2.94457877316745E-5</v>
      </c>
      <c r="H183" s="385">
        <v>36.056468963623047</v>
      </c>
      <c r="K183" s="385">
        <v>6.3821005039821896</v>
      </c>
      <c r="L183" s="385">
        <v>6.3821005039821896</v>
      </c>
      <c r="M183" s="385">
        <v>0</v>
      </c>
      <c r="N183" s="385">
        <v>6.3821005821228027</v>
      </c>
    </row>
    <row r="184" spans="1:14" ht="60" x14ac:dyDescent="0.35">
      <c r="A184" s="385" t="s">
        <v>424</v>
      </c>
      <c r="B184" s="385" t="s">
        <v>840</v>
      </c>
      <c r="C184" s="385" t="s">
        <v>714</v>
      </c>
      <c r="D184" s="385">
        <v>0</v>
      </c>
      <c r="E184" s="385">
        <v>0</v>
      </c>
      <c r="F184" s="385">
        <v>0</v>
      </c>
      <c r="G184" s="385">
        <v>-46.769374847412109</v>
      </c>
      <c r="H184" s="385">
        <v>46.769374847412109</v>
      </c>
      <c r="K184" s="385">
        <v>0</v>
      </c>
      <c r="L184" s="385">
        <v>0</v>
      </c>
      <c r="M184" s="385">
        <v>1.2265222147107124E-2</v>
      </c>
      <c r="N184" s="385">
        <v>-1.2265222147107124E-2</v>
      </c>
    </row>
    <row r="185" spans="1:14" ht="30" x14ac:dyDescent="0.35">
      <c r="A185" s="385" t="s">
        <v>346</v>
      </c>
      <c r="B185" s="385" t="s">
        <v>841</v>
      </c>
      <c r="C185" s="385" t="s">
        <v>714</v>
      </c>
      <c r="D185" s="385">
        <v>0</v>
      </c>
      <c r="E185" s="385">
        <v>1333.8443447499999</v>
      </c>
      <c r="F185" s="385">
        <v>1333.8443447499999</v>
      </c>
      <c r="G185" s="385">
        <v>259.9893798828125</v>
      </c>
      <c r="H185" s="385">
        <v>1073.85498046875</v>
      </c>
      <c r="K185" s="385">
        <v>59.750668435020295</v>
      </c>
      <c r="L185" s="385">
        <v>59.750668435020295</v>
      </c>
      <c r="M185" s="385">
        <v>-18.833736419677734</v>
      </c>
      <c r="N185" s="385">
        <v>78.584403991699219</v>
      </c>
    </row>
    <row r="186" spans="1:14" ht="30" x14ac:dyDescent="0.35">
      <c r="A186" s="385" t="s">
        <v>842</v>
      </c>
      <c r="B186" s="385" t="s">
        <v>843</v>
      </c>
      <c r="C186" s="385" t="s">
        <v>714</v>
      </c>
      <c r="D186" s="385">
        <v>0</v>
      </c>
      <c r="E186" s="385">
        <v>0</v>
      </c>
      <c r="F186" s="385">
        <v>0</v>
      </c>
      <c r="G186" s="385">
        <v>9.2340173721313477</v>
      </c>
      <c r="H186" s="385">
        <v>-9.2340173721313477</v>
      </c>
      <c r="K186" s="385">
        <v>0</v>
      </c>
      <c r="L186" s="385">
        <v>0</v>
      </c>
      <c r="M186" s="385">
        <v>5.8279218673706055</v>
      </c>
      <c r="N186" s="385">
        <v>-5.8279218673706055</v>
      </c>
    </row>
    <row r="187" spans="1:14" ht="60" x14ac:dyDescent="0.35">
      <c r="A187" s="385" t="s">
        <v>422</v>
      </c>
      <c r="B187" s="385" t="s">
        <v>844</v>
      </c>
      <c r="C187" s="385" t="s">
        <v>714</v>
      </c>
      <c r="D187" s="385">
        <v>0</v>
      </c>
      <c r="E187" s="385">
        <v>3079.5832200181098</v>
      </c>
      <c r="F187" s="385">
        <v>3079.5832200181098</v>
      </c>
      <c r="G187" s="385">
        <v>1488.530029296875</v>
      </c>
      <c r="H187" s="385">
        <v>1591.05322265625</v>
      </c>
      <c r="K187" s="385">
        <v>232.27850045315401</v>
      </c>
      <c r="L187" s="385">
        <v>232.27850045315401</v>
      </c>
      <c r="M187" s="385">
        <v>-51.04388427734375</v>
      </c>
      <c r="N187" s="385">
        <v>283.3223876953125</v>
      </c>
    </row>
    <row r="188" spans="1:14" ht="90" x14ac:dyDescent="0.35">
      <c r="A188" s="385" t="s">
        <v>428</v>
      </c>
      <c r="B188" s="385" t="s">
        <v>845</v>
      </c>
      <c r="C188" s="385" t="s">
        <v>714</v>
      </c>
      <c r="D188" s="385">
        <v>0</v>
      </c>
      <c r="E188" s="385">
        <v>662</v>
      </c>
      <c r="F188" s="385">
        <v>662</v>
      </c>
      <c r="G188" s="385">
        <v>4.8375222831964493E-5</v>
      </c>
      <c r="H188" s="385">
        <v>661.99993896484375</v>
      </c>
      <c r="K188" s="385">
        <v>0</v>
      </c>
      <c r="L188" s="385">
        <v>0</v>
      </c>
      <c r="M188" s="385">
        <v>0</v>
      </c>
      <c r="N188" s="385">
        <v>0</v>
      </c>
    </row>
    <row r="189" spans="1:14" ht="150" x14ac:dyDescent="0.35">
      <c r="A189" s="385" t="s">
        <v>419</v>
      </c>
      <c r="B189" s="385" t="s">
        <v>846</v>
      </c>
      <c r="C189" s="385" t="s">
        <v>714</v>
      </c>
      <c r="D189" s="385">
        <v>0</v>
      </c>
      <c r="E189" s="385">
        <v>0</v>
      </c>
      <c r="F189" s="385">
        <v>0</v>
      </c>
      <c r="G189" s="385">
        <v>1.0518529415130615</v>
      </c>
      <c r="H189" s="385">
        <v>-1.0518529415130615</v>
      </c>
      <c r="K189" s="385">
        <v>0</v>
      </c>
      <c r="L189" s="385">
        <v>0</v>
      </c>
      <c r="M189" s="385">
        <v>0</v>
      </c>
      <c r="N189" s="385">
        <v>0</v>
      </c>
    </row>
    <row r="190" spans="1:14" ht="30" x14ac:dyDescent="0.35">
      <c r="A190" s="385" t="s">
        <v>434</v>
      </c>
      <c r="B190" s="385" t="s">
        <v>847</v>
      </c>
      <c r="C190" s="385" t="s">
        <v>714</v>
      </c>
      <c r="D190" s="385">
        <v>0</v>
      </c>
      <c r="E190" s="385">
        <v>148.30436800284599</v>
      </c>
      <c r="F190" s="385">
        <v>148.30436800284599</v>
      </c>
      <c r="G190" s="385">
        <v>-94.592254638671875</v>
      </c>
      <c r="H190" s="385">
        <v>242.89662170410156</v>
      </c>
      <c r="K190" s="385">
        <v>0</v>
      </c>
      <c r="L190" s="385">
        <v>0</v>
      </c>
      <c r="M190" s="385">
        <v>14.723152160644531</v>
      </c>
      <c r="N190" s="385">
        <v>-14.723152160644531</v>
      </c>
    </row>
    <row r="191" spans="1:14" ht="90" x14ac:dyDescent="0.35">
      <c r="A191" s="385" t="s">
        <v>349</v>
      </c>
      <c r="B191" s="385" t="s">
        <v>848</v>
      </c>
      <c r="C191" s="385" t="s">
        <v>714</v>
      </c>
      <c r="D191" s="385">
        <v>0</v>
      </c>
      <c r="E191" s="385">
        <v>453.76936033701003</v>
      </c>
      <c r="F191" s="385">
        <v>453.76936033701003</v>
      </c>
      <c r="G191" s="385">
        <v>5.0041203498840332</v>
      </c>
      <c r="H191" s="385">
        <v>448.76522827148438</v>
      </c>
      <c r="K191" s="385">
        <v>11.912564055965699</v>
      </c>
      <c r="L191" s="385">
        <v>11.912564055965699</v>
      </c>
      <c r="M191" s="385">
        <v>0.10402688384056091</v>
      </c>
      <c r="N191" s="385">
        <v>11.808537483215332</v>
      </c>
    </row>
    <row r="192" spans="1:14" ht="60" x14ac:dyDescent="0.35">
      <c r="A192" s="385" t="s">
        <v>435</v>
      </c>
      <c r="B192" s="385" t="s">
        <v>849</v>
      </c>
      <c r="C192" s="385" t="s">
        <v>714</v>
      </c>
      <c r="D192" s="385">
        <v>0</v>
      </c>
      <c r="E192" s="385">
        <v>0</v>
      </c>
      <c r="F192" s="385">
        <v>0</v>
      </c>
      <c r="G192" s="385">
        <v>1.0516352653503418</v>
      </c>
      <c r="H192" s="385">
        <v>-1.0516352653503418</v>
      </c>
      <c r="K192" s="385">
        <v>0</v>
      </c>
      <c r="L192" s="385">
        <v>0</v>
      </c>
      <c r="M192" s="385">
        <v>0.67299282550811768</v>
      </c>
      <c r="N192" s="385">
        <v>-0.67299282550811768</v>
      </c>
    </row>
    <row r="193" spans="1:14" ht="30" x14ac:dyDescent="0.35">
      <c r="A193" s="385" t="s">
        <v>328</v>
      </c>
      <c r="B193" s="385" t="s">
        <v>850</v>
      </c>
      <c r="C193" s="385" t="s">
        <v>714</v>
      </c>
      <c r="D193" s="385">
        <v>0</v>
      </c>
      <c r="E193" s="385">
        <v>0</v>
      </c>
      <c r="F193" s="385">
        <v>0</v>
      </c>
      <c r="G193" s="385">
        <v>-0.22433093190193176</v>
      </c>
      <c r="H193" s="385">
        <v>0.22433093190193176</v>
      </c>
      <c r="K193" s="385">
        <v>0</v>
      </c>
      <c r="L193" s="385">
        <v>0</v>
      </c>
      <c r="M193" s="385">
        <v>0</v>
      </c>
      <c r="N193" s="385">
        <v>0</v>
      </c>
    </row>
    <row r="194" spans="1:14" ht="30" x14ac:dyDescent="0.35">
      <c r="A194" s="385" t="s">
        <v>440</v>
      </c>
      <c r="B194" s="385" t="s">
        <v>851</v>
      </c>
      <c r="C194" s="385" t="s">
        <v>714</v>
      </c>
      <c r="D194" s="385">
        <v>0</v>
      </c>
      <c r="E194" s="385">
        <v>0</v>
      </c>
      <c r="F194" s="385">
        <v>0</v>
      </c>
      <c r="G194" s="385">
        <v>19.930633544921875</v>
      </c>
      <c r="H194" s="385">
        <v>-19.930633544921875</v>
      </c>
      <c r="K194" s="385">
        <v>0</v>
      </c>
      <c r="L194" s="385">
        <v>0</v>
      </c>
      <c r="M194" s="385">
        <v>1.2818382121622562E-2</v>
      </c>
      <c r="N194" s="385">
        <v>-1.2818382121622562E-2</v>
      </c>
    </row>
    <row r="195" spans="1:14" ht="30" x14ac:dyDescent="0.35">
      <c r="A195" s="385" t="s">
        <v>216</v>
      </c>
      <c r="B195" s="385" t="s">
        <v>852</v>
      </c>
      <c r="C195" s="385" t="s">
        <v>714</v>
      </c>
      <c r="D195" s="385">
        <v>0</v>
      </c>
      <c r="E195" s="385">
        <v>17320.645011102402</v>
      </c>
      <c r="F195" s="385">
        <v>17320.645011102402</v>
      </c>
      <c r="G195" s="385">
        <v>12663.3544921875</v>
      </c>
      <c r="H195" s="385">
        <v>4657.29052734375</v>
      </c>
      <c r="K195" s="385">
        <v>6875.1418166224303</v>
      </c>
      <c r="L195" s="385">
        <v>6875.1418166224303</v>
      </c>
      <c r="M195" s="385">
        <v>302.13870239257812</v>
      </c>
      <c r="N195" s="385">
        <v>6573.0029296875</v>
      </c>
    </row>
    <row r="196" spans="1:14" ht="60" x14ac:dyDescent="0.35">
      <c r="A196" s="385" t="s">
        <v>437</v>
      </c>
      <c r="B196" s="385" t="s">
        <v>853</v>
      </c>
      <c r="C196" s="385" t="s">
        <v>714</v>
      </c>
      <c r="D196" s="385">
        <v>0</v>
      </c>
      <c r="E196" s="385">
        <v>171.85072052390998</v>
      </c>
      <c r="F196" s="385">
        <v>171.85072052390998</v>
      </c>
      <c r="G196" s="385">
        <v>18.163949966430664</v>
      </c>
      <c r="H196" s="385">
        <v>153.686767578125</v>
      </c>
      <c r="K196" s="385">
        <v>0</v>
      </c>
      <c r="L196" s="385">
        <v>0</v>
      </c>
      <c r="M196" s="385">
        <v>0.70206540822982788</v>
      </c>
      <c r="N196" s="385">
        <v>-0.70206540822982788</v>
      </c>
    </row>
    <row r="197" spans="1:14" ht="90" x14ac:dyDescent="0.35">
      <c r="A197" s="385" t="s">
        <v>439</v>
      </c>
      <c r="B197" s="385" t="s">
        <v>854</v>
      </c>
      <c r="C197" s="385" t="s">
        <v>714</v>
      </c>
      <c r="D197" s="385">
        <v>0</v>
      </c>
      <c r="E197" s="385">
        <v>437.58721485241995</v>
      </c>
      <c r="F197" s="385">
        <v>437.58721485241995</v>
      </c>
      <c r="G197" s="385">
        <v>0</v>
      </c>
      <c r="H197" s="385">
        <v>437.58721923828125</v>
      </c>
      <c r="K197" s="385">
        <v>0</v>
      </c>
      <c r="L197" s="385">
        <v>0</v>
      </c>
      <c r="M197" s="385">
        <v>0</v>
      </c>
      <c r="N197" s="385">
        <v>0</v>
      </c>
    </row>
    <row r="198" spans="1:14" ht="30" x14ac:dyDescent="0.35">
      <c r="A198" s="385" t="s">
        <v>441</v>
      </c>
      <c r="B198" s="385" t="s">
        <v>855</v>
      </c>
      <c r="C198" s="385" t="s">
        <v>714</v>
      </c>
      <c r="D198" s="385">
        <v>0</v>
      </c>
      <c r="E198" s="385">
        <v>6.8745858372517601</v>
      </c>
      <c r="F198" s="385">
        <v>6.8745858372517601</v>
      </c>
      <c r="G198" s="385">
        <v>0</v>
      </c>
      <c r="H198" s="385">
        <v>6.8745856285095215</v>
      </c>
      <c r="K198" s="385">
        <v>0.20710477577026401</v>
      </c>
      <c r="L198" s="385">
        <v>0.20710477577026401</v>
      </c>
      <c r="M198" s="385">
        <v>0</v>
      </c>
      <c r="N198" s="385">
        <v>0.20710477232933044</v>
      </c>
    </row>
    <row r="199" spans="1:14" ht="60" x14ac:dyDescent="0.35">
      <c r="A199" s="385" t="s">
        <v>442</v>
      </c>
      <c r="B199" s="385" t="s">
        <v>856</v>
      </c>
      <c r="C199" s="385" t="s">
        <v>714</v>
      </c>
      <c r="D199" s="385">
        <v>0</v>
      </c>
      <c r="E199" s="385">
        <v>1973.5106554655899</v>
      </c>
      <c r="F199" s="385">
        <v>1973.5106554655899</v>
      </c>
      <c r="G199" s="385">
        <v>768.92431640625</v>
      </c>
      <c r="H199" s="385">
        <v>1204.5863037109375</v>
      </c>
      <c r="K199" s="385">
        <v>89.994366373656007</v>
      </c>
      <c r="L199" s="385">
        <v>89.994366373656007</v>
      </c>
      <c r="M199" s="385">
        <v>-52.692398071289062</v>
      </c>
      <c r="N199" s="385">
        <v>142.686767578125</v>
      </c>
    </row>
    <row r="200" spans="1:14" ht="30" x14ac:dyDescent="0.35">
      <c r="A200" s="385" t="s">
        <v>443</v>
      </c>
      <c r="B200" s="385" t="s">
        <v>857</v>
      </c>
      <c r="C200" s="385" t="s">
        <v>714</v>
      </c>
      <c r="D200" s="385">
        <v>0</v>
      </c>
      <c r="E200" s="385">
        <v>1085.7713622889501</v>
      </c>
      <c r="F200" s="385">
        <v>1085.7713622889501</v>
      </c>
      <c r="G200" s="385">
        <v>99.777824401855469</v>
      </c>
      <c r="H200" s="385">
        <v>985.9935302734375</v>
      </c>
      <c r="K200" s="385">
        <v>35.056063925763603</v>
      </c>
      <c r="L200" s="385">
        <v>35.056063925763603</v>
      </c>
      <c r="M200" s="385">
        <v>3.7923629283905029</v>
      </c>
      <c r="N200" s="385">
        <v>31.263700485229492</v>
      </c>
    </row>
    <row r="201" spans="1:14" ht="30" x14ac:dyDescent="0.35">
      <c r="A201" s="385" t="s">
        <v>565</v>
      </c>
      <c r="B201" s="385" t="s">
        <v>858</v>
      </c>
      <c r="C201" s="385" t="s">
        <v>714</v>
      </c>
      <c r="D201" s="385">
        <v>0</v>
      </c>
      <c r="E201" s="385">
        <v>0</v>
      </c>
      <c r="F201" s="385">
        <v>0</v>
      </c>
      <c r="G201" s="385">
        <v>4778.5703125</v>
      </c>
      <c r="H201" s="385">
        <v>-4778.5703125</v>
      </c>
      <c r="K201" s="385">
        <v>0</v>
      </c>
      <c r="L201" s="385">
        <v>0</v>
      </c>
      <c r="M201" s="385">
        <v>2093.256591796875</v>
      </c>
      <c r="N201" s="385">
        <v>-2093.256591796875</v>
      </c>
    </row>
    <row r="202" spans="1:14" ht="90" x14ac:dyDescent="0.35">
      <c r="A202" s="385" t="s">
        <v>438</v>
      </c>
      <c r="B202" s="385" t="s">
        <v>859</v>
      </c>
      <c r="C202" s="385" t="s">
        <v>714</v>
      </c>
      <c r="D202" s="385">
        <v>0</v>
      </c>
      <c r="E202" s="385">
        <v>0</v>
      </c>
      <c r="F202" s="385">
        <v>0</v>
      </c>
      <c r="G202" s="385">
        <v>66.480628967285156</v>
      </c>
      <c r="H202" s="385">
        <v>-66.480628967285156</v>
      </c>
      <c r="K202" s="385">
        <v>0</v>
      </c>
      <c r="L202" s="385">
        <v>0</v>
      </c>
      <c r="M202" s="385">
        <v>4.8413082957267761E-2</v>
      </c>
      <c r="N202" s="385">
        <v>-4.8413082957267761E-2</v>
      </c>
    </row>
    <row r="203" spans="1:14" ht="30" x14ac:dyDescent="0.35">
      <c r="A203" s="385" t="s">
        <v>447</v>
      </c>
      <c r="B203" s="385" t="s">
        <v>860</v>
      </c>
      <c r="C203" s="385" t="s">
        <v>714</v>
      </c>
      <c r="D203" s="385">
        <v>0</v>
      </c>
      <c r="E203" s="385">
        <v>184.93990930770002</v>
      </c>
      <c r="F203" s="385">
        <v>184.93990930770002</v>
      </c>
      <c r="G203" s="385">
        <v>19.138982772827148</v>
      </c>
      <c r="H203" s="385">
        <v>165.80093383789062</v>
      </c>
      <c r="K203" s="385">
        <v>0.36364921649562604</v>
      </c>
      <c r="L203" s="385">
        <v>0.36364921649562604</v>
      </c>
      <c r="M203" s="385">
        <v>-252.38656616210938</v>
      </c>
      <c r="N203" s="385">
        <v>252.75021362304688</v>
      </c>
    </row>
    <row r="204" spans="1:14" ht="30" x14ac:dyDescent="0.35">
      <c r="A204" s="385" t="s">
        <v>448</v>
      </c>
      <c r="B204" s="385" t="s">
        <v>861</v>
      </c>
      <c r="C204" s="385" t="s">
        <v>714</v>
      </c>
      <c r="D204" s="385">
        <v>0</v>
      </c>
      <c r="E204" s="385">
        <v>1884</v>
      </c>
      <c r="F204" s="385">
        <v>1884</v>
      </c>
      <c r="G204" s="385">
        <v>1654.22802734375</v>
      </c>
      <c r="H204" s="385">
        <v>229.77197265625</v>
      </c>
      <c r="K204" s="385">
        <v>20</v>
      </c>
      <c r="L204" s="385">
        <v>20</v>
      </c>
      <c r="M204" s="385">
        <v>186.92633056640625</v>
      </c>
      <c r="N204" s="385">
        <v>-166.92633056640625</v>
      </c>
    </row>
    <row r="205" spans="1:14" ht="30" x14ac:dyDescent="0.35">
      <c r="A205" s="385" t="s">
        <v>217</v>
      </c>
      <c r="B205" s="385" t="s">
        <v>862</v>
      </c>
      <c r="C205" s="385" t="s">
        <v>714</v>
      </c>
      <c r="D205" s="385">
        <v>0</v>
      </c>
      <c r="E205" s="385">
        <v>6707.2859392185501</v>
      </c>
      <c r="F205" s="385">
        <v>6707.2859392185501</v>
      </c>
      <c r="G205" s="385">
        <v>3064.928955078125</v>
      </c>
      <c r="H205" s="385">
        <v>3642.35693359375</v>
      </c>
      <c r="K205" s="385">
        <v>790.51396350992798</v>
      </c>
      <c r="L205" s="385">
        <v>790.51396350992798</v>
      </c>
      <c r="M205" s="385">
        <v>585.42919921875</v>
      </c>
      <c r="N205" s="385">
        <v>205.08476257324219</v>
      </c>
    </row>
    <row r="206" spans="1:14" ht="60" x14ac:dyDescent="0.35">
      <c r="A206" s="385" t="s">
        <v>449</v>
      </c>
      <c r="B206" s="385" t="s">
        <v>863</v>
      </c>
      <c r="C206" s="385" t="s">
        <v>714</v>
      </c>
      <c r="D206" s="385">
        <v>0</v>
      </c>
      <c r="E206" s="385">
        <v>1733.2011952661401</v>
      </c>
      <c r="F206" s="385">
        <v>1733.2011952661401</v>
      </c>
      <c r="G206" s="385">
        <v>48.438777923583984</v>
      </c>
      <c r="H206" s="385">
        <v>1684.762451171875</v>
      </c>
      <c r="K206" s="385">
        <v>2.9363809734857398</v>
      </c>
      <c r="L206" s="385">
        <v>2.9363809734857398</v>
      </c>
      <c r="M206" s="385">
        <v>3.8883960247039795</v>
      </c>
      <c r="N206" s="385">
        <v>-0.95201504230499268</v>
      </c>
    </row>
    <row r="207" spans="1:14" ht="120" x14ac:dyDescent="0.35">
      <c r="A207" s="385" t="s">
        <v>451</v>
      </c>
      <c r="B207" s="385" t="s">
        <v>864</v>
      </c>
      <c r="C207" s="385" t="s">
        <v>714</v>
      </c>
      <c r="D207" s="385">
        <v>0</v>
      </c>
      <c r="E207" s="385">
        <v>0</v>
      </c>
      <c r="F207" s="385">
        <v>0</v>
      </c>
      <c r="G207" s="385">
        <v>146.74571228027344</v>
      </c>
      <c r="H207" s="385">
        <v>-146.74571228027344</v>
      </c>
      <c r="K207" s="385">
        <v>0</v>
      </c>
      <c r="L207" s="385">
        <v>0</v>
      </c>
      <c r="M207" s="385">
        <v>2.5435192584991455</v>
      </c>
      <c r="N207" s="385">
        <v>-2.5435192584991455</v>
      </c>
    </row>
    <row r="208" spans="1:14" ht="30" x14ac:dyDescent="0.35">
      <c r="A208" s="385" t="s">
        <v>452</v>
      </c>
      <c r="B208" s="385" t="s">
        <v>865</v>
      </c>
      <c r="C208" s="385" t="s">
        <v>714</v>
      </c>
      <c r="D208" s="385">
        <v>0</v>
      </c>
      <c r="E208" s="385">
        <v>0</v>
      </c>
      <c r="F208" s="385">
        <v>0</v>
      </c>
      <c r="G208" s="385">
        <v>6915.54150390625</v>
      </c>
      <c r="H208" s="385">
        <v>-6915.54150390625</v>
      </c>
      <c r="K208" s="385">
        <v>0</v>
      </c>
      <c r="L208" s="385">
        <v>0</v>
      </c>
      <c r="M208" s="385">
        <v>-81.61029052734375</v>
      </c>
      <c r="N208" s="385">
        <v>81.61029052734375</v>
      </c>
    </row>
    <row r="209" spans="1:14" ht="30" x14ac:dyDescent="0.35">
      <c r="A209" s="385" t="s">
        <v>450</v>
      </c>
      <c r="B209" s="385" t="s">
        <v>866</v>
      </c>
      <c r="C209" s="385" t="s">
        <v>714</v>
      </c>
      <c r="D209" s="385">
        <v>0</v>
      </c>
      <c r="E209" s="385">
        <v>4.4560560601126697</v>
      </c>
      <c r="F209" s="385">
        <v>4.4560560601126697</v>
      </c>
      <c r="G209" s="385">
        <v>1.2514459376689047E-4</v>
      </c>
      <c r="H209" s="385">
        <v>4.4559307098388672</v>
      </c>
      <c r="K209" s="385">
        <v>1.3090584854438501</v>
      </c>
      <c r="L209" s="385">
        <v>1.3090584854438501</v>
      </c>
      <c r="M209" s="385">
        <v>-1.0516352653503418</v>
      </c>
      <c r="N209" s="385">
        <v>2.3606936931610107</v>
      </c>
    </row>
    <row r="210" spans="1:14" ht="30" x14ac:dyDescent="0.35">
      <c r="A210" s="385" t="s">
        <v>417</v>
      </c>
      <c r="B210" s="385" t="s">
        <v>867</v>
      </c>
      <c r="C210" s="385" t="s">
        <v>714</v>
      </c>
      <c r="D210" s="385">
        <v>0</v>
      </c>
      <c r="E210" s="385">
        <v>17.5154082380669</v>
      </c>
      <c r="F210" s="385">
        <v>17.5154082380669</v>
      </c>
      <c r="G210" s="385">
        <v>0</v>
      </c>
      <c r="H210" s="385">
        <v>17.515407562255859</v>
      </c>
      <c r="K210" s="385">
        <v>7.5105982776208405E-2</v>
      </c>
      <c r="L210" s="385">
        <v>7.5105982776208405E-2</v>
      </c>
      <c r="M210" s="385">
        <v>-0.28217983245849609</v>
      </c>
      <c r="N210" s="385">
        <v>0.35728582739830017</v>
      </c>
    </row>
    <row r="211" spans="1:14" ht="60" x14ac:dyDescent="0.35">
      <c r="A211" s="385" t="s">
        <v>374</v>
      </c>
      <c r="B211" s="385" t="s">
        <v>868</v>
      </c>
      <c r="C211" s="385" t="s">
        <v>714</v>
      </c>
      <c r="D211" s="385">
        <v>0</v>
      </c>
      <c r="E211" s="385">
        <v>194.836802769071</v>
      </c>
      <c r="F211" s="385">
        <v>194.836802769071</v>
      </c>
      <c r="K211" s="385">
        <v>3.0874460089520102</v>
      </c>
      <c r="L211" s="385">
        <v>3.0874460089520102</v>
      </c>
    </row>
    <row r="212" spans="1:14" ht="60" x14ac:dyDescent="0.35">
      <c r="A212" s="385" t="s">
        <v>456</v>
      </c>
      <c r="B212" s="385" t="s">
        <v>869</v>
      </c>
      <c r="C212" s="385" t="s">
        <v>714</v>
      </c>
      <c r="D212" s="385">
        <v>0</v>
      </c>
      <c r="E212" s="385">
        <v>0</v>
      </c>
      <c r="F212" s="385">
        <v>0</v>
      </c>
      <c r="G212" s="385">
        <v>0</v>
      </c>
      <c r="H212" s="385">
        <v>0</v>
      </c>
      <c r="K212" s="385">
        <v>0</v>
      </c>
      <c r="L212" s="385">
        <v>0</v>
      </c>
      <c r="M212" s="385">
        <v>0</v>
      </c>
      <c r="N212" s="385">
        <v>0</v>
      </c>
    </row>
    <row r="213" spans="1:14" ht="30" x14ac:dyDescent="0.35">
      <c r="A213" s="385" t="s">
        <v>458</v>
      </c>
      <c r="B213" s="385" t="s">
        <v>870</v>
      </c>
      <c r="C213" s="385" t="s">
        <v>714</v>
      </c>
      <c r="D213" s="385">
        <v>0</v>
      </c>
      <c r="E213" s="385">
        <v>1190.4874579485499</v>
      </c>
      <c r="F213" s="385">
        <v>1190.4874579485499</v>
      </c>
      <c r="G213" s="385">
        <v>-41.072624206542969</v>
      </c>
      <c r="H213" s="385">
        <v>1231.56005859375</v>
      </c>
      <c r="K213" s="385">
        <v>7.0681046765209699E-2</v>
      </c>
      <c r="L213" s="385">
        <v>7.0681046765209699E-2</v>
      </c>
      <c r="M213" s="385">
        <v>1.3169628567993641E-2</v>
      </c>
      <c r="N213" s="385">
        <v>5.7511419057846069E-2</v>
      </c>
    </row>
    <row r="214" spans="1:14" ht="30" x14ac:dyDescent="0.35">
      <c r="A214" s="385" t="s">
        <v>459</v>
      </c>
      <c r="B214" s="385" t="s">
        <v>871</v>
      </c>
      <c r="C214" s="385" t="s">
        <v>714</v>
      </c>
      <c r="D214" s="385">
        <v>0</v>
      </c>
      <c r="E214" s="385">
        <v>0</v>
      </c>
      <c r="F214" s="385">
        <v>0</v>
      </c>
      <c r="G214" s="385">
        <v>14.587422370910645</v>
      </c>
      <c r="H214" s="385">
        <v>-14.587422370910645</v>
      </c>
      <c r="K214" s="385">
        <v>0</v>
      </c>
      <c r="L214" s="385">
        <v>0</v>
      </c>
      <c r="M214" s="385">
        <v>-1.0516352485865355E-3</v>
      </c>
      <c r="N214" s="385">
        <v>1.0516352485865355E-3</v>
      </c>
    </row>
  </sheetData>
  <mergeCells count="1">
    <mergeCell ref="A1:O1"/>
  </mergeCells>
  <pageMargins left="0.7" right="0.7" top="0.75" bottom="0.75" header="0.3" footer="0.3"/>
  <pageSetup scale="47" fitToHeight="0" orientation="portrait" horizontalDpi="4294967292" verticalDpi="429496729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28690-B9C5-4ED4-BBE7-985EE694101B}">
  <sheetPr>
    <tabColor theme="9" tint="0.39997558519241921"/>
  </sheetPr>
  <dimension ref="A1:I6"/>
  <sheetViews>
    <sheetView zoomScale="77" workbookViewId="0">
      <selection activeCell="H7" sqref="H7"/>
    </sheetView>
  </sheetViews>
  <sheetFormatPr baseColWidth="10" defaultColWidth="8.83203125" defaultRowHeight="16" x14ac:dyDescent="0.2"/>
  <cols>
    <col min="1" max="9" width="13.6640625" customWidth="1"/>
  </cols>
  <sheetData>
    <row r="1" spans="1:9" ht="21" x14ac:dyDescent="0.25">
      <c r="A1" s="393" t="s">
        <v>872</v>
      </c>
      <c r="B1" s="375"/>
      <c r="C1" s="375"/>
      <c r="D1" s="375"/>
      <c r="E1" s="375"/>
      <c r="F1" s="375"/>
      <c r="G1" s="376"/>
    </row>
    <row r="2" spans="1:9" ht="19" x14ac:dyDescent="0.25">
      <c r="A2" s="377" t="s">
        <v>873</v>
      </c>
      <c r="G2" s="378"/>
    </row>
    <row r="3" spans="1:9" s="363" customFormat="1" ht="51" x14ac:dyDescent="0.2">
      <c r="A3" s="381" t="s">
        <v>719</v>
      </c>
      <c r="B3" s="379" t="s">
        <v>874</v>
      </c>
      <c r="C3" s="379" t="s">
        <v>875</v>
      </c>
      <c r="D3" s="379" t="s">
        <v>876</v>
      </c>
      <c r="E3" s="379" t="s">
        <v>877</v>
      </c>
      <c r="F3" s="379" t="s">
        <v>878</v>
      </c>
      <c r="G3" s="379" t="s">
        <v>879</v>
      </c>
      <c r="H3" s="379" t="s">
        <v>880</v>
      </c>
      <c r="I3" s="380" t="s">
        <v>523</v>
      </c>
    </row>
    <row r="4" spans="1:9" x14ac:dyDescent="0.2">
      <c r="A4" s="382" t="s">
        <v>661</v>
      </c>
      <c r="B4">
        <v>0</v>
      </c>
      <c r="C4">
        <v>0</v>
      </c>
      <c r="D4">
        <v>0</v>
      </c>
      <c r="E4">
        <v>2405.047119140625</v>
      </c>
      <c r="F4">
        <v>39665.0859375</v>
      </c>
      <c r="G4">
        <v>39665.0859375</v>
      </c>
      <c r="H4">
        <v>2405.047119140625</v>
      </c>
      <c r="I4">
        <v>42070.1328125</v>
      </c>
    </row>
    <row r="5" spans="1:9" x14ac:dyDescent="0.2">
      <c r="A5" s="382" t="s">
        <v>662</v>
      </c>
      <c r="B5">
        <v>1210.1998291015625</v>
      </c>
      <c r="C5">
        <v>7577.91796875</v>
      </c>
      <c r="D5">
        <v>29194.84765625</v>
      </c>
      <c r="E5">
        <v>848.843017578125</v>
      </c>
      <c r="F5">
        <v>7535.37109375</v>
      </c>
      <c r="G5">
        <v>7535.37109375</v>
      </c>
      <c r="H5">
        <v>848.843017578125</v>
      </c>
      <c r="I5">
        <v>37579.0625</v>
      </c>
    </row>
    <row r="6" spans="1:9" x14ac:dyDescent="0.2">
      <c r="A6" s="383" t="s">
        <v>663</v>
      </c>
      <c r="B6">
        <v>5930.2841796875</v>
      </c>
      <c r="C6">
        <v>0</v>
      </c>
      <c r="D6">
        <v>0</v>
      </c>
      <c r="E6">
        <v>7936.0009765625</v>
      </c>
      <c r="F6">
        <v>74400</v>
      </c>
      <c r="G6">
        <v>0</v>
      </c>
      <c r="H6">
        <v>5930.2841796875</v>
      </c>
      <c r="I6">
        <v>5930.2841796875</v>
      </c>
    </row>
  </sheetData>
  <pageMargins left="0.7" right="0.7" top="0.75" bottom="0.75" header="0.3" footer="0.3"/>
  <pageSetup paperSize="9"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9" tint="0.39997558519241921"/>
    <pageSetUpPr fitToPage="1"/>
  </sheetPr>
  <dimension ref="A1:G42"/>
  <sheetViews>
    <sheetView zoomScale="49" workbookViewId="0">
      <selection activeCell="J24" sqref="J24"/>
    </sheetView>
  </sheetViews>
  <sheetFormatPr baseColWidth="10" defaultColWidth="8.83203125" defaultRowHeight="13" x14ac:dyDescent="0.15"/>
  <cols>
    <col min="1" max="5" width="27.83203125" style="1" customWidth="1"/>
    <col min="6" max="16384" width="8.83203125" style="1"/>
  </cols>
  <sheetData>
    <row r="1" spans="1:7" ht="14" thickBot="1" x14ac:dyDescent="0.2"/>
    <row r="2" spans="1:7" ht="60" customHeight="1" x14ac:dyDescent="0.15">
      <c r="A2" s="374" t="s">
        <v>881</v>
      </c>
      <c r="B2" s="351"/>
      <c r="C2" s="351"/>
      <c r="D2" s="351"/>
      <c r="E2" s="352"/>
    </row>
    <row r="3" spans="1:7" ht="13" customHeight="1" x14ac:dyDescent="0.2">
      <c r="A3" s="9"/>
      <c r="B3" s="8"/>
      <c r="C3" s="8"/>
      <c r="D3" s="8"/>
      <c r="E3" s="10"/>
    </row>
    <row r="4" spans="1:7" ht="13" customHeight="1" thickBot="1" x14ac:dyDescent="0.25">
      <c r="A4" s="9"/>
      <c r="B4" s="2" t="s">
        <v>473</v>
      </c>
      <c r="C4" s="2" t="s">
        <v>474</v>
      </c>
      <c r="D4" s="2" t="s">
        <v>475</v>
      </c>
      <c r="E4" s="11" t="s">
        <v>478</v>
      </c>
    </row>
    <row r="5" spans="1:7" s="7" customFormat="1" ht="35.25" customHeight="1" x14ac:dyDescent="0.2">
      <c r="A5" s="371" t="s">
        <v>882</v>
      </c>
      <c r="B5" s="372"/>
      <c r="C5" s="372"/>
      <c r="D5" s="372"/>
      <c r="E5" s="373"/>
      <c r="G5" s="7" t="s">
        <v>883</v>
      </c>
    </row>
    <row r="6" spans="1:7" ht="18" customHeight="1" x14ac:dyDescent="0.2">
      <c r="A6" s="160"/>
      <c r="B6" s="359" t="s">
        <v>40</v>
      </c>
      <c r="C6" s="360"/>
      <c r="D6" s="360"/>
      <c r="E6" s="361"/>
      <c r="G6" s="1">
        <v>0.84</v>
      </c>
    </row>
    <row r="7" spans="1:7" ht="34" x14ac:dyDescent="0.15">
      <c r="A7" s="349" t="s">
        <v>884</v>
      </c>
      <c r="B7" s="350" t="s">
        <v>885</v>
      </c>
      <c r="C7" s="348" t="s">
        <v>67</v>
      </c>
      <c r="D7" s="12" t="s">
        <v>73</v>
      </c>
      <c r="E7" s="13" t="s">
        <v>886</v>
      </c>
    </row>
    <row r="8" spans="1:7" ht="12" customHeight="1" x14ac:dyDescent="0.15">
      <c r="A8" s="161" t="s">
        <v>190</v>
      </c>
      <c r="B8" s="162">
        <v>0</v>
      </c>
      <c r="C8" s="163">
        <v>0.1</v>
      </c>
      <c r="D8" s="3">
        <v>0</v>
      </c>
      <c r="E8" s="164">
        <v>0.1</v>
      </c>
    </row>
    <row r="9" spans="1:7" ht="16" x14ac:dyDescent="0.15">
      <c r="A9" s="14" t="s">
        <v>583</v>
      </c>
      <c r="B9" s="4">
        <v>0</v>
      </c>
      <c r="C9" s="3">
        <v>0</v>
      </c>
      <c r="D9" s="3">
        <v>0</v>
      </c>
      <c r="E9" s="15">
        <v>0</v>
      </c>
    </row>
    <row r="10" spans="1:7" ht="16" x14ac:dyDescent="0.15">
      <c r="A10" s="14" t="s">
        <v>198</v>
      </c>
      <c r="B10" s="4">
        <v>0</v>
      </c>
      <c r="C10" s="3">
        <v>0</v>
      </c>
      <c r="D10" s="3">
        <v>0</v>
      </c>
      <c r="E10" s="15">
        <v>0</v>
      </c>
    </row>
    <row r="11" spans="1:7" ht="16" x14ac:dyDescent="0.15">
      <c r="A11" s="14" t="s">
        <v>571</v>
      </c>
      <c r="B11" s="4">
        <v>0</v>
      </c>
      <c r="C11" s="3">
        <v>0</v>
      </c>
      <c r="D11" s="3">
        <v>0</v>
      </c>
      <c r="E11" s="15">
        <v>0</v>
      </c>
    </row>
    <row r="12" spans="1:7" ht="16" x14ac:dyDescent="0.15">
      <c r="A12" s="14" t="s">
        <v>192</v>
      </c>
      <c r="B12" s="4">
        <v>-1</v>
      </c>
      <c r="C12" s="3">
        <v>0</v>
      </c>
      <c r="D12" s="3">
        <v>0</v>
      </c>
      <c r="E12" s="15">
        <v>-1</v>
      </c>
    </row>
    <row r="13" spans="1:7" ht="16" x14ac:dyDescent="0.15">
      <c r="A13" s="14" t="s">
        <v>72</v>
      </c>
      <c r="B13" s="4">
        <v>0</v>
      </c>
      <c r="C13" s="3">
        <v>2.4</v>
      </c>
      <c r="D13" s="3">
        <v>-0.3</v>
      </c>
      <c r="E13" s="15">
        <v>2.1</v>
      </c>
    </row>
    <row r="14" spans="1:7" ht="16" x14ac:dyDescent="0.15">
      <c r="A14" s="14" t="s">
        <v>320</v>
      </c>
      <c r="B14" s="4">
        <v>-0.2</v>
      </c>
      <c r="C14" s="3">
        <v>0</v>
      </c>
      <c r="D14" s="3">
        <v>0</v>
      </c>
      <c r="E14" s="15">
        <v>-0.2</v>
      </c>
    </row>
    <row r="15" spans="1:7" ht="16" x14ac:dyDescent="0.15">
      <c r="A15" s="14" t="s">
        <v>573</v>
      </c>
      <c r="B15" s="4">
        <v>0</v>
      </c>
      <c r="C15" s="3">
        <v>0</v>
      </c>
      <c r="D15" s="3">
        <v>0</v>
      </c>
      <c r="E15" s="15">
        <v>0</v>
      </c>
    </row>
    <row r="16" spans="1:7" ht="16" x14ac:dyDescent="0.15">
      <c r="A16" s="14" t="s">
        <v>202</v>
      </c>
      <c r="B16" s="4">
        <v>0</v>
      </c>
      <c r="C16" s="3">
        <v>-0.1</v>
      </c>
      <c r="D16" s="3">
        <v>0</v>
      </c>
      <c r="E16" s="15">
        <v>-0.1</v>
      </c>
    </row>
    <row r="17" spans="1:5" ht="16" x14ac:dyDescent="0.15">
      <c r="A17" s="14" t="s">
        <v>382</v>
      </c>
      <c r="B17" s="4">
        <v>0</v>
      </c>
      <c r="C17" s="3">
        <v>0</v>
      </c>
      <c r="D17" s="3">
        <v>0</v>
      </c>
      <c r="E17" s="15">
        <v>0</v>
      </c>
    </row>
    <row r="18" spans="1:5" ht="16" x14ac:dyDescent="0.15">
      <c r="A18" s="14" t="s">
        <v>193</v>
      </c>
      <c r="B18" s="4">
        <v>0</v>
      </c>
      <c r="C18" s="3">
        <v>0</v>
      </c>
      <c r="D18" s="3">
        <v>0</v>
      </c>
      <c r="E18" s="15">
        <v>0</v>
      </c>
    </row>
    <row r="19" spans="1:5" ht="16" x14ac:dyDescent="0.15">
      <c r="A19" s="14" t="s">
        <v>222</v>
      </c>
      <c r="B19" s="4">
        <v>0</v>
      </c>
      <c r="C19" s="3">
        <v>0</v>
      </c>
      <c r="D19" s="3">
        <v>0</v>
      </c>
      <c r="E19" s="15">
        <v>0</v>
      </c>
    </row>
    <row r="20" spans="1:5" ht="16" x14ac:dyDescent="0.15">
      <c r="A20" s="14" t="s">
        <v>415</v>
      </c>
      <c r="B20" s="4">
        <v>0</v>
      </c>
      <c r="C20" s="3">
        <v>0.4</v>
      </c>
      <c r="D20" s="3">
        <v>0</v>
      </c>
      <c r="E20" s="15">
        <v>0.4</v>
      </c>
    </row>
    <row r="21" spans="1:5" ht="16" x14ac:dyDescent="0.15">
      <c r="A21" s="14" t="s">
        <v>582</v>
      </c>
      <c r="B21" s="4">
        <v>0</v>
      </c>
      <c r="C21" s="3">
        <v>0</v>
      </c>
      <c r="D21" s="3">
        <v>0</v>
      </c>
      <c r="E21" s="15">
        <v>0</v>
      </c>
    </row>
    <row r="22" spans="1:5" ht="16" x14ac:dyDescent="0.15">
      <c r="A22" s="14" t="s">
        <v>187</v>
      </c>
      <c r="B22" s="4">
        <v>0</v>
      </c>
      <c r="C22" s="3">
        <v>0</v>
      </c>
      <c r="D22" s="3">
        <v>0</v>
      </c>
      <c r="E22" s="15">
        <v>0</v>
      </c>
    </row>
    <row r="23" spans="1:5" ht="16" x14ac:dyDescent="0.15">
      <c r="A23" s="14" t="s">
        <v>205</v>
      </c>
      <c r="B23" s="4">
        <v>0</v>
      </c>
      <c r="C23" s="3">
        <v>1.1000000000000001</v>
      </c>
      <c r="D23" s="3">
        <v>0.3</v>
      </c>
      <c r="E23" s="15">
        <v>1.4</v>
      </c>
    </row>
    <row r="24" spans="1:5" ht="16" x14ac:dyDescent="0.15">
      <c r="A24" s="14" t="s">
        <v>75</v>
      </c>
      <c r="B24" s="4">
        <v>0</v>
      </c>
      <c r="C24" s="3">
        <v>4.7</v>
      </c>
      <c r="D24" s="3">
        <v>1.5</v>
      </c>
      <c r="E24" s="15">
        <v>6.1</v>
      </c>
    </row>
    <row r="25" spans="1:5" ht="16" x14ac:dyDescent="0.15">
      <c r="A25" s="14" t="s">
        <v>194</v>
      </c>
      <c r="B25" s="4">
        <v>-4.0999999999999996</v>
      </c>
      <c r="C25" s="3">
        <v>0</v>
      </c>
      <c r="D25" s="3">
        <v>0</v>
      </c>
      <c r="E25" s="15">
        <v>-4.0999999999999996</v>
      </c>
    </row>
    <row r="26" spans="1:5" ht="16" x14ac:dyDescent="0.15">
      <c r="A26" s="14" t="s">
        <v>65</v>
      </c>
      <c r="B26" s="4">
        <v>-19.5</v>
      </c>
      <c r="C26" s="3">
        <v>2.8</v>
      </c>
      <c r="D26" s="3">
        <v>0.1</v>
      </c>
      <c r="E26" s="15">
        <v>-16.600000000000001</v>
      </c>
    </row>
    <row r="27" spans="1:5" ht="16" x14ac:dyDescent="0.15">
      <c r="A27" s="14" t="s">
        <v>74</v>
      </c>
      <c r="B27" s="4">
        <v>-6.6</v>
      </c>
      <c r="C27" s="3">
        <v>1.4</v>
      </c>
      <c r="D27" s="3">
        <v>-0.1</v>
      </c>
      <c r="E27" s="15">
        <v>-5.3</v>
      </c>
    </row>
    <row r="28" spans="1:5" ht="16" x14ac:dyDescent="0.15">
      <c r="A28" s="14" t="s">
        <v>338</v>
      </c>
      <c r="B28" s="4">
        <v>0</v>
      </c>
      <c r="C28" s="3">
        <v>0</v>
      </c>
      <c r="D28" s="3">
        <v>0</v>
      </c>
      <c r="E28" s="15">
        <v>0</v>
      </c>
    </row>
    <row r="29" spans="1:5" ht="16" x14ac:dyDescent="0.15">
      <c r="A29" s="14" t="s">
        <v>73</v>
      </c>
      <c r="B29" s="4">
        <v>-3.6</v>
      </c>
      <c r="C29" s="3">
        <v>0</v>
      </c>
      <c r="D29" s="3">
        <v>0</v>
      </c>
      <c r="E29" s="15">
        <v>-3.6</v>
      </c>
    </row>
    <row r="30" spans="1:5" ht="16" x14ac:dyDescent="0.15">
      <c r="A30" s="14" t="s">
        <v>67</v>
      </c>
      <c r="B30" s="4">
        <v>0</v>
      </c>
      <c r="C30" s="3">
        <v>0</v>
      </c>
      <c r="D30" s="3">
        <v>0</v>
      </c>
      <c r="E30" s="15">
        <v>0</v>
      </c>
    </row>
    <row r="31" spans="1:5" ht="16" x14ac:dyDescent="0.15">
      <c r="A31" s="14" t="s">
        <v>572</v>
      </c>
      <c r="B31" s="4">
        <v>0</v>
      </c>
      <c r="C31" s="3">
        <v>0</v>
      </c>
      <c r="D31" s="3">
        <v>0</v>
      </c>
      <c r="E31" s="15">
        <v>0</v>
      </c>
    </row>
    <row r="32" spans="1:5" ht="16" x14ac:dyDescent="0.15">
      <c r="A32" s="14" t="s">
        <v>580</v>
      </c>
      <c r="B32" s="4">
        <v>0</v>
      </c>
      <c r="C32" s="3">
        <v>0.4</v>
      </c>
      <c r="D32" s="3">
        <v>0</v>
      </c>
      <c r="E32" s="15">
        <v>0.4</v>
      </c>
    </row>
    <row r="33" spans="1:5" ht="16" x14ac:dyDescent="0.15">
      <c r="A33" s="14" t="s">
        <v>71</v>
      </c>
      <c r="B33" s="4">
        <v>0</v>
      </c>
      <c r="C33" s="3">
        <v>1.9</v>
      </c>
      <c r="D33" s="3">
        <v>0.3</v>
      </c>
      <c r="E33" s="15">
        <v>2.2000000000000002</v>
      </c>
    </row>
    <row r="34" spans="1:5" ht="16" x14ac:dyDescent="0.15">
      <c r="A34" s="14" t="s">
        <v>70</v>
      </c>
      <c r="B34" s="4">
        <v>5.5</v>
      </c>
      <c r="C34" s="3">
        <v>21.1</v>
      </c>
      <c r="D34" s="3">
        <v>3.3</v>
      </c>
      <c r="E34" s="15">
        <v>29.9</v>
      </c>
    </row>
    <row r="35" spans="1:5" ht="16" x14ac:dyDescent="0.15">
      <c r="A35" s="14" t="s">
        <v>60</v>
      </c>
      <c r="B35" s="4">
        <v>23.8</v>
      </c>
      <c r="C35" s="3">
        <v>15.8</v>
      </c>
      <c r="D35" s="3">
        <v>0.4</v>
      </c>
      <c r="E35" s="15">
        <v>39.9</v>
      </c>
    </row>
    <row r="36" spans="1:5" ht="16" x14ac:dyDescent="0.15">
      <c r="A36" s="14" t="s">
        <v>64</v>
      </c>
      <c r="B36" s="4">
        <v>-0.8</v>
      </c>
      <c r="C36" s="3">
        <v>31.3</v>
      </c>
      <c r="D36" s="3">
        <v>1.6</v>
      </c>
      <c r="E36" s="15">
        <v>32</v>
      </c>
    </row>
    <row r="37" spans="1:5" ht="16" x14ac:dyDescent="0.15">
      <c r="A37" s="14" t="s">
        <v>59</v>
      </c>
      <c r="B37" s="4">
        <v>0</v>
      </c>
      <c r="C37" s="3">
        <v>50.1</v>
      </c>
      <c r="D37" s="3">
        <v>0</v>
      </c>
      <c r="E37" s="15">
        <v>50.1</v>
      </c>
    </row>
    <row r="38" spans="1:5" ht="16" x14ac:dyDescent="0.15">
      <c r="A38" s="14"/>
      <c r="B38" s="6"/>
      <c r="C38" s="5"/>
      <c r="D38" s="5"/>
      <c r="E38" s="16"/>
    </row>
    <row r="39" spans="1:5" ht="27" customHeight="1" thickBot="1" x14ac:dyDescent="0.2">
      <c r="A39" s="165" t="s">
        <v>523</v>
      </c>
      <c r="B39" s="166">
        <v>-6.4</v>
      </c>
      <c r="C39" s="167">
        <v>133.30000000000001</v>
      </c>
      <c r="D39" s="167">
        <v>7</v>
      </c>
      <c r="E39" s="168">
        <v>133.9</v>
      </c>
    </row>
    <row r="40" spans="1:5" ht="14" thickBot="1" x14ac:dyDescent="0.2"/>
    <row r="41" spans="1:5" ht="12.75" customHeight="1" x14ac:dyDescent="0.15">
      <c r="A41" s="353" t="s">
        <v>887</v>
      </c>
      <c r="B41" s="354"/>
      <c r="C41" s="354"/>
      <c r="D41" s="354"/>
      <c r="E41" s="355"/>
    </row>
    <row r="42" spans="1:5" ht="18" customHeight="1" thickBot="1" x14ac:dyDescent="0.2">
      <c r="A42" s="356"/>
      <c r="B42" s="357"/>
      <c r="C42" s="357"/>
      <c r="D42" s="357"/>
      <c r="E42" s="358"/>
    </row>
  </sheetData>
  <pageMargins left="0.7" right="0.7" top="0.75" bottom="0.75" header="0.3" footer="0.3"/>
  <pageSetup paperSize="9" scale="52" fitToHeight="0"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9" tint="0.39997558519241921"/>
    <pageSetUpPr fitToPage="1"/>
  </sheetPr>
  <dimension ref="A1:AF55"/>
  <sheetViews>
    <sheetView zoomScale="30" zoomScaleNormal="30" workbookViewId="0">
      <pane xSplit="3" ySplit="9" topLeftCell="D13" activePane="bottomRight" state="frozen"/>
      <selection pane="topRight" activeCell="B5" sqref="B5"/>
      <selection pane="bottomLeft" activeCell="B5" sqref="B5"/>
      <selection pane="bottomRight" activeCell="G20" sqref="G20"/>
    </sheetView>
  </sheetViews>
  <sheetFormatPr baseColWidth="10" defaultColWidth="8.83203125" defaultRowHeight="16" x14ac:dyDescent="0.2"/>
  <cols>
    <col min="1" max="7" width="24.83203125" customWidth="1"/>
    <col min="8" max="8" width="28.1640625" customWidth="1"/>
    <col min="9" max="18" width="24.83203125" customWidth="1"/>
    <col min="19" max="19" width="27.33203125" customWidth="1"/>
    <col min="20" max="26" width="24.83203125" customWidth="1"/>
  </cols>
  <sheetData>
    <row r="1" spans="1:32" ht="69.75" customHeight="1" thickTop="1" x14ac:dyDescent="0.2">
      <c r="A1" s="614" t="s">
        <v>888</v>
      </c>
      <c r="B1" s="614"/>
      <c r="C1" s="614"/>
      <c r="D1" s="614"/>
      <c r="E1" s="614"/>
      <c r="F1" s="614"/>
      <c r="G1" s="614"/>
      <c r="H1" s="614"/>
      <c r="I1" s="614"/>
      <c r="J1" s="614"/>
      <c r="K1" s="614"/>
      <c r="L1" s="614"/>
      <c r="M1" s="614"/>
      <c r="N1" s="614"/>
      <c r="O1" s="614"/>
      <c r="P1" s="614"/>
      <c r="Q1" s="614"/>
      <c r="R1" s="614"/>
      <c r="S1" s="614"/>
      <c r="T1" s="614"/>
      <c r="U1" s="614"/>
      <c r="V1" s="614"/>
      <c r="W1" s="614"/>
      <c r="X1" s="614"/>
      <c r="Y1" s="614"/>
      <c r="Z1" s="614"/>
      <c r="AA1" s="489"/>
      <c r="AB1" s="489"/>
      <c r="AC1" s="489"/>
      <c r="AD1" s="489"/>
      <c r="AE1" s="489"/>
      <c r="AF1" s="490"/>
    </row>
    <row r="2" spans="1:32" s="363" customFormat="1" ht="60" x14ac:dyDescent="0.2">
      <c r="A2" s="386" t="s">
        <v>718</v>
      </c>
      <c r="B2" s="387" t="s">
        <v>719</v>
      </c>
      <c r="C2" s="387" t="s">
        <v>889</v>
      </c>
      <c r="D2" s="387" t="s">
        <v>720</v>
      </c>
      <c r="E2" s="387" t="s">
        <v>890</v>
      </c>
      <c r="F2" s="387" t="s">
        <v>891</v>
      </c>
      <c r="G2" s="387" t="s">
        <v>892</v>
      </c>
      <c r="H2" s="387" t="s">
        <v>893</v>
      </c>
      <c r="I2" s="387" t="s">
        <v>894</v>
      </c>
      <c r="J2" s="387" t="s">
        <v>895</v>
      </c>
      <c r="K2" s="387" t="s">
        <v>896</v>
      </c>
      <c r="L2" s="387" t="s">
        <v>897</v>
      </c>
      <c r="M2" s="387" t="s">
        <v>898</v>
      </c>
      <c r="N2" s="387" t="s">
        <v>899</v>
      </c>
      <c r="O2" s="388" t="s">
        <v>900</v>
      </c>
      <c r="P2" s="387" t="s">
        <v>901</v>
      </c>
      <c r="Q2" s="387" t="s">
        <v>902</v>
      </c>
      <c r="R2" s="387" t="s">
        <v>903</v>
      </c>
      <c r="S2" s="387" t="s">
        <v>904</v>
      </c>
      <c r="T2" s="387" t="s">
        <v>905</v>
      </c>
      <c r="U2" s="387" t="s">
        <v>906</v>
      </c>
      <c r="V2" s="387" t="s">
        <v>907</v>
      </c>
      <c r="W2" s="387" t="s">
        <v>908</v>
      </c>
      <c r="X2" s="387" t="s">
        <v>909</v>
      </c>
      <c r="Y2" s="387" t="s">
        <v>910</v>
      </c>
      <c r="Z2" s="388" t="s">
        <v>911</v>
      </c>
    </row>
    <row r="3" spans="1:32" s="363" customFormat="1" ht="34" x14ac:dyDescent="0.2">
      <c r="A3" s="391" t="s">
        <v>626</v>
      </c>
      <c r="B3" s="385"/>
      <c r="C3" s="385"/>
      <c r="D3" s="385"/>
      <c r="E3" s="385"/>
      <c r="F3" s="385"/>
      <c r="G3" s="385"/>
      <c r="H3" s="385"/>
      <c r="I3" s="385"/>
      <c r="J3" s="385"/>
      <c r="K3" s="385"/>
      <c r="L3" s="385"/>
      <c r="M3" s="385"/>
      <c r="N3" s="385"/>
      <c r="O3" s="390"/>
      <c r="P3" s="385"/>
      <c r="Q3" s="385"/>
      <c r="R3" s="385"/>
      <c r="S3" s="385"/>
      <c r="T3" s="385"/>
      <c r="U3" s="385"/>
      <c r="V3" s="385"/>
      <c r="W3" s="385"/>
      <c r="X3" s="385"/>
      <c r="Y3" s="385"/>
      <c r="Z3" s="385"/>
    </row>
    <row r="4" spans="1:32" ht="29" x14ac:dyDescent="0.35">
      <c r="A4" s="384" t="s">
        <v>68</v>
      </c>
      <c r="B4" s="384" t="s">
        <v>627</v>
      </c>
      <c r="C4" s="384">
        <v>0</v>
      </c>
      <c r="D4" s="384" t="s">
        <v>628</v>
      </c>
      <c r="E4" s="384">
        <v>25.236593246459961</v>
      </c>
      <c r="F4" s="384">
        <v>0</v>
      </c>
      <c r="G4" s="384">
        <v>77.596885681152344</v>
      </c>
      <c r="H4" s="384">
        <v>156.67718505859375</v>
      </c>
      <c r="I4" s="384">
        <v>6.6809186935424805</v>
      </c>
      <c r="J4" s="384">
        <v>360.35589599609375</v>
      </c>
      <c r="K4" s="384">
        <v>1266.8555908203125</v>
      </c>
      <c r="L4" s="384">
        <v>213.72747802734375</v>
      </c>
      <c r="M4" s="384">
        <v>626.5474853515625</v>
      </c>
      <c r="N4" s="384">
        <v>1480.5830078125</v>
      </c>
      <c r="O4" s="389">
        <v>2107.13037109375</v>
      </c>
      <c r="P4" s="384">
        <v>460.56781005859375</v>
      </c>
      <c r="Q4" s="384">
        <v>65.615142822265625</v>
      </c>
      <c r="R4" s="384">
        <v>9741.3251953125</v>
      </c>
      <c r="S4" s="384">
        <v>395.373291015625</v>
      </c>
      <c r="T4" s="384">
        <v>118.61199188232422</v>
      </c>
      <c r="U4" s="384">
        <v>2954.04833984375</v>
      </c>
      <c r="V4" s="384">
        <v>1246.669921875</v>
      </c>
      <c r="W4" s="384">
        <v>9307.798828125</v>
      </c>
      <c r="X4" s="384">
        <v>13735.5419921875</v>
      </c>
      <c r="Y4" s="384">
        <v>10554.46875</v>
      </c>
      <c r="Z4" s="384">
        <v>24290.01171875</v>
      </c>
    </row>
    <row r="5" spans="1:32" ht="29" x14ac:dyDescent="0.35">
      <c r="A5" s="384" t="s">
        <v>187</v>
      </c>
      <c r="B5" s="384" t="s">
        <v>629</v>
      </c>
      <c r="C5" s="384">
        <v>1</v>
      </c>
      <c r="D5" s="384" t="s">
        <v>628</v>
      </c>
      <c r="E5" s="384">
        <v>31.545742034912109</v>
      </c>
      <c r="F5" s="384">
        <v>0.76438462734222412</v>
      </c>
      <c r="G5" s="384">
        <v>48.370136260986328</v>
      </c>
      <c r="H5" s="384">
        <v>144.05888366699219</v>
      </c>
      <c r="I5" s="384">
        <v>1.6316059827804565</v>
      </c>
      <c r="J5" s="384">
        <v>70.452156066894531</v>
      </c>
      <c r="K5" s="384">
        <v>146.99337768554688</v>
      </c>
      <c r="L5" s="384">
        <v>59.936908721923828</v>
      </c>
      <c r="M5" s="384">
        <v>296.82290649414062</v>
      </c>
      <c r="N5" s="384">
        <v>206.93028259277344</v>
      </c>
      <c r="O5" s="389">
        <v>503.753173828125</v>
      </c>
      <c r="P5" s="384">
        <v>1558.359619140625</v>
      </c>
      <c r="Q5" s="384">
        <v>87.697158813476562</v>
      </c>
      <c r="R5" s="384">
        <v>2151.419677734375</v>
      </c>
      <c r="S5" s="384">
        <v>871.7139892578125</v>
      </c>
      <c r="T5" s="384">
        <v>1728.180908203125</v>
      </c>
      <c r="U5" s="384">
        <v>2352.2607421875</v>
      </c>
      <c r="V5" s="384">
        <v>1160.77490234375</v>
      </c>
      <c r="W5" s="384">
        <v>1302.839111328125</v>
      </c>
      <c r="X5" s="384">
        <v>8749.6318359375</v>
      </c>
      <c r="Y5" s="384">
        <v>2463.614013671875</v>
      </c>
      <c r="Z5" s="384">
        <v>11213.24609375</v>
      </c>
    </row>
    <row r="6" spans="1:32" ht="29" x14ac:dyDescent="0.35">
      <c r="A6" s="384" t="s">
        <v>82</v>
      </c>
      <c r="B6" s="384" t="s">
        <v>630</v>
      </c>
      <c r="C6" s="384">
        <v>0</v>
      </c>
      <c r="D6" s="384" t="s">
        <v>628</v>
      </c>
      <c r="E6" s="384">
        <v>99.285896301269531</v>
      </c>
      <c r="F6" s="384">
        <v>0</v>
      </c>
      <c r="G6" s="384">
        <v>76.997039794921875</v>
      </c>
      <c r="H6" s="384">
        <v>743.427978515625</v>
      </c>
      <c r="I6" s="384">
        <v>7.5435571670532227</v>
      </c>
      <c r="J6" s="384">
        <v>431.30416870117188</v>
      </c>
      <c r="K6" s="384">
        <v>1478.2314453125</v>
      </c>
      <c r="L6" s="384">
        <v>249.38809204101562</v>
      </c>
      <c r="M6" s="384">
        <v>1358.55859375</v>
      </c>
      <c r="N6" s="384">
        <v>1727.6195068359375</v>
      </c>
      <c r="O6" s="389">
        <v>3086.17822265625</v>
      </c>
      <c r="P6" s="384">
        <v>899.05364990234375</v>
      </c>
      <c r="Q6" s="384">
        <v>72.87066650390625</v>
      </c>
      <c r="R6" s="384">
        <v>3604.626708984375</v>
      </c>
      <c r="S6" s="384">
        <v>624.60565185546875</v>
      </c>
      <c r="T6" s="384">
        <v>230.63143920898438</v>
      </c>
      <c r="U6" s="384">
        <v>3576.13037109375</v>
      </c>
      <c r="V6" s="384">
        <v>1165.654541015625</v>
      </c>
      <c r="W6" s="384">
        <v>10860.8134765625</v>
      </c>
      <c r="X6" s="384">
        <v>9007.9189453125</v>
      </c>
      <c r="Y6" s="384">
        <v>12026.4677734375</v>
      </c>
      <c r="Z6" s="384">
        <v>21034.38671875</v>
      </c>
    </row>
    <row r="7" spans="1:32" ht="29" x14ac:dyDescent="0.35">
      <c r="A7" s="384" t="s">
        <v>188</v>
      </c>
      <c r="B7" s="384" t="s">
        <v>631</v>
      </c>
      <c r="C7" s="384">
        <v>0</v>
      </c>
      <c r="D7" s="384" t="s">
        <v>628</v>
      </c>
      <c r="E7" s="384">
        <v>37.173427581787109</v>
      </c>
      <c r="F7" s="384">
        <v>0</v>
      </c>
      <c r="G7" s="384">
        <v>0</v>
      </c>
      <c r="H7" s="384">
        <v>27.339641571044922</v>
      </c>
      <c r="I7" s="384">
        <v>1.3739604949951172</v>
      </c>
      <c r="J7" s="384">
        <v>75.825607299804688</v>
      </c>
      <c r="K7" s="384">
        <v>428.70150756835938</v>
      </c>
      <c r="L7" s="384">
        <v>72.324974060058594</v>
      </c>
      <c r="M7" s="384">
        <v>141.71263122558594</v>
      </c>
      <c r="N7" s="384">
        <v>501.0264892578125</v>
      </c>
      <c r="O7" s="389">
        <v>642.7391357421875</v>
      </c>
      <c r="P7" s="384">
        <v>120.92533874511719</v>
      </c>
      <c r="Q7" s="384">
        <v>27.760251998901367</v>
      </c>
      <c r="R7" s="384">
        <v>676.13037109375</v>
      </c>
      <c r="S7" s="384">
        <v>116.71924591064453</v>
      </c>
      <c r="T7" s="384">
        <v>3.7854888439178467</v>
      </c>
      <c r="U7" s="384">
        <v>425.02630615234375</v>
      </c>
      <c r="V7" s="384">
        <v>236.37530517578125</v>
      </c>
      <c r="W7" s="384">
        <v>3149.741455078125</v>
      </c>
      <c r="X7" s="384">
        <v>1370.3470458984375</v>
      </c>
      <c r="Y7" s="384">
        <v>3386.11669921875</v>
      </c>
      <c r="Z7" s="384">
        <v>4756.4638671875</v>
      </c>
    </row>
    <row r="8" spans="1:32" ht="29" x14ac:dyDescent="0.35">
      <c r="A8" s="384" t="s">
        <v>189</v>
      </c>
      <c r="B8" s="384" t="s">
        <v>632</v>
      </c>
      <c r="C8" s="384">
        <v>1</v>
      </c>
      <c r="D8" s="384" t="s">
        <v>628</v>
      </c>
      <c r="E8" s="384">
        <v>16.824396133422852</v>
      </c>
      <c r="F8" s="384">
        <v>0.25537806749343872</v>
      </c>
      <c r="G8" s="384">
        <v>13.985279083251953</v>
      </c>
      <c r="H8" s="384">
        <v>415.35226440429688</v>
      </c>
      <c r="I8" s="384">
        <v>0.63739144802093506</v>
      </c>
      <c r="J8" s="384">
        <v>207.15037536621094</v>
      </c>
      <c r="K8" s="384">
        <v>0.94637221097946167</v>
      </c>
      <c r="L8" s="384">
        <v>36.487907409667969</v>
      </c>
      <c r="M8" s="384">
        <v>654.205078125</v>
      </c>
      <c r="N8" s="384">
        <v>37.434280395507812</v>
      </c>
      <c r="O8" s="389">
        <v>691.63934326171875</v>
      </c>
      <c r="P8" s="384">
        <v>1047.318603515625</v>
      </c>
      <c r="Q8" s="384">
        <v>82.018928527832031</v>
      </c>
      <c r="R8" s="384">
        <v>1410.0946044921875</v>
      </c>
      <c r="S8" s="384">
        <v>487.907470703125</v>
      </c>
      <c r="T8" s="384">
        <v>95.688751220703125</v>
      </c>
      <c r="U8" s="384">
        <v>1783.8065185546875</v>
      </c>
      <c r="V8" s="384">
        <v>402.0675048828125</v>
      </c>
      <c r="W8" s="384">
        <v>264.35330200195312</v>
      </c>
      <c r="X8" s="384">
        <v>4906.8349609375</v>
      </c>
      <c r="Y8" s="384">
        <v>666.4207763671875</v>
      </c>
      <c r="Z8" s="384">
        <v>5573.255859375</v>
      </c>
    </row>
    <row r="9" spans="1:32" ht="29" x14ac:dyDescent="0.35">
      <c r="A9" s="384" t="s">
        <v>75</v>
      </c>
      <c r="B9" s="384" t="s">
        <v>633</v>
      </c>
      <c r="C9" s="384">
        <v>1</v>
      </c>
      <c r="D9" s="384" t="s">
        <v>628</v>
      </c>
      <c r="E9" s="384">
        <v>352.26077270507812</v>
      </c>
      <c r="F9" s="384">
        <v>3.871586799621582</v>
      </c>
      <c r="G9" s="384">
        <v>708.7276611328125</v>
      </c>
      <c r="H9" s="384">
        <v>2700.3154296875</v>
      </c>
      <c r="I9" s="384">
        <v>276.80374145507812</v>
      </c>
      <c r="J9" s="384">
        <v>4948.47509765625</v>
      </c>
      <c r="K9" s="384">
        <v>0</v>
      </c>
      <c r="L9" s="384">
        <v>1056.7823486328125</v>
      </c>
      <c r="M9" s="384">
        <v>8990.4541015625</v>
      </c>
      <c r="N9" s="384">
        <v>1056.7823486328125</v>
      </c>
      <c r="O9" s="389">
        <v>10047.236328125</v>
      </c>
      <c r="P9" s="384">
        <v>11452.1552734375</v>
      </c>
      <c r="Q9" s="384">
        <v>1948.8958740234375</v>
      </c>
      <c r="R9" s="384">
        <v>26101.998046875</v>
      </c>
      <c r="S9" s="384">
        <v>28985.279296875</v>
      </c>
      <c r="T9" s="384">
        <v>7194.111328125</v>
      </c>
      <c r="U9" s="384">
        <v>40512.7265625</v>
      </c>
      <c r="V9" s="384">
        <v>8178.78857421875</v>
      </c>
      <c r="W9" s="384">
        <v>20856.9921875</v>
      </c>
      <c r="X9" s="384">
        <v>116195.1640625</v>
      </c>
      <c r="Y9" s="384">
        <v>29035.78125</v>
      </c>
      <c r="Z9" s="384">
        <v>145230.9375</v>
      </c>
    </row>
    <row r="10" spans="1:32" ht="29" x14ac:dyDescent="0.35">
      <c r="A10" s="384" t="s">
        <v>190</v>
      </c>
      <c r="B10" s="384" t="s">
        <v>634</v>
      </c>
      <c r="C10" s="384">
        <v>1</v>
      </c>
      <c r="D10" s="384" t="s">
        <v>628</v>
      </c>
      <c r="E10" s="384">
        <v>7.3606729507446289</v>
      </c>
      <c r="F10" s="384">
        <v>0.13419632613658905</v>
      </c>
      <c r="G10" s="384">
        <v>43.876617431640625</v>
      </c>
      <c r="H10" s="384">
        <v>120.92533874511719</v>
      </c>
      <c r="I10" s="384">
        <v>0.44078174233436584</v>
      </c>
      <c r="J10" s="384">
        <v>77.812828063964844</v>
      </c>
      <c r="K10" s="384">
        <v>120.5953369140625</v>
      </c>
      <c r="L10" s="384">
        <v>-54.637622833251953</v>
      </c>
      <c r="M10" s="384">
        <v>250.55043029785156</v>
      </c>
      <c r="N10" s="384">
        <v>65.957717895507812</v>
      </c>
      <c r="O10" s="389">
        <v>316.50814819335938</v>
      </c>
      <c r="P10" s="384">
        <v>1654.04833984375</v>
      </c>
      <c r="Q10" s="384">
        <v>198.84332275390625</v>
      </c>
      <c r="R10" s="384">
        <v>3170.346923828125</v>
      </c>
      <c r="S10" s="384">
        <v>794.95269775390625</v>
      </c>
      <c r="T10" s="384">
        <v>393.69085693359375</v>
      </c>
      <c r="U10" s="384">
        <v>4853.73291015625</v>
      </c>
      <c r="V10" s="384">
        <v>334.88027954101562</v>
      </c>
      <c r="W10" s="384">
        <v>9333.6484375</v>
      </c>
      <c r="X10" s="384">
        <v>11065.615234375</v>
      </c>
      <c r="Y10" s="384">
        <v>9668.5283203125</v>
      </c>
      <c r="Z10" s="384">
        <v>20734.14453125</v>
      </c>
    </row>
    <row r="11" spans="1:32" ht="29" x14ac:dyDescent="0.35">
      <c r="A11" s="384" t="s">
        <v>72</v>
      </c>
      <c r="B11" s="384" t="s">
        <v>635</v>
      </c>
      <c r="C11" s="384">
        <v>1</v>
      </c>
      <c r="D11" s="384" t="s">
        <v>628</v>
      </c>
      <c r="E11" s="384">
        <v>140.90431213378906</v>
      </c>
      <c r="F11" s="384">
        <v>1.15667724609375</v>
      </c>
      <c r="G11" s="384">
        <v>247.58920288085938</v>
      </c>
      <c r="H11" s="384">
        <v>1086.2249755859375</v>
      </c>
      <c r="I11" s="384">
        <v>0.33747872710227966</v>
      </c>
      <c r="J11" s="384">
        <v>1842.271240234375</v>
      </c>
      <c r="K11" s="384">
        <v>964.9649658203125</v>
      </c>
      <c r="L11" s="384">
        <v>82.627433776855469</v>
      </c>
      <c r="M11" s="384">
        <v>3318.48388671875</v>
      </c>
      <c r="N11" s="384">
        <v>1047.5924072265625</v>
      </c>
      <c r="O11" s="389">
        <v>4366.076171875</v>
      </c>
      <c r="P11" s="384">
        <v>2272.344970703125</v>
      </c>
      <c r="Q11" s="384">
        <v>124.71083068847656</v>
      </c>
      <c r="R11" s="384">
        <v>5513.14404296875</v>
      </c>
      <c r="S11" s="384">
        <v>6866.45654296875</v>
      </c>
      <c r="T11" s="384">
        <v>261.82965087890625</v>
      </c>
      <c r="U11" s="384">
        <v>6630.1787109375</v>
      </c>
      <c r="V11" s="384">
        <v>1618.6201171875</v>
      </c>
      <c r="W11" s="384">
        <v>1998.948486328125</v>
      </c>
      <c r="X11" s="384">
        <v>21668.6640625</v>
      </c>
      <c r="Y11" s="384">
        <v>3617.568603515625</v>
      </c>
      <c r="Z11" s="384">
        <v>25286.232421875</v>
      </c>
    </row>
    <row r="12" spans="1:32" ht="29" x14ac:dyDescent="0.35">
      <c r="A12" s="384" t="s">
        <v>191</v>
      </c>
      <c r="B12" s="384" t="s">
        <v>636</v>
      </c>
      <c r="C12" s="384">
        <v>1</v>
      </c>
      <c r="D12" s="384" t="s">
        <v>628</v>
      </c>
      <c r="E12" s="384">
        <v>4.7737417221069336</v>
      </c>
      <c r="F12" s="384">
        <v>4.1860267519950867E-2</v>
      </c>
      <c r="G12" s="384">
        <v>4.1825618743896484</v>
      </c>
      <c r="H12" s="384">
        <v>11.566771507263184</v>
      </c>
      <c r="I12" s="384">
        <v>0.11439613252878189</v>
      </c>
      <c r="J12" s="384">
        <v>4.0361719131469727</v>
      </c>
      <c r="K12" s="384">
        <v>3.6046223640441895</v>
      </c>
      <c r="L12" s="384">
        <v>3.7854888439178467</v>
      </c>
      <c r="M12" s="384">
        <v>24.715503692626953</v>
      </c>
      <c r="N12" s="384">
        <v>7.390110969543457</v>
      </c>
      <c r="O12" s="389">
        <v>32.105613708496094</v>
      </c>
      <c r="P12" s="384">
        <v>127.23448944091797</v>
      </c>
      <c r="Q12" s="384">
        <v>14.09043025970459</v>
      </c>
      <c r="R12" s="384">
        <v>295.47845458984375</v>
      </c>
      <c r="S12" s="384">
        <v>129.33753967285156</v>
      </c>
      <c r="T12" s="384">
        <v>69.400627136230469</v>
      </c>
      <c r="U12" s="384">
        <v>361.09356689453125</v>
      </c>
      <c r="V12" s="384">
        <v>97.371185302734375</v>
      </c>
      <c r="W12" s="384">
        <v>150.36802673339844</v>
      </c>
      <c r="X12" s="384">
        <v>996.6351318359375</v>
      </c>
      <c r="Y12" s="384">
        <v>247.73921203613281</v>
      </c>
      <c r="Z12" s="384">
        <v>1244.3743896484375</v>
      </c>
    </row>
    <row r="13" spans="1:32" ht="29" x14ac:dyDescent="0.35">
      <c r="A13" s="384" t="s">
        <v>192</v>
      </c>
      <c r="B13" s="384" t="s">
        <v>637</v>
      </c>
      <c r="C13" s="384">
        <v>1</v>
      </c>
      <c r="D13" s="384" t="s">
        <v>628</v>
      </c>
      <c r="E13" s="384">
        <v>22.505533218383789</v>
      </c>
      <c r="F13" s="384">
        <v>0.8780367374420166</v>
      </c>
      <c r="G13" s="384">
        <v>26.086347579956055</v>
      </c>
      <c r="H13" s="384">
        <v>194.53207397460938</v>
      </c>
      <c r="I13" s="384">
        <v>2.0850157737731934</v>
      </c>
      <c r="J13" s="384">
        <v>47.828720092773438</v>
      </c>
      <c r="K13" s="384">
        <v>156.05888366699219</v>
      </c>
      <c r="L13" s="384">
        <v>32.597267150878906</v>
      </c>
      <c r="M13" s="384">
        <v>293.91574096679688</v>
      </c>
      <c r="N13" s="384">
        <v>188.65615844726562</v>
      </c>
      <c r="O13" s="389">
        <v>482.5718994140625</v>
      </c>
      <c r="P13" s="384">
        <v>951.6298828125</v>
      </c>
      <c r="Q13" s="384">
        <v>33.964248657226562</v>
      </c>
      <c r="R13" s="384">
        <v>2252.365966796875</v>
      </c>
      <c r="S13" s="384">
        <v>552.05047607421875</v>
      </c>
      <c r="T13" s="384">
        <v>1010.5152587890625</v>
      </c>
      <c r="U13" s="384">
        <v>2913.14404296875</v>
      </c>
      <c r="V13" s="384">
        <v>300.8297119140625</v>
      </c>
      <c r="W13" s="384">
        <v>746.58251953125</v>
      </c>
      <c r="X13" s="384">
        <v>7713.669921875</v>
      </c>
      <c r="Y13" s="384">
        <v>1047.4122314453125</v>
      </c>
      <c r="Z13" s="384">
        <v>8761.08203125</v>
      </c>
    </row>
    <row r="14" spans="1:32" ht="29" x14ac:dyDescent="0.35">
      <c r="A14" s="384" t="s">
        <v>71</v>
      </c>
      <c r="B14" s="384" t="s">
        <v>638</v>
      </c>
      <c r="C14" s="384">
        <v>1</v>
      </c>
      <c r="D14" s="384" t="s">
        <v>628</v>
      </c>
      <c r="E14" s="384">
        <v>507.23764038085938</v>
      </c>
      <c r="F14" s="384">
        <v>1.716029167175293</v>
      </c>
      <c r="G14" s="384">
        <v>276.55099487304688</v>
      </c>
      <c r="H14" s="384">
        <v>2789.695068359375</v>
      </c>
      <c r="I14" s="384">
        <v>4.011406421661377</v>
      </c>
      <c r="J14" s="384">
        <v>528.91693115234375</v>
      </c>
      <c r="K14" s="384">
        <v>298.7823486328125</v>
      </c>
      <c r="L14" s="384">
        <v>809.67401123046875</v>
      </c>
      <c r="M14" s="384">
        <v>4108.1279296875</v>
      </c>
      <c r="N14" s="384">
        <v>1108.456298828125</v>
      </c>
      <c r="O14" s="389">
        <v>5216.583984375</v>
      </c>
      <c r="P14" s="384">
        <v>15878.0234375</v>
      </c>
      <c r="Q14" s="384">
        <v>192.42901611328125</v>
      </c>
      <c r="R14" s="384">
        <v>14523.6591796875</v>
      </c>
      <c r="S14" s="384">
        <v>15674.02734375</v>
      </c>
      <c r="T14" s="384">
        <v>1190.8516845703125</v>
      </c>
      <c r="U14" s="384">
        <v>17750.892578125</v>
      </c>
      <c r="V14" s="384">
        <v>4473.6767578125</v>
      </c>
      <c r="W14" s="384">
        <v>11125.1318359375</v>
      </c>
      <c r="X14" s="384">
        <v>65209.8828125</v>
      </c>
      <c r="Y14" s="384">
        <v>15598.80859375</v>
      </c>
      <c r="Z14" s="384">
        <v>80808.6875</v>
      </c>
    </row>
    <row r="15" spans="1:32" ht="29" x14ac:dyDescent="0.35">
      <c r="A15" s="384" t="s">
        <v>70</v>
      </c>
      <c r="B15" s="384" t="s">
        <v>639</v>
      </c>
      <c r="C15" s="384">
        <v>1</v>
      </c>
      <c r="D15" s="384" t="s">
        <v>628</v>
      </c>
      <c r="E15" s="384">
        <v>877.08624267578125</v>
      </c>
      <c r="F15" s="384">
        <v>8.1283941268920898</v>
      </c>
      <c r="G15" s="384">
        <v>319.7083740234375</v>
      </c>
      <c r="H15" s="384">
        <v>7729.75830078125</v>
      </c>
      <c r="I15" s="384">
        <v>18.128372192382812</v>
      </c>
      <c r="J15" s="384">
        <v>2008.4498291015625</v>
      </c>
      <c r="K15" s="384">
        <v>1241.512451171875</v>
      </c>
      <c r="L15" s="384">
        <v>-438.60528564453125</v>
      </c>
      <c r="M15" s="384">
        <v>10961.259765625</v>
      </c>
      <c r="N15" s="384">
        <v>802.90716552734375</v>
      </c>
      <c r="O15" s="389">
        <v>11764.1669921875</v>
      </c>
      <c r="P15" s="384">
        <v>10139.8525390625</v>
      </c>
      <c r="Q15" s="384">
        <v>1775.49951171875</v>
      </c>
      <c r="R15" s="384">
        <v>45796.00390625</v>
      </c>
      <c r="S15" s="384">
        <v>23720.294921875</v>
      </c>
      <c r="T15" s="384">
        <v>3714.72119140625</v>
      </c>
      <c r="U15" s="384">
        <v>30230.9140625</v>
      </c>
      <c r="V15" s="384">
        <v>9888.416015625</v>
      </c>
      <c r="W15" s="384">
        <v>121.06058502197266</v>
      </c>
      <c r="X15" s="384">
        <v>115377.2890625</v>
      </c>
      <c r="Y15" s="384">
        <v>10009.4765625</v>
      </c>
      <c r="Z15" s="384">
        <v>125386.765625</v>
      </c>
    </row>
    <row r="16" spans="1:32" ht="29" x14ac:dyDescent="0.35">
      <c r="A16" s="384" t="s">
        <v>193</v>
      </c>
      <c r="B16" s="384" t="s">
        <v>640</v>
      </c>
      <c r="C16" s="384">
        <v>1</v>
      </c>
      <c r="D16" s="384" t="s">
        <v>628</v>
      </c>
      <c r="E16" s="384">
        <v>6.2084646224975586</v>
      </c>
      <c r="F16" s="384">
        <v>8.2734793424606323E-2</v>
      </c>
      <c r="G16" s="384">
        <v>0</v>
      </c>
      <c r="H16" s="384">
        <v>4.2060990333557129</v>
      </c>
      <c r="I16" s="384">
        <v>0.17231577634811401</v>
      </c>
      <c r="J16" s="384">
        <v>22.253765106201172</v>
      </c>
      <c r="K16" s="384">
        <v>0</v>
      </c>
      <c r="L16" s="384">
        <v>0.84121978282928467</v>
      </c>
      <c r="M16" s="384">
        <v>32.923377990722656</v>
      </c>
      <c r="N16" s="384">
        <v>0.84121978282928467</v>
      </c>
      <c r="O16" s="389">
        <v>33.764598846435547</v>
      </c>
      <c r="P16" s="384">
        <v>462.67086791992188</v>
      </c>
      <c r="Q16" s="384">
        <v>758.044189453125</v>
      </c>
      <c r="R16" s="384">
        <v>1782.3343505859375</v>
      </c>
      <c r="S16" s="384">
        <v>246.05677795410156</v>
      </c>
      <c r="T16" s="384">
        <v>851.7349853515625</v>
      </c>
      <c r="U16" s="384">
        <v>1252.4710693359375</v>
      </c>
      <c r="V16" s="384">
        <v>421.69964599609375</v>
      </c>
      <c r="W16" s="384">
        <v>12128.8115234375</v>
      </c>
      <c r="X16" s="384">
        <v>5353.31201171875</v>
      </c>
      <c r="Y16" s="384">
        <v>12550.5107421875</v>
      </c>
      <c r="Z16" s="384">
        <v>17903.822265625</v>
      </c>
    </row>
    <row r="17" spans="1:26" ht="29" x14ac:dyDescent="0.35">
      <c r="A17" s="384" t="s">
        <v>194</v>
      </c>
      <c r="B17" s="384" t="s">
        <v>641</v>
      </c>
      <c r="C17" s="384">
        <v>1</v>
      </c>
      <c r="D17" s="384" t="s">
        <v>628</v>
      </c>
      <c r="E17" s="384">
        <v>13.669820785522461</v>
      </c>
      <c r="F17" s="384">
        <v>1.5554041862487793</v>
      </c>
      <c r="G17" s="384">
        <v>38.322078704833984</v>
      </c>
      <c r="H17" s="384">
        <v>498.42269897460938</v>
      </c>
      <c r="I17" s="384">
        <v>3.0586800575256348</v>
      </c>
      <c r="J17" s="384">
        <v>113.56466674804688</v>
      </c>
      <c r="K17" s="384">
        <v>198.21316528320312</v>
      </c>
      <c r="L17" s="384">
        <v>-143.05587768554688</v>
      </c>
      <c r="M17" s="384">
        <v>668.59332275390625</v>
      </c>
      <c r="N17" s="384">
        <v>55.15728759765625</v>
      </c>
      <c r="O17" s="389">
        <v>723.7506103515625</v>
      </c>
      <c r="P17" s="384">
        <v>515.24713134765625</v>
      </c>
      <c r="Q17" s="384">
        <v>49.631965637207031</v>
      </c>
      <c r="R17" s="384">
        <v>5159.83154296875</v>
      </c>
      <c r="S17" s="384">
        <v>260.77813720703125</v>
      </c>
      <c r="T17" s="384">
        <v>52.050472259521484</v>
      </c>
      <c r="U17" s="384">
        <v>1326.182861328125</v>
      </c>
      <c r="V17" s="384">
        <v>248.39913940429688</v>
      </c>
      <c r="W17" s="384">
        <v>216.50892639160156</v>
      </c>
      <c r="X17" s="384">
        <v>7363.72216796875</v>
      </c>
      <c r="Y17" s="384">
        <v>464.9080810546875</v>
      </c>
      <c r="Z17" s="384">
        <v>7828.63037109375</v>
      </c>
    </row>
    <row r="18" spans="1:26" ht="29" x14ac:dyDescent="0.35">
      <c r="A18" s="384" t="s">
        <v>195</v>
      </c>
      <c r="B18" s="384" t="s">
        <v>642</v>
      </c>
      <c r="C18" s="384">
        <v>1</v>
      </c>
      <c r="D18" s="384" t="s">
        <v>628</v>
      </c>
      <c r="E18" s="384">
        <v>5.5466637015342712E-2</v>
      </c>
      <c r="F18" s="384">
        <v>0</v>
      </c>
      <c r="G18" s="384">
        <v>0</v>
      </c>
      <c r="H18" s="384">
        <v>2.1127772331237793</v>
      </c>
      <c r="I18" s="384">
        <v>3.6441724747419357E-2</v>
      </c>
      <c r="J18" s="384">
        <v>0</v>
      </c>
      <c r="K18" s="384">
        <v>0</v>
      </c>
      <c r="L18" s="384">
        <v>0</v>
      </c>
      <c r="M18" s="384">
        <v>2.2046856880187988</v>
      </c>
      <c r="N18" s="384">
        <v>0</v>
      </c>
      <c r="O18" s="389">
        <v>2.2046856880187988</v>
      </c>
      <c r="P18" s="384">
        <v>59.936908721923828</v>
      </c>
      <c r="Q18" s="384">
        <v>0.73606729507446289</v>
      </c>
      <c r="R18" s="384">
        <v>192.42901611328125</v>
      </c>
      <c r="S18" s="384">
        <v>71.503677368164062</v>
      </c>
      <c r="T18" s="384">
        <v>1.6824395656585693</v>
      </c>
      <c r="U18" s="384">
        <v>387.38168334960938</v>
      </c>
      <c r="V18" s="384">
        <v>15.147841453552246</v>
      </c>
      <c r="W18" s="384">
        <v>332.0982666015625</v>
      </c>
      <c r="X18" s="384">
        <v>713.6697998046875</v>
      </c>
      <c r="Y18" s="384">
        <v>347.24609375</v>
      </c>
      <c r="Z18" s="384">
        <v>1060.9158935546875</v>
      </c>
    </row>
    <row r="19" spans="1:26" ht="29" x14ac:dyDescent="0.35">
      <c r="A19" s="384" t="s">
        <v>196</v>
      </c>
      <c r="B19" s="384" t="s">
        <v>643</v>
      </c>
      <c r="C19" s="384">
        <v>0</v>
      </c>
      <c r="D19" s="384" t="s">
        <v>628</v>
      </c>
      <c r="E19" s="384">
        <v>273.71575927734375</v>
      </c>
      <c r="F19" s="384">
        <v>0.62150216102600098</v>
      </c>
      <c r="G19" s="384">
        <v>0</v>
      </c>
      <c r="H19" s="384">
        <v>-0.72841471433639526</v>
      </c>
      <c r="I19" s="384">
        <v>0.97459107637405396</v>
      </c>
      <c r="J19" s="384">
        <v>205.23526000976562</v>
      </c>
      <c r="K19" s="384">
        <v>384.183349609375</v>
      </c>
      <c r="L19" s="384">
        <v>64.814445495605469</v>
      </c>
      <c r="M19" s="384">
        <v>479.81869506835938</v>
      </c>
      <c r="N19" s="384">
        <v>448.997802734375</v>
      </c>
      <c r="O19" s="389">
        <v>928.8165283203125</v>
      </c>
      <c r="P19" s="384">
        <v>491.30804443359375</v>
      </c>
      <c r="Q19" s="384">
        <v>197.12297058105469</v>
      </c>
      <c r="R19" s="384">
        <v>0</v>
      </c>
      <c r="S19" s="384">
        <v>843.00921630859375</v>
      </c>
      <c r="T19" s="384">
        <v>159.51483154296875</v>
      </c>
      <c r="U19" s="384">
        <v>1424.3017578125</v>
      </c>
      <c r="V19" s="384">
        <v>610.31365966796875</v>
      </c>
      <c r="W19" s="384">
        <v>2822.6591796875</v>
      </c>
      <c r="X19" s="384">
        <v>3115.2568359375</v>
      </c>
      <c r="Y19" s="384">
        <v>3432.972900390625</v>
      </c>
      <c r="Z19" s="384">
        <v>6548.2294921875</v>
      </c>
    </row>
    <row r="20" spans="1:26" ht="29" x14ac:dyDescent="0.35">
      <c r="A20" s="384" t="s">
        <v>74</v>
      </c>
      <c r="B20" s="384" t="s">
        <v>644</v>
      </c>
      <c r="C20" s="384">
        <v>1</v>
      </c>
      <c r="D20" s="384" t="s">
        <v>628</v>
      </c>
      <c r="E20" s="384">
        <v>131.49363708496094</v>
      </c>
      <c r="F20" s="384">
        <v>25.341745376586914</v>
      </c>
      <c r="G20" s="384">
        <v>67.402732849121094</v>
      </c>
      <c r="H20" s="384">
        <v>1033.6488037109375</v>
      </c>
      <c r="I20" s="384">
        <v>0.62627160549163818</v>
      </c>
      <c r="J20" s="384">
        <v>414.30075073242188</v>
      </c>
      <c r="K20" s="384">
        <v>47.692115783691406</v>
      </c>
      <c r="L20" s="384">
        <v>241.53521728515625</v>
      </c>
      <c r="M20" s="384">
        <v>1672.81396484375</v>
      </c>
      <c r="N20" s="384">
        <v>289.22732543945312</v>
      </c>
      <c r="O20" s="389">
        <v>1962.041259765625</v>
      </c>
      <c r="P20" s="384">
        <v>3451.10400390625</v>
      </c>
      <c r="Q20" s="384">
        <v>254.88958740234375</v>
      </c>
      <c r="R20" s="384">
        <v>10880.1259765625</v>
      </c>
      <c r="S20" s="384">
        <v>12331.23046875</v>
      </c>
      <c r="T20" s="384">
        <v>715.66766357421875</v>
      </c>
      <c r="U20" s="384">
        <v>8327.4443359375</v>
      </c>
      <c r="V20" s="384">
        <v>2587.715576171875</v>
      </c>
      <c r="W20" s="384">
        <v>2009.0430908203125</v>
      </c>
      <c r="X20" s="384">
        <v>35960.4609375</v>
      </c>
      <c r="Y20" s="384">
        <v>4596.7587890625</v>
      </c>
      <c r="Z20" s="384">
        <v>40557.21875</v>
      </c>
    </row>
    <row r="21" spans="1:26" ht="29" x14ac:dyDescent="0.35">
      <c r="A21" s="384" t="s">
        <v>73</v>
      </c>
      <c r="B21" s="384" t="s">
        <v>645</v>
      </c>
      <c r="C21" s="384">
        <v>0</v>
      </c>
      <c r="D21" s="384" t="s">
        <v>628</v>
      </c>
      <c r="E21" s="384">
        <v>11.566771507263184</v>
      </c>
      <c r="F21" s="384">
        <v>0</v>
      </c>
      <c r="G21" s="384">
        <v>0</v>
      </c>
      <c r="H21" s="384">
        <v>84.121978759765625</v>
      </c>
      <c r="I21" s="384">
        <v>1.8742015361785889</v>
      </c>
      <c r="J21" s="384">
        <v>195.58360290527344</v>
      </c>
      <c r="K21" s="384">
        <v>376.64303588867188</v>
      </c>
      <c r="L21" s="384">
        <v>63.542343139648438</v>
      </c>
      <c r="M21" s="384">
        <v>293.14654541015625</v>
      </c>
      <c r="N21" s="384">
        <v>440.18536376953125</v>
      </c>
      <c r="O21" s="389">
        <v>733.3319091796875</v>
      </c>
      <c r="P21" s="384">
        <v>1415.352294921875</v>
      </c>
      <c r="Q21" s="384">
        <v>104.41640472412109</v>
      </c>
      <c r="R21" s="384">
        <v>14327.0244140625</v>
      </c>
      <c r="S21" s="384">
        <v>920.0841064453125</v>
      </c>
      <c r="T21" s="384">
        <v>366.876953125</v>
      </c>
      <c r="U21" s="384">
        <v>3918.612060546875</v>
      </c>
      <c r="V21" s="384">
        <v>1957.04443359375</v>
      </c>
      <c r="W21" s="384">
        <v>2767.25927734375</v>
      </c>
      <c r="X21" s="384">
        <v>21052.3671875</v>
      </c>
      <c r="Y21" s="384">
        <v>4724.3037109375</v>
      </c>
      <c r="Z21" s="384">
        <v>25776.671875</v>
      </c>
    </row>
    <row r="22" spans="1:26" ht="29" x14ac:dyDescent="0.35">
      <c r="A22" s="384" t="s">
        <v>197</v>
      </c>
      <c r="B22" s="384" t="s">
        <v>646</v>
      </c>
      <c r="C22" s="384">
        <v>0</v>
      </c>
      <c r="D22" s="384" t="s">
        <v>628</v>
      </c>
      <c r="E22" s="384">
        <v>12.702742576599121</v>
      </c>
      <c r="F22" s="384">
        <v>0.44680324196815491</v>
      </c>
      <c r="G22" s="384">
        <v>0</v>
      </c>
      <c r="H22" s="384">
        <v>6.3091483116149902</v>
      </c>
      <c r="I22" s="384">
        <v>0.88947087526321411</v>
      </c>
      <c r="J22" s="384">
        <v>34.700313568115234</v>
      </c>
      <c r="K22" s="384">
        <v>409.58251953125</v>
      </c>
      <c r="L22" s="384">
        <v>69.099464416503906</v>
      </c>
      <c r="M22" s="384">
        <v>55.048477172851562</v>
      </c>
      <c r="N22" s="384">
        <v>478.68197631835938</v>
      </c>
      <c r="O22" s="389">
        <v>533.73046875</v>
      </c>
      <c r="P22" s="384">
        <v>332.28179931640625</v>
      </c>
      <c r="Q22" s="384">
        <v>4.5215563774108887</v>
      </c>
      <c r="R22" s="384">
        <v>3302.839111328125</v>
      </c>
      <c r="S22" s="384">
        <v>248.15983581542969</v>
      </c>
      <c r="T22" s="384">
        <v>21.661409378051758</v>
      </c>
      <c r="U22" s="384">
        <v>2933.648681640625</v>
      </c>
      <c r="V22" s="384">
        <v>407.92709350585938</v>
      </c>
      <c r="W22" s="384">
        <v>3009.27099609375</v>
      </c>
      <c r="X22" s="384">
        <v>6843.1123046875</v>
      </c>
      <c r="Y22" s="384">
        <v>3417.197998046875</v>
      </c>
      <c r="Z22" s="384">
        <v>10260.310546875</v>
      </c>
    </row>
    <row r="23" spans="1:26" ht="29" x14ac:dyDescent="0.35">
      <c r="A23" s="384" t="s">
        <v>198</v>
      </c>
      <c r="B23" s="384" t="s">
        <v>647</v>
      </c>
      <c r="C23" s="384">
        <v>1</v>
      </c>
      <c r="D23" s="384" t="s">
        <v>628</v>
      </c>
      <c r="E23" s="384">
        <v>1.4246259927749634</v>
      </c>
      <c r="F23" s="384">
        <v>3.205525130033493E-2</v>
      </c>
      <c r="G23" s="384">
        <v>0</v>
      </c>
      <c r="H23" s="384">
        <v>8.4121980667114258</v>
      </c>
      <c r="I23" s="384">
        <v>6.8262971937656403E-2</v>
      </c>
      <c r="J23" s="384">
        <v>3.5122933387756348</v>
      </c>
      <c r="K23" s="384">
        <v>9.7636499404907227</v>
      </c>
      <c r="L23" s="384">
        <v>0</v>
      </c>
      <c r="M23" s="384">
        <v>13.449435234069824</v>
      </c>
      <c r="N23" s="384">
        <v>9.7636499404907227</v>
      </c>
      <c r="O23" s="389">
        <v>23.213085174560547</v>
      </c>
      <c r="P23" s="384">
        <v>114.61619567871094</v>
      </c>
      <c r="Q23" s="384">
        <v>13.669820785522461</v>
      </c>
      <c r="R23" s="384">
        <v>424.81597900390625</v>
      </c>
      <c r="S23" s="384">
        <v>46.267086029052734</v>
      </c>
      <c r="T23" s="384">
        <v>30.494216918945312</v>
      </c>
      <c r="U23" s="384">
        <v>227.02418518066406</v>
      </c>
      <c r="V23" s="384">
        <v>68.349105834960938</v>
      </c>
      <c r="W23" s="384">
        <v>112.51314544677734</v>
      </c>
      <c r="X23" s="384">
        <v>856.88751220703125</v>
      </c>
      <c r="Y23" s="384">
        <v>180.86224365234375</v>
      </c>
      <c r="Z23" s="384">
        <v>1037.749755859375</v>
      </c>
    </row>
    <row r="24" spans="1:26" ht="29" x14ac:dyDescent="0.35">
      <c r="A24" s="384" t="s">
        <v>81</v>
      </c>
      <c r="B24" s="384" t="s">
        <v>648</v>
      </c>
      <c r="C24" s="384">
        <v>0</v>
      </c>
      <c r="D24" s="384" t="s">
        <v>628</v>
      </c>
      <c r="E24" s="384">
        <v>149.31651306152344</v>
      </c>
      <c r="F24" s="384">
        <v>1.8108521699905396</v>
      </c>
      <c r="G24" s="384">
        <v>0</v>
      </c>
      <c r="H24" s="384">
        <v>259.72659301757812</v>
      </c>
      <c r="I24" s="384">
        <v>4.0710716247558594</v>
      </c>
      <c r="J24" s="384">
        <v>1589.9053955078125</v>
      </c>
      <c r="K24" s="384">
        <v>1107.562744140625</v>
      </c>
      <c r="L24" s="384">
        <v>186.85365295410156</v>
      </c>
      <c r="M24" s="384">
        <v>2004.8304443359375</v>
      </c>
      <c r="N24" s="384">
        <v>1294.4163818359375</v>
      </c>
      <c r="O24" s="389">
        <v>3299.246826171875</v>
      </c>
      <c r="P24" s="384">
        <v>449.00103759765625</v>
      </c>
      <c r="Q24" s="384">
        <v>9.785801887512207</v>
      </c>
      <c r="R24" s="384">
        <v>1678.2333984375</v>
      </c>
      <c r="S24" s="384">
        <v>343.84857177734375</v>
      </c>
      <c r="T24" s="384">
        <v>7.4832348823547363</v>
      </c>
      <c r="U24" s="384">
        <v>1800.3154296875</v>
      </c>
      <c r="V24" s="384">
        <v>1038.36572265625</v>
      </c>
      <c r="W24" s="384">
        <v>8137.44775390625</v>
      </c>
      <c r="X24" s="384">
        <v>4288.66748046875</v>
      </c>
      <c r="Y24" s="384">
        <v>9175.8134765625</v>
      </c>
      <c r="Z24" s="384">
        <v>13464.48046875</v>
      </c>
    </row>
    <row r="25" spans="1:26" ht="29" x14ac:dyDescent="0.35">
      <c r="A25" s="384" t="s">
        <v>200</v>
      </c>
      <c r="B25" s="384" t="s">
        <v>649</v>
      </c>
      <c r="C25" s="384">
        <v>0</v>
      </c>
      <c r="D25" s="384" t="s">
        <v>628</v>
      </c>
      <c r="E25" s="384">
        <v>7.3606729507446289</v>
      </c>
      <c r="F25" s="384">
        <v>0.82797092199325562</v>
      </c>
      <c r="G25" s="384">
        <v>13.054843902587891</v>
      </c>
      <c r="H25" s="384">
        <v>55.730808258056641</v>
      </c>
      <c r="I25" s="384">
        <v>2.3476417064666748</v>
      </c>
      <c r="J25" s="384">
        <v>234.49000549316406</v>
      </c>
      <c r="K25" s="384">
        <v>230.32647705078125</v>
      </c>
      <c r="L25" s="384">
        <v>38.857704162597656</v>
      </c>
      <c r="M25" s="384">
        <v>313.81195068359375</v>
      </c>
      <c r="N25" s="384">
        <v>269.18417358398438</v>
      </c>
      <c r="O25" s="389">
        <v>582.99609375</v>
      </c>
      <c r="P25" s="384">
        <v>682.43951416015625</v>
      </c>
      <c r="Q25" s="384">
        <v>113.14405822753906</v>
      </c>
      <c r="R25" s="384">
        <v>4211.3564453125</v>
      </c>
      <c r="S25" s="384">
        <v>417.455322265625</v>
      </c>
      <c r="T25" s="384">
        <v>1125.236572265625</v>
      </c>
      <c r="U25" s="384">
        <v>2070.662353515625</v>
      </c>
      <c r="V25" s="384">
        <v>434.8009033203125</v>
      </c>
      <c r="W25" s="384">
        <v>1692.2470703125</v>
      </c>
      <c r="X25" s="384">
        <v>8620.2939453125</v>
      </c>
      <c r="Y25" s="384">
        <v>2127.0478515625</v>
      </c>
      <c r="Z25" s="384">
        <v>10747.341796875</v>
      </c>
    </row>
    <row r="26" spans="1:26" ht="29" x14ac:dyDescent="0.35">
      <c r="A26" s="384" t="s">
        <v>199</v>
      </c>
      <c r="B26" s="384" t="s">
        <v>650</v>
      </c>
      <c r="C26" s="384">
        <v>0</v>
      </c>
      <c r="D26" s="384" t="s">
        <v>628</v>
      </c>
      <c r="E26" s="384">
        <v>5.690544605255127</v>
      </c>
      <c r="F26" s="384">
        <v>0</v>
      </c>
      <c r="G26" s="384">
        <v>3.7840394973754883</v>
      </c>
      <c r="H26" s="384">
        <v>8.4121980667114258</v>
      </c>
      <c r="I26" s="384">
        <v>0.37277358770370483</v>
      </c>
      <c r="J26" s="384">
        <v>21.361358642578125</v>
      </c>
      <c r="K26" s="384">
        <v>157.62823486328125</v>
      </c>
      <c r="L26" s="384">
        <v>26.592998504638672</v>
      </c>
      <c r="M26" s="384">
        <v>39.620914459228516</v>
      </c>
      <c r="N26" s="384">
        <v>184.22123718261719</v>
      </c>
      <c r="O26" s="389">
        <v>223.84214782714844</v>
      </c>
      <c r="P26" s="384">
        <v>153.52261352539062</v>
      </c>
      <c r="Q26" s="384">
        <v>2.2082018852233887</v>
      </c>
      <c r="R26" s="384">
        <v>660.3575439453125</v>
      </c>
      <c r="S26" s="384">
        <v>45.215560913085938</v>
      </c>
      <c r="T26" s="384">
        <v>486.22500610351562</v>
      </c>
      <c r="U26" s="384">
        <v>261.30389404296875</v>
      </c>
      <c r="V26" s="384">
        <v>156.99114990234375</v>
      </c>
      <c r="W26" s="384">
        <v>1158.1209716796875</v>
      </c>
      <c r="X26" s="384">
        <v>1608.832763671875</v>
      </c>
      <c r="Y26" s="384">
        <v>1315.112060546875</v>
      </c>
      <c r="Z26" s="384">
        <v>2923.94482421875</v>
      </c>
    </row>
    <row r="27" spans="1:26" ht="29" x14ac:dyDescent="0.35">
      <c r="A27" s="384" t="s">
        <v>201</v>
      </c>
      <c r="B27" s="384" t="s">
        <v>651</v>
      </c>
      <c r="C27" s="384">
        <v>1</v>
      </c>
      <c r="D27" s="384" t="s">
        <v>628</v>
      </c>
      <c r="E27" s="384">
        <v>119.91094207763672</v>
      </c>
      <c r="F27" s="384">
        <v>2.6680383682250977</v>
      </c>
      <c r="G27" s="384">
        <v>63.512092590332031</v>
      </c>
      <c r="H27" s="384">
        <v>184.01683044433594</v>
      </c>
      <c r="I27" s="384">
        <v>5.900184154510498</v>
      </c>
      <c r="J27" s="384">
        <v>340.69400024414062</v>
      </c>
      <c r="K27" s="384">
        <v>13.544058799743652</v>
      </c>
      <c r="L27" s="384">
        <v>120.60987854003906</v>
      </c>
      <c r="M27" s="384">
        <v>716.70208740234375</v>
      </c>
      <c r="N27" s="384">
        <v>134.1539306640625</v>
      </c>
      <c r="O27" s="389">
        <v>850.85601806640625</v>
      </c>
      <c r="P27" s="384">
        <v>1684.5426025390625</v>
      </c>
      <c r="Q27" s="384">
        <v>249.31651306152344</v>
      </c>
      <c r="R27" s="384">
        <v>3848.580322265625</v>
      </c>
      <c r="S27" s="384">
        <v>708.7276611328125</v>
      </c>
      <c r="T27" s="384">
        <v>307.88641357421875</v>
      </c>
      <c r="U27" s="384">
        <v>4495.1630859375</v>
      </c>
      <c r="V27" s="384">
        <v>625.796142578125</v>
      </c>
      <c r="W27" s="384">
        <v>862.1451416015625</v>
      </c>
      <c r="X27" s="384">
        <v>11294.216796875</v>
      </c>
      <c r="Y27" s="384">
        <v>1487.9412841796875</v>
      </c>
      <c r="Z27" s="384">
        <v>12782.158203125</v>
      </c>
    </row>
    <row r="28" spans="1:26" ht="29" x14ac:dyDescent="0.35">
      <c r="A28" s="384" t="s">
        <v>202</v>
      </c>
      <c r="B28" s="384" t="s">
        <v>652</v>
      </c>
      <c r="C28" s="384">
        <v>1</v>
      </c>
      <c r="D28" s="384" t="s">
        <v>628</v>
      </c>
      <c r="E28" s="384">
        <v>14.721345901489258</v>
      </c>
      <c r="F28" s="384">
        <v>0</v>
      </c>
      <c r="G28" s="384">
        <v>3.0494215488433838</v>
      </c>
      <c r="H28" s="384">
        <v>230.28390502929688</v>
      </c>
      <c r="I28" s="384">
        <v>3.1094748973846436</v>
      </c>
      <c r="J28" s="384">
        <v>181.91377258300781</v>
      </c>
      <c r="K28" s="384">
        <v>7.9864354133605957</v>
      </c>
      <c r="L28" s="384">
        <v>4.7318611145019531</v>
      </c>
      <c r="M28" s="384">
        <v>433.07791137695312</v>
      </c>
      <c r="N28" s="384">
        <v>12.718296051025391</v>
      </c>
      <c r="O28" s="389">
        <v>445.79620361328125</v>
      </c>
      <c r="P28" s="384">
        <v>699.263916015625</v>
      </c>
      <c r="Q28" s="384">
        <v>30.178760528564453</v>
      </c>
      <c r="R28" s="384">
        <v>2228.180908203125</v>
      </c>
      <c r="S28" s="384">
        <v>529.96844482421875</v>
      </c>
      <c r="T28" s="384">
        <v>126.39326477050781</v>
      </c>
      <c r="U28" s="384">
        <v>1459.2008056640625</v>
      </c>
      <c r="V28" s="384">
        <v>273.823974609375</v>
      </c>
      <c r="W28" s="384">
        <v>302.839111328125</v>
      </c>
      <c r="X28" s="384">
        <v>5073.18603515625</v>
      </c>
      <c r="Y28" s="384">
        <v>576.6630859375</v>
      </c>
      <c r="Z28" s="384">
        <v>5649.84912109375</v>
      </c>
    </row>
    <row r="29" spans="1:26" ht="29" x14ac:dyDescent="0.35">
      <c r="A29" s="384" t="s">
        <v>203</v>
      </c>
      <c r="B29" s="384" t="s">
        <v>653</v>
      </c>
      <c r="C29" s="384">
        <v>1</v>
      </c>
      <c r="D29" s="384" t="s">
        <v>628</v>
      </c>
      <c r="E29" s="384">
        <v>10.851493835449219</v>
      </c>
      <c r="F29" s="384">
        <v>0.31987413763999939</v>
      </c>
      <c r="G29" s="384">
        <v>12.431658744812012</v>
      </c>
      <c r="H29" s="384">
        <v>33.648792266845703</v>
      </c>
      <c r="I29" s="384">
        <v>0.66840088367462158</v>
      </c>
      <c r="J29" s="384">
        <v>70.472885131835938</v>
      </c>
      <c r="K29" s="384">
        <v>46.785640716552734</v>
      </c>
      <c r="L29" s="384">
        <v>-35.069065093994141</v>
      </c>
      <c r="M29" s="384">
        <v>128.39311218261719</v>
      </c>
      <c r="N29" s="384">
        <v>11.716575622558594</v>
      </c>
      <c r="O29" s="389">
        <v>140.10968017578125</v>
      </c>
      <c r="P29" s="384">
        <v>381.70346069335938</v>
      </c>
      <c r="Q29" s="384">
        <v>60.988433837890625</v>
      </c>
      <c r="R29" s="384">
        <v>235.54153442382812</v>
      </c>
      <c r="S29" s="384">
        <v>159.83175659179688</v>
      </c>
      <c r="T29" s="384">
        <v>38.065196990966797</v>
      </c>
      <c r="U29" s="384">
        <v>461.30389404296875</v>
      </c>
      <c r="V29" s="384">
        <v>223.6593017578125</v>
      </c>
      <c r="W29" s="384">
        <v>43.007362365722656</v>
      </c>
      <c r="X29" s="384">
        <v>1337.434326171875</v>
      </c>
      <c r="Y29" s="384">
        <v>266.66665649414062</v>
      </c>
      <c r="Z29" s="384">
        <v>1604.1009521484375</v>
      </c>
    </row>
    <row r="30" spans="1:26" ht="29" x14ac:dyDescent="0.35">
      <c r="A30" s="384" t="s">
        <v>204</v>
      </c>
      <c r="B30" s="384" t="s">
        <v>654</v>
      </c>
      <c r="C30" s="384">
        <v>1</v>
      </c>
      <c r="D30" s="384" t="s">
        <v>628</v>
      </c>
      <c r="E30" s="384">
        <v>0.87955266237258911</v>
      </c>
      <c r="F30" s="384">
        <v>3.4315094351768494E-2</v>
      </c>
      <c r="G30" s="384">
        <v>0.52576237916946411</v>
      </c>
      <c r="H30" s="384">
        <v>9.4637222290039062</v>
      </c>
      <c r="I30" s="384">
        <v>7.4788562953472137E-2</v>
      </c>
      <c r="J30" s="384">
        <v>3.8980648517608643</v>
      </c>
      <c r="K30" s="384">
        <v>0</v>
      </c>
      <c r="L30" s="384">
        <v>3.0494217872619629</v>
      </c>
      <c r="M30" s="384">
        <v>14.876205444335938</v>
      </c>
      <c r="N30" s="384">
        <v>3.0494217872619629</v>
      </c>
      <c r="O30" s="389">
        <v>17.925626754760742</v>
      </c>
      <c r="P30" s="384">
        <v>149.31651306152344</v>
      </c>
      <c r="Q30" s="384">
        <v>10.410094261169434</v>
      </c>
      <c r="R30" s="384">
        <v>504.73187255859375</v>
      </c>
      <c r="S30" s="384">
        <v>44.164039611816406</v>
      </c>
      <c r="T30" s="384">
        <v>24.921136856079102</v>
      </c>
      <c r="U30" s="384">
        <v>230.17875671386719</v>
      </c>
      <c r="V30" s="384">
        <v>71.913581848144531</v>
      </c>
      <c r="W30" s="384">
        <v>177.91798400878906</v>
      </c>
      <c r="X30" s="384">
        <v>963.722412109375</v>
      </c>
      <c r="Y30" s="384">
        <v>249.83157348632812</v>
      </c>
      <c r="Z30" s="384">
        <v>1213.553955078125</v>
      </c>
    </row>
    <row r="31" spans="1:26" ht="29" x14ac:dyDescent="0.35">
      <c r="A31" s="384" t="s">
        <v>205</v>
      </c>
      <c r="B31" s="384" t="s">
        <v>655</v>
      </c>
      <c r="C31" s="384">
        <v>1</v>
      </c>
      <c r="D31" s="384" t="s">
        <v>628</v>
      </c>
      <c r="E31" s="384">
        <v>53.627761840820312</v>
      </c>
      <c r="F31" s="384">
        <v>2.9305198192596436</v>
      </c>
      <c r="G31" s="384">
        <v>97.892227172851562</v>
      </c>
      <c r="H31" s="384">
        <v>719.242919921875</v>
      </c>
      <c r="I31" s="384">
        <v>12.282099723815918</v>
      </c>
      <c r="J31" s="384">
        <v>217.66561889648438</v>
      </c>
      <c r="K31" s="384">
        <v>236.63333129882812</v>
      </c>
      <c r="L31" s="384">
        <v>27.339641571044922</v>
      </c>
      <c r="M31" s="384">
        <v>1103.64111328125</v>
      </c>
      <c r="N31" s="384">
        <v>263.97296142578125</v>
      </c>
      <c r="O31" s="389">
        <v>1367.614013671875</v>
      </c>
      <c r="P31" s="384">
        <v>2561.51416015625</v>
      </c>
      <c r="Q31" s="384">
        <v>125.4468994140625</v>
      </c>
      <c r="R31" s="384">
        <v>6347.0029296875</v>
      </c>
      <c r="S31" s="384">
        <v>2760.25244140625</v>
      </c>
      <c r="T31" s="384">
        <v>948.26495361328125</v>
      </c>
      <c r="U31" s="384">
        <v>6582.64990234375</v>
      </c>
      <c r="V31" s="384">
        <v>736.09136962890625</v>
      </c>
      <c r="W31" s="384">
        <v>1611.671875</v>
      </c>
      <c r="X31" s="384">
        <v>19325.130859375</v>
      </c>
      <c r="Y31" s="384">
        <v>2347.76318359375</v>
      </c>
      <c r="Z31" s="384">
        <v>21672.89453125</v>
      </c>
    </row>
    <row r="32" spans="1:26" ht="29" x14ac:dyDescent="0.35">
      <c r="A32" s="384" t="s">
        <v>206</v>
      </c>
      <c r="B32" s="384" t="s">
        <v>656</v>
      </c>
      <c r="C32" s="384">
        <v>0</v>
      </c>
      <c r="D32" s="384" t="s">
        <v>628</v>
      </c>
      <c r="E32" s="384">
        <v>13.882034301757812</v>
      </c>
      <c r="F32" s="384">
        <v>0</v>
      </c>
      <c r="G32" s="384">
        <v>13.533441543579102</v>
      </c>
      <c r="H32" s="384">
        <v>11.566771507263184</v>
      </c>
      <c r="I32" s="384">
        <v>1.6046321392059326</v>
      </c>
      <c r="J32" s="384">
        <v>98.287376403808594</v>
      </c>
      <c r="K32" s="384">
        <v>142.4031982421875</v>
      </c>
      <c r="L32" s="384">
        <v>24.024425506591797</v>
      </c>
      <c r="M32" s="384">
        <v>138.87425231933594</v>
      </c>
      <c r="N32" s="384">
        <v>166.42762756347656</v>
      </c>
      <c r="O32" s="389">
        <v>305.3018798828125</v>
      </c>
      <c r="P32" s="384">
        <v>826.4984130859375</v>
      </c>
      <c r="Q32" s="384">
        <v>7.3606729507446289</v>
      </c>
      <c r="R32" s="384">
        <v>2433.228271484375</v>
      </c>
      <c r="S32" s="384">
        <v>206.09884643554688</v>
      </c>
      <c r="T32" s="384">
        <v>87.592010498046875</v>
      </c>
      <c r="U32" s="384">
        <v>1480.6519775390625</v>
      </c>
      <c r="V32" s="384">
        <v>460.98028564453125</v>
      </c>
      <c r="W32" s="384">
        <v>1046.260009765625</v>
      </c>
      <c r="X32" s="384">
        <v>5041.43017578125</v>
      </c>
      <c r="Y32" s="384">
        <v>1507.240234375</v>
      </c>
      <c r="Z32" s="384">
        <v>6548.67041015625</v>
      </c>
    </row>
    <row r="33" spans="1:26" ht="29" x14ac:dyDescent="0.35">
      <c r="A33" s="384" t="s">
        <v>67</v>
      </c>
      <c r="B33" s="384" t="s">
        <v>80</v>
      </c>
      <c r="C33" s="384">
        <v>0</v>
      </c>
      <c r="D33" s="384" t="s">
        <v>628</v>
      </c>
      <c r="E33" s="384">
        <v>924.7135009765625</v>
      </c>
      <c r="F33" s="384">
        <v>25.041433334350586</v>
      </c>
      <c r="G33" s="384">
        <v>300.42062377929688</v>
      </c>
      <c r="H33" s="384">
        <v>4991.587890625</v>
      </c>
      <c r="I33" s="384">
        <v>64.105262756347656</v>
      </c>
      <c r="J33" s="384">
        <v>3613.0390625</v>
      </c>
      <c r="K33" s="384">
        <v>8782.0693359375</v>
      </c>
      <c r="L33" s="384">
        <v>1481.59716796875</v>
      </c>
      <c r="M33" s="384">
        <v>9918.908203125</v>
      </c>
      <c r="N33" s="384">
        <v>10263.666015625</v>
      </c>
      <c r="O33" s="389">
        <v>20182.57421875</v>
      </c>
      <c r="P33" s="384">
        <v>14720.2939453125</v>
      </c>
      <c r="Q33" s="384">
        <v>3775.394287109375</v>
      </c>
      <c r="R33" s="384">
        <v>44597.265625</v>
      </c>
      <c r="S33" s="384">
        <v>6125.13134765625</v>
      </c>
      <c r="T33" s="384">
        <v>715.03680419921875</v>
      </c>
      <c r="U33" s="384">
        <v>30619.978515625</v>
      </c>
      <c r="V33" s="384">
        <v>20251.58203125</v>
      </c>
      <c r="W33" s="384">
        <v>132162.203125</v>
      </c>
      <c r="X33" s="384">
        <v>100553.1015625</v>
      </c>
      <c r="Y33" s="384">
        <v>152413.78125</v>
      </c>
      <c r="Z33" s="384">
        <v>252966.875</v>
      </c>
    </row>
    <row r="34" spans="1:26" ht="34" x14ac:dyDescent="0.4">
      <c r="A34" s="392" t="s">
        <v>912</v>
      </c>
      <c r="B34" s="384"/>
      <c r="C34" s="384"/>
      <c r="D34" s="384"/>
      <c r="E34" s="384"/>
      <c r="F34" s="384"/>
      <c r="G34" s="384"/>
      <c r="H34" s="384"/>
      <c r="I34" s="384"/>
      <c r="J34" s="384"/>
      <c r="K34" s="384"/>
      <c r="L34" s="384"/>
      <c r="M34" s="384"/>
      <c r="N34" s="384"/>
      <c r="O34" s="389"/>
      <c r="P34" s="384"/>
      <c r="Q34" s="384"/>
      <c r="R34" s="384"/>
      <c r="S34" s="384"/>
      <c r="T34" s="384"/>
      <c r="U34" s="384"/>
      <c r="V34" s="384"/>
      <c r="W34" s="384"/>
      <c r="X34" s="384"/>
      <c r="Y34" s="384"/>
      <c r="Z34" s="384"/>
    </row>
    <row r="35" spans="1:26" ht="29" x14ac:dyDescent="0.35">
      <c r="A35" s="384" t="s">
        <v>65</v>
      </c>
      <c r="B35" s="384" t="s">
        <v>658</v>
      </c>
      <c r="C35" s="384">
        <v>1</v>
      </c>
      <c r="D35" s="384" t="s">
        <v>659</v>
      </c>
      <c r="E35" s="384">
        <v>0</v>
      </c>
      <c r="F35" s="384">
        <v>0.54393541812896729</v>
      </c>
      <c r="G35" s="384">
        <v>625.6572265625</v>
      </c>
      <c r="H35" s="384">
        <v>1712.9337158203125</v>
      </c>
      <c r="I35" s="384">
        <v>1.7141618728637695</v>
      </c>
      <c r="J35" s="384">
        <v>362.77603149414062</v>
      </c>
      <c r="K35" s="384">
        <v>82.555206298828125</v>
      </c>
      <c r="L35" s="384">
        <v>-451.34378051757812</v>
      </c>
      <c r="M35" s="384">
        <v>2703.625</v>
      </c>
      <c r="N35" s="384">
        <v>-368.78857421875</v>
      </c>
      <c r="O35" s="389">
        <v>2334.83642578125</v>
      </c>
      <c r="P35" s="384">
        <v>0</v>
      </c>
      <c r="Q35" s="384">
        <v>34.174552917480469</v>
      </c>
      <c r="R35" s="384">
        <v>4978.9697265625</v>
      </c>
      <c r="S35" s="384">
        <v>6597.26611328125</v>
      </c>
      <c r="T35" s="384">
        <v>86.330177307128906</v>
      </c>
      <c r="U35" s="384">
        <v>18992.4296875</v>
      </c>
      <c r="V35" s="384">
        <v>1446.822021484375</v>
      </c>
      <c r="W35" s="384">
        <v>2790.74658203125</v>
      </c>
      <c r="X35" s="384">
        <v>30689.169921875</v>
      </c>
      <c r="Y35" s="384">
        <v>4237.568359375</v>
      </c>
      <c r="Z35" s="384">
        <v>34926.73828125</v>
      </c>
    </row>
    <row r="36" spans="1:26" ht="29" x14ac:dyDescent="0.35">
      <c r="A36" s="384" t="s">
        <v>61</v>
      </c>
      <c r="B36" s="384" t="s">
        <v>660</v>
      </c>
      <c r="C36" s="384">
        <v>0</v>
      </c>
      <c r="D36" s="384" t="s">
        <v>659</v>
      </c>
      <c r="E36" s="384">
        <v>134.49017333984375</v>
      </c>
      <c r="F36" s="384">
        <v>0.76755666732788086</v>
      </c>
      <c r="G36" s="384">
        <v>20.751592636108398</v>
      </c>
      <c r="H36" s="384">
        <v>2398.52783203125</v>
      </c>
      <c r="I36" s="384">
        <v>2.6022343635559082</v>
      </c>
      <c r="J36" s="384">
        <v>1402.7340087890625</v>
      </c>
      <c r="K36" s="384">
        <v>1981.0587158203125</v>
      </c>
      <c r="L36" s="384">
        <v>334.2186279296875</v>
      </c>
      <c r="M36" s="384">
        <v>3959.873291015625</v>
      </c>
      <c r="N36" s="384">
        <v>2315.27734375</v>
      </c>
      <c r="O36" s="389">
        <v>6275.150390625</v>
      </c>
      <c r="P36" s="384">
        <v>8801.26171875</v>
      </c>
      <c r="Q36" s="384">
        <v>258.04415893554688</v>
      </c>
      <c r="R36" s="384">
        <v>6786.54052734375</v>
      </c>
      <c r="S36" s="384">
        <v>7824.3955078125</v>
      </c>
      <c r="T36" s="384">
        <v>1016.2986450195312</v>
      </c>
      <c r="U36" s="384">
        <v>20619.978515625</v>
      </c>
      <c r="V36" s="384">
        <v>0</v>
      </c>
      <c r="W36" s="384">
        <v>14555.1689453125</v>
      </c>
      <c r="X36" s="384">
        <v>45306.51953125</v>
      </c>
      <c r="Y36" s="384">
        <v>14555.1689453125</v>
      </c>
      <c r="Z36" s="384">
        <v>59861.6875</v>
      </c>
    </row>
    <row r="37" spans="1:26" ht="29" x14ac:dyDescent="0.35">
      <c r="A37" s="384" t="s">
        <v>59</v>
      </c>
      <c r="B37" s="384" t="s">
        <v>661</v>
      </c>
      <c r="C37" s="384">
        <v>1</v>
      </c>
      <c r="D37" s="384" t="s">
        <v>659</v>
      </c>
      <c r="E37" s="384">
        <v>413.24920654296875</v>
      </c>
      <c r="F37" s="384">
        <v>17.468242645263672</v>
      </c>
      <c r="G37" s="384">
        <v>0</v>
      </c>
      <c r="H37" s="384">
        <v>2567.8232421875</v>
      </c>
      <c r="I37" s="384">
        <v>38.791336059570312</v>
      </c>
      <c r="J37" s="384">
        <v>2468.97998046875</v>
      </c>
      <c r="K37" s="384">
        <v>868.6044921875</v>
      </c>
      <c r="L37" s="384">
        <v>0</v>
      </c>
      <c r="M37" s="384">
        <v>5506.31201171875</v>
      </c>
      <c r="N37" s="384">
        <v>868.6044921875</v>
      </c>
      <c r="O37" s="389">
        <v>6374.91650390625</v>
      </c>
      <c r="P37" s="384">
        <v>8416.4033203125</v>
      </c>
      <c r="Q37" s="384">
        <v>1866.3511962890625</v>
      </c>
      <c r="R37" s="384">
        <v>0</v>
      </c>
      <c r="S37" s="384">
        <v>2092.5341796875</v>
      </c>
      <c r="T37" s="384">
        <v>408.201904296875</v>
      </c>
      <c r="U37" s="384">
        <v>23042.90234375</v>
      </c>
      <c r="V37" s="384">
        <v>2594.8017578125</v>
      </c>
      <c r="W37" s="384">
        <v>16667.71875</v>
      </c>
      <c r="X37" s="384">
        <v>35826.39453125</v>
      </c>
      <c r="Y37" s="384">
        <v>19262.51953125</v>
      </c>
      <c r="Z37" s="384">
        <v>55088.9140625</v>
      </c>
    </row>
    <row r="38" spans="1:26" ht="29" x14ac:dyDescent="0.35">
      <c r="A38" s="384" t="s">
        <v>60</v>
      </c>
      <c r="B38" s="384" t="s">
        <v>662</v>
      </c>
      <c r="C38" s="384">
        <v>1</v>
      </c>
      <c r="D38" s="384" t="s">
        <v>659</v>
      </c>
      <c r="E38" s="384">
        <v>248.75823974609375</v>
      </c>
      <c r="F38" s="384">
        <v>4.581235408782959</v>
      </c>
      <c r="G38" s="384">
        <v>1330.1787109375</v>
      </c>
      <c r="H38" s="384">
        <v>0</v>
      </c>
      <c r="I38" s="384">
        <v>10.147334098815918</v>
      </c>
      <c r="J38" s="384">
        <v>397.47634887695312</v>
      </c>
      <c r="K38" s="384">
        <v>10418.10546875</v>
      </c>
      <c r="L38" s="384">
        <v>1549.9473876953125</v>
      </c>
      <c r="M38" s="384">
        <v>1991.141845703125</v>
      </c>
      <c r="N38" s="384">
        <v>11968.052734375</v>
      </c>
      <c r="O38" s="389">
        <v>13959.1943359375</v>
      </c>
      <c r="P38" s="384">
        <v>6878.02294921875</v>
      </c>
      <c r="Q38" s="384">
        <v>184.75288391113281</v>
      </c>
      <c r="R38" s="384">
        <v>2726.603515625</v>
      </c>
      <c r="S38" s="384">
        <v>0</v>
      </c>
      <c r="T38" s="384">
        <v>194.42691040039062</v>
      </c>
      <c r="U38" s="384">
        <v>4650.47314453125</v>
      </c>
      <c r="V38" s="384">
        <v>3255.518310546875</v>
      </c>
      <c r="W38" s="384">
        <v>10778.1279296875</v>
      </c>
      <c r="X38" s="384">
        <v>14634.279296875</v>
      </c>
      <c r="Y38" s="384">
        <v>14033.646484375</v>
      </c>
      <c r="Z38" s="384">
        <v>28667.92578125</v>
      </c>
    </row>
    <row r="39" spans="1:26" ht="29" x14ac:dyDescent="0.35">
      <c r="A39" s="384" t="s">
        <v>221</v>
      </c>
      <c r="B39" s="384" t="s">
        <v>663</v>
      </c>
      <c r="C39" s="384">
        <v>1</v>
      </c>
      <c r="D39" s="384" t="s">
        <v>659</v>
      </c>
      <c r="E39" s="384">
        <v>384.35931396484375</v>
      </c>
      <c r="F39" s="384">
        <v>8.6367025375366211</v>
      </c>
      <c r="G39" s="384">
        <v>1422.712890625</v>
      </c>
      <c r="H39" s="384">
        <v>2333.333251953125</v>
      </c>
      <c r="I39" s="384">
        <v>24.621770858764648</v>
      </c>
      <c r="J39" s="384">
        <v>0</v>
      </c>
      <c r="K39" s="384">
        <v>5785.0927734375</v>
      </c>
      <c r="L39" s="384">
        <v>1107.2554931640625</v>
      </c>
      <c r="M39" s="384">
        <v>4173.6640625</v>
      </c>
      <c r="N39" s="384">
        <v>6892.34814453125</v>
      </c>
      <c r="O39" s="389">
        <v>11066.01171875</v>
      </c>
      <c r="P39" s="384">
        <v>18614.08984375</v>
      </c>
      <c r="Q39" s="384">
        <v>397.6866455078125</v>
      </c>
      <c r="R39" s="384">
        <v>14343.8486328125</v>
      </c>
      <c r="S39" s="384">
        <v>4718.19140625</v>
      </c>
      <c r="T39" s="384">
        <v>2685.699462890625</v>
      </c>
      <c r="U39" s="384">
        <v>0</v>
      </c>
      <c r="V39" s="384">
        <v>2536.187255859375</v>
      </c>
      <c r="W39" s="384">
        <v>9791.0615234375</v>
      </c>
      <c r="X39" s="384">
        <v>40759.515625</v>
      </c>
      <c r="Y39" s="384">
        <v>12327.2490234375</v>
      </c>
      <c r="Z39" s="384">
        <v>53086.765625</v>
      </c>
    </row>
    <row r="40" spans="1:26" ht="34" x14ac:dyDescent="0.4">
      <c r="A40" s="392" t="s">
        <v>913</v>
      </c>
      <c r="B40" s="384"/>
      <c r="C40" s="384"/>
      <c r="D40" s="384"/>
      <c r="E40" s="384"/>
      <c r="F40" s="384"/>
      <c r="G40" s="384"/>
      <c r="H40" s="384"/>
      <c r="I40" s="384"/>
      <c r="J40" s="384"/>
      <c r="K40" s="384"/>
      <c r="L40" s="384"/>
      <c r="M40" s="384"/>
      <c r="N40" s="384"/>
      <c r="O40" s="389"/>
      <c r="P40" s="384"/>
      <c r="Q40" s="384"/>
      <c r="R40" s="384"/>
      <c r="S40" s="384"/>
      <c r="T40" s="384"/>
      <c r="U40" s="384"/>
      <c r="V40" s="384"/>
      <c r="W40" s="384"/>
      <c r="X40" s="384"/>
      <c r="Y40" s="384"/>
      <c r="Z40" s="384"/>
    </row>
    <row r="41" spans="1:26" ht="29" x14ac:dyDescent="0.35">
      <c r="A41" s="384" t="s">
        <v>83</v>
      </c>
      <c r="B41" s="384" t="s">
        <v>665</v>
      </c>
      <c r="C41" s="384">
        <v>0</v>
      </c>
      <c r="D41" s="384" t="s">
        <v>666</v>
      </c>
      <c r="E41" s="384">
        <v>155.18832397460938</v>
      </c>
      <c r="F41" s="384">
        <v>0</v>
      </c>
      <c r="G41" s="384">
        <v>128.19819641113281</v>
      </c>
      <c r="H41" s="384">
        <v>1092.5341796875</v>
      </c>
      <c r="I41" s="384">
        <v>9.8793821334838867</v>
      </c>
      <c r="J41" s="384">
        <v>7327.86474609375</v>
      </c>
      <c r="K41" s="384">
        <v>1032.239501953125</v>
      </c>
      <c r="L41" s="384">
        <v>174.14608764648438</v>
      </c>
      <c r="M41" s="384">
        <v>8713.6650390625</v>
      </c>
      <c r="N41" s="384">
        <v>1206.3856201171875</v>
      </c>
      <c r="O41" s="389">
        <v>9920.05078125</v>
      </c>
      <c r="P41" s="384">
        <v>316.50894165039062</v>
      </c>
      <c r="Q41" s="384">
        <v>20.715038299560547</v>
      </c>
      <c r="R41" s="384">
        <v>1154.5740966796875</v>
      </c>
      <c r="S41" s="384">
        <v>295.47845458984375</v>
      </c>
      <c r="T41" s="384">
        <v>29.968454360961914</v>
      </c>
      <c r="U41" s="384">
        <v>1872.1346435546875</v>
      </c>
      <c r="V41" s="384">
        <v>620.0623779296875</v>
      </c>
      <c r="W41" s="384">
        <v>7584.03564453125</v>
      </c>
      <c r="X41" s="384">
        <v>3689.379638671875</v>
      </c>
      <c r="Y41" s="384">
        <v>8204.09765625</v>
      </c>
      <c r="Z41" s="384">
        <v>11893.4775390625</v>
      </c>
    </row>
    <row r="42" spans="1:26" ht="29" x14ac:dyDescent="0.35">
      <c r="A42" s="384" t="s">
        <v>208</v>
      </c>
      <c r="B42" s="384" t="s">
        <v>667</v>
      </c>
      <c r="C42" s="384">
        <v>0</v>
      </c>
      <c r="D42" s="384" t="s">
        <v>666</v>
      </c>
      <c r="E42" s="384">
        <v>31.238119125366211</v>
      </c>
      <c r="F42" s="384">
        <v>0</v>
      </c>
      <c r="G42" s="384">
        <v>0.52576237916946411</v>
      </c>
      <c r="H42" s="384">
        <v>57.833858489990234</v>
      </c>
      <c r="I42" s="384">
        <v>1.2967091798782349</v>
      </c>
      <c r="J42" s="384">
        <v>358.56991577148438</v>
      </c>
      <c r="K42" s="384">
        <v>5964.90673828125</v>
      </c>
      <c r="L42" s="384">
        <v>1006.3218994140625</v>
      </c>
      <c r="M42" s="384">
        <v>449.46435546875</v>
      </c>
      <c r="N42" s="384">
        <v>6971.228515625</v>
      </c>
      <c r="O42" s="389">
        <v>7420.69287109375</v>
      </c>
      <c r="P42" s="384">
        <v>1827.5499267578125</v>
      </c>
      <c r="Q42" s="384">
        <v>62.565719604492188</v>
      </c>
      <c r="R42" s="384">
        <v>10372.240234375</v>
      </c>
      <c r="S42" s="384">
        <v>1442.69189453125</v>
      </c>
      <c r="T42" s="384">
        <v>51.735015869140625</v>
      </c>
      <c r="U42" s="384">
        <v>3492.954833984375</v>
      </c>
      <c r="V42" s="384">
        <v>2607.72998046875</v>
      </c>
      <c r="W42" s="384">
        <v>43825.1640625</v>
      </c>
      <c r="X42" s="384">
        <v>17249.73828125</v>
      </c>
      <c r="Y42" s="384">
        <v>46432.89453125</v>
      </c>
      <c r="Z42" s="384">
        <v>63682.6328125</v>
      </c>
    </row>
    <row r="43" spans="1:26" ht="29" x14ac:dyDescent="0.35">
      <c r="A43" s="384" t="s">
        <v>209</v>
      </c>
      <c r="B43" s="384" t="s">
        <v>668</v>
      </c>
      <c r="C43" s="384">
        <v>0</v>
      </c>
      <c r="D43" s="384" t="s">
        <v>666</v>
      </c>
      <c r="E43" s="384">
        <v>55.424697875976562</v>
      </c>
      <c r="F43" s="384">
        <v>0.1258479505777359</v>
      </c>
      <c r="G43" s="384">
        <v>0</v>
      </c>
      <c r="H43" s="384">
        <v>-0.14749667048454285</v>
      </c>
      <c r="I43" s="384">
        <v>0.19734489917755127</v>
      </c>
      <c r="J43" s="384">
        <v>41.558078765869141</v>
      </c>
      <c r="K43" s="384">
        <v>77.793266296386719</v>
      </c>
      <c r="L43" s="384">
        <v>13.124274253845215</v>
      </c>
      <c r="M43" s="384">
        <v>97.158470153808594</v>
      </c>
      <c r="N43" s="384">
        <v>90.91754150390625</v>
      </c>
      <c r="O43" s="389">
        <v>188.07601928710938</v>
      </c>
      <c r="P43" s="384">
        <v>99.484947204589844</v>
      </c>
      <c r="Q43" s="384">
        <v>39.915420532226562</v>
      </c>
      <c r="R43" s="384">
        <v>0</v>
      </c>
      <c r="S43" s="384">
        <v>170.70091247558594</v>
      </c>
      <c r="T43" s="384">
        <v>32.300151824951172</v>
      </c>
      <c r="U43" s="384">
        <v>288.40679931640625</v>
      </c>
      <c r="V43" s="384">
        <v>77.478843688964844</v>
      </c>
      <c r="W43" s="384">
        <v>571.56011962890625</v>
      </c>
      <c r="X43" s="384">
        <v>630.8082275390625</v>
      </c>
      <c r="Y43" s="384">
        <v>649.0389404296875</v>
      </c>
      <c r="Z43" s="384">
        <v>1279.84716796875</v>
      </c>
    </row>
    <row r="44" spans="1:26" ht="29" x14ac:dyDescent="0.35">
      <c r="A44" s="384" t="s">
        <v>210</v>
      </c>
      <c r="B44" s="384" t="s">
        <v>669</v>
      </c>
      <c r="C44" s="384">
        <v>0</v>
      </c>
      <c r="D44" s="384" t="s">
        <v>666</v>
      </c>
      <c r="E44" s="384">
        <v>62.636024475097656</v>
      </c>
      <c r="F44" s="384">
        <v>0.1422220766544342</v>
      </c>
      <c r="G44" s="384">
        <v>0</v>
      </c>
      <c r="H44" s="384">
        <v>-0.1666875034570694</v>
      </c>
      <c r="I44" s="384">
        <v>0.22302152216434479</v>
      </c>
      <c r="J44" s="384">
        <v>46.965217590332031</v>
      </c>
      <c r="K44" s="384">
        <v>87.91497802734375</v>
      </c>
      <c r="L44" s="384">
        <v>14.831878662109375</v>
      </c>
      <c r="M44" s="384">
        <v>109.79979705810547</v>
      </c>
      <c r="N44" s="384">
        <v>102.74685668945312</v>
      </c>
      <c r="O44" s="389">
        <v>212.54666137695312</v>
      </c>
      <c r="P44" s="384">
        <v>112.42897033691406</v>
      </c>
      <c r="Q44" s="384">
        <v>45.108829498291016</v>
      </c>
      <c r="R44" s="384">
        <v>0</v>
      </c>
      <c r="S44" s="384">
        <v>192.91085815429688</v>
      </c>
      <c r="T44" s="384">
        <v>36.502735137939453</v>
      </c>
      <c r="U44" s="384">
        <v>325.9315185546875</v>
      </c>
      <c r="V44" s="384">
        <v>87.559646606445312</v>
      </c>
      <c r="W44" s="384">
        <v>645.926025390625</v>
      </c>
      <c r="X44" s="384">
        <v>712.8829345703125</v>
      </c>
      <c r="Y44" s="384">
        <v>733.48565673828125</v>
      </c>
      <c r="Z44" s="384">
        <v>1446.36865234375</v>
      </c>
    </row>
    <row r="45" spans="1:26" ht="29" x14ac:dyDescent="0.35">
      <c r="A45" s="384" t="s">
        <v>84</v>
      </c>
      <c r="B45" s="384" t="s">
        <v>670</v>
      </c>
      <c r="C45" s="384">
        <v>0</v>
      </c>
      <c r="D45" s="384" t="s">
        <v>666</v>
      </c>
      <c r="E45" s="384">
        <v>27.385820388793945</v>
      </c>
      <c r="F45" s="384">
        <v>0</v>
      </c>
      <c r="G45" s="384">
        <v>0</v>
      </c>
      <c r="H45" s="384">
        <v>49.421661376953125</v>
      </c>
      <c r="I45" s="384">
        <v>1.7397432327270508</v>
      </c>
      <c r="J45" s="384">
        <v>502.62881469726562</v>
      </c>
      <c r="K45" s="384">
        <v>1008.0339965820312</v>
      </c>
      <c r="L45" s="384">
        <v>170.06245422363281</v>
      </c>
      <c r="M45" s="384">
        <v>581.176025390625</v>
      </c>
      <c r="N45" s="384">
        <v>1178.096435546875</v>
      </c>
      <c r="O45" s="389">
        <v>1759.2724609375</v>
      </c>
      <c r="P45" s="384">
        <v>437.43426513671875</v>
      </c>
      <c r="Q45" s="384">
        <v>33.648792266845703</v>
      </c>
      <c r="R45" s="384">
        <v>4744.4794921875</v>
      </c>
      <c r="S45" s="384">
        <v>174.5531005859375</v>
      </c>
      <c r="T45" s="384">
        <v>50.052574157714844</v>
      </c>
      <c r="U45" s="384">
        <v>2092.428955078125</v>
      </c>
      <c r="V45" s="384">
        <v>600.65472412109375</v>
      </c>
      <c r="W45" s="384">
        <v>7406.1943359375</v>
      </c>
      <c r="X45" s="384">
        <v>7532.59716796875</v>
      </c>
      <c r="Y45" s="384">
        <v>8006.84912109375</v>
      </c>
      <c r="Z45" s="384">
        <v>15539.4462890625</v>
      </c>
    </row>
    <row r="46" spans="1:26" ht="29" x14ac:dyDescent="0.35">
      <c r="A46" s="384" t="s">
        <v>211</v>
      </c>
      <c r="B46" s="384" t="s">
        <v>671</v>
      </c>
      <c r="C46" s="384">
        <v>0</v>
      </c>
      <c r="D46" s="384" t="s">
        <v>666</v>
      </c>
      <c r="E46" s="384">
        <v>70.460968017578125</v>
      </c>
      <c r="F46" s="384">
        <v>2.8016631603240967</v>
      </c>
      <c r="G46" s="384">
        <v>72.095420837402344</v>
      </c>
      <c r="H46" s="384">
        <v>1311.2513427734375</v>
      </c>
      <c r="I46" s="384">
        <v>5.790891170501709</v>
      </c>
      <c r="J46" s="384">
        <v>301.22906494140625</v>
      </c>
      <c r="K46" s="384">
        <v>0</v>
      </c>
      <c r="L46" s="384">
        <v>0</v>
      </c>
      <c r="M46" s="384">
        <v>1763.62939453125</v>
      </c>
      <c r="N46" s="384">
        <v>0</v>
      </c>
      <c r="O46" s="389">
        <v>1763.62939453125</v>
      </c>
      <c r="P46" s="384">
        <v>395.373291015625</v>
      </c>
      <c r="Q46" s="384">
        <v>1274.2376708984375</v>
      </c>
      <c r="R46" s="384">
        <v>2628.811767578125</v>
      </c>
      <c r="S46" s="384">
        <v>239.74763488769531</v>
      </c>
      <c r="T46" s="384">
        <v>80.231338500976562</v>
      </c>
      <c r="U46" s="384">
        <v>1491.1671142578125</v>
      </c>
      <c r="V46" s="384">
        <v>859.112060546875</v>
      </c>
      <c r="W46" s="384">
        <v>0</v>
      </c>
      <c r="X46" s="384">
        <v>6109.56884765625</v>
      </c>
      <c r="Y46" s="384">
        <v>859.112060546875</v>
      </c>
      <c r="Z46" s="384">
        <v>6968.6806640625</v>
      </c>
    </row>
    <row r="47" spans="1:26" ht="29" x14ac:dyDescent="0.35">
      <c r="A47" s="384" t="s">
        <v>86</v>
      </c>
      <c r="B47" s="384" t="s">
        <v>672</v>
      </c>
      <c r="C47" s="384">
        <v>0</v>
      </c>
      <c r="D47" s="384" t="s">
        <v>666</v>
      </c>
      <c r="E47" s="384">
        <v>63.383914947509766</v>
      </c>
      <c r="F47" s="384">
        <v>9.5203064382076263E-2</v>
      </c>
      <c r="G47" s="384">
        <v>0</v>
      </c>
      <c r="H47" s="384">
        <v>32.597267150878906</v>
      </c>
      <c r="I47" s="384">
        <v>1.8348027467727661</v>
      </c>
      <c r="J47" s="384">
        <v>102.15704345703125</v>
      </c>
      <c r="K47" s="384">
        <v>287.79269409179688</v>
      </c>
      <c r="L47" s="384">
        <v>48.552661895751953</v>
      </c>
      <c r="M47" s="384">
        <v>200.0682373046875</v>
      </c>
      <c r="N47" s="384">
        <v>336.34536743164062</v>
      </c>
      <c r="O47" s="389">
        <v>536.41357421875</v>
      </c>
      <c r="P47" s="384">
        <v>417.455322265625</v>
      </c>
      <c r="Q47" s="384">
        <v>46.372238159179688</v>
      </c>
      <c r="R47" s="384">
        <v>3771.819091796875</v>
      </c>
      <c r="S47" s="384">
        <v>339.64248657226562</v>
      </c>
      <c r="T47" s="384">
        <v>14.300736427307129</v>
      </c>
      <c r="U47" s="384">
        <v>1118.5068359375</v>
      </c>
      <c r="V47" s="384">
        <v>484.77670288085938</v>
      </c>
      <c r="W47" s="384">
        <v>2114.4609375</v>
      </c>
      <c r="X47" s="384">
        <v>5708.0966796875</v>
      </c>
      <c r="Y47" s="384">
        <v>2599.237548828125</v>
      </c>
      <c r="Z47" s="384">
        <v>8307.333984375</v>
      </c>
    </row>
    <row r="48" spans="1:26" ht="29" x14ac:dyDescent="0.35">
      <c r="A48" s="384" t="s">
        <v>212</v>
      </c>
      <c r="B48" s="384" t="s">
        <v>738</v>
      </c>
      <c r="C48" s="384">
        <v>0</v>
      </c>
      <c r="D48" s="384" t="s">
        <v>914</v>
      </c>
      <c r="E48" s="384">
        <v>13.095602989196777</v>
      </c>
      <c r="F48" s="384">
        <v>0.42886635661125183</v>
      </c>
      <c r="G48" s="384">
        <v>0</v>
      </c>
      <c r="H48" s="384">
        <v>0</v>
      </c>
      <c r="I48" s="384">
        <v>2.0510571002960205</v>
      </c>
      <c r="J48" s="384">
        <v>138.74806213378906</v>
      </c>
      <c r="K48" s="384">
        <v>195.03199768066406</v>
      </c>
      <c r="L48" s="384">
        <v>32.903274536132812</v>
      </c>
      <c r="M48" s="384">
        <v>154.32359313964844</v>
      </c>
      <c r="N48" s="384">
        <v>227.93527221679688</v>
      </c>
      <c r="O48" s="389">
        <v>382.25885009765625</v>
      </c>
      <c r="P48" s="384">
        <v>95.688751220703125</v>
      </c>
      <c r="Q48" s="384">
        <v>0.10515247285366058</v>
      </c>
      <c r="R48" s="384">
        <v>395.373291015625</v>
      </c>
      <c r="S48" s="384">
        <v>44.164039611816406</v>
      </c>
      <c r="T48" s="384">
        <v>5.7833857536315918</v>
      </c>
      <c r="U48" s="384">
        <v>655.09991455078125</v>
      </c>
      <c r="V48" s="384">
        <v>194.24371337890625</v>
      </c>
      <c r="W48" s="384">
        <v>1432.9326171875</v>
      </c>
      <c r="X48" s="384">
        <v>1196.2144775390625</v>
      </c>
      <c r="Y48" s="384">
        <v>1627.17626953125</v>
      </c>
      <c r="Z48" s="384">
        <v>2823.390625</v>
      </c>
    </row>
    <row r="49" spans="1:26" ht="29" x14ac:dyDescent="0.35">
      <c r="A49" s="384" t="s">
        <v>213</v>
      </c>
      <c r="B49" s="384" t="s">
        <v>767</v>
      </c>
      <c r="C49" s="384">
        <v>0</v>
      </c>
      <c r="D49" s="384" t="s">
        <v>914</v>
      </c>
      <c r="E49" s="384">
        <v>31.496122360229492</v>
      </c>
      <c r="F49" s="384">
        <v>0.23598895967006683</v>
      </c>
      <c r="G49" s="384">
        <v>0</v>
      </c>
      <c r="H49" s="384">
        <v>2.1030495166778564</v>
      </c>
      <c r="I49" s="384">
        <v>0.68464666604995728</v>
      </c>
      <c r="J49" s="384">
        <v>40.542926788330078</v>
      </c>
      <c r="K49" s="384">
        <v>0</v>
      </c>
      <c r="L49" s="384">
        <v>0</v>
      </c>
      <c r="M49" s="384">
        <v>75.062736511230469</v>
      </c>
      <c r="N49" s="384">
        <v>0</v>
      </c>
      <c r="O49" s="389">
        <v>75.062736511230469</v>
      </c>
      <c r="P49" s="384">
        <v>191.37750244140625</v>
      </c>
      <c r="Q49" s="384">
        <v>6.0988435745239258</v>
      </c>
      <c r="R49" s="384">
        <v>1004.2061157226562</v>
      </c>
      <c r="S49" s="384">
        <v>76.761306762695312</v>
      </c>
      <c r="T49" s="384">
        <v>10.515247344970703</v>
      </c>
      <c r="U49" s="384">
        <v>358.04415893554688</v>
      </c>
      <c r="V49" s="384">
        <v>0</v>
      </c>
      <c r="W49" s="384">
        <v>0</v>
      </c>
      <c r="X49" s="384">
        <v>1647.003173828125</v>
      </c>
      <c r="Y49" s="384">
        <v>0</v>
      </c>
      <c r="Z49" s="384">
        <v>1647.003173828125</v>
      </c>
    </row>
    <row r="50" spans="1:26" ht="29" x14ac:dyDescent="0.35">
      <c r="A50" s="384" t="s">
        <v>214</v>
      </c>
      <c r="B50" s="384" t="s">
        <v>816</v>
      </c>
      <c r="C50" s="384">
        <v>0</v>
      </c>
      <c r="D50" s="384" t="s">
        <v>914</v>
      </c>
      <c r="E50" s="384">
        <v>2.1030495166778564</v>
      </c>
      <c r="F50" s="384">
        <v>0</v>
      </c>
      <c r="G50" s="384">
        <v>0</v>
      </c>
      <c r="H50" s="384">
        <v>3.1545741558074951</v>
      </c>
      <c r="I50" s="384">
        <v>1.0449951887130737</v>
      </c>
      <c r="J50" s="384">
        <v>60.90447998046875</v>
      </c>
      <c r="K50" s="384">
        <v>332.92123413085938</v>
      </c>
      <c r="L50" s="384">
        <v>56.166164398193359</v>
      </c>
      <c r="M50" s="384">
        <v>67.207099914550781</v>
      </c>
      <c r="N50" s="384">
        <v>389.08740234375</v>
      </c>
      <c r="O50" s="389">
        <v>456.29449462890625</v>
      </c>
      <c r="P50" s="384">
        <v>153.52261352539062</v>
      </c>
      <c r="Q50" s="384">
        <v>8.7276554107666016</v>
      </c>
      <c r="R50" s="384">
        <v>1502.6287841796875</v>
      </c>
      <c r="S50" s="384">
        <v>126.18296813964844</v>
      </c>
      <c r="T50" s="384">
        <v>9.9894847869873047</v>
      </c>
      <c r="U50" s="384">
        <v>903.78546142578125</v>
      </c>
      <c r="V50" s="384">
        <v>556.28411865234375</v>
      </c>
      <c r="W50" s="384">
        <v>2446.02783203125</v>
      </c>
      <c r="X50" s="384">
        <v>2704.8369140625</v>
      </c>
      <c r="Y50" s="384">
        <v>3002.31201171875</v>
      </c>
      <c r="Z50" s="384">
        <v>5707.14892578125</v>
      </c>
    </row>
    <row r="51" spans="1:26" ht="29" x14ac:dyDescent="0.35">
      <c r="A51" s="384" t="s">
        <v>215</v>
      </c>
      <c r="B51" s="384" t="s">
        <v>820</v>
      </c>
      <c r="C51" s="384">
        <v>0</v>
      </c>
      <c r="D51" s="384" t="s">
        <v>914</v>
      </c>
      <c r="E51" s="384">
        <v>116.27181243896484</v>
      </c>
      <c r="F51" s="384">
        <v>0.74350571632385254</v>
      </c>
      <c r="G51" s="384">
        <v>0</v>
      </c>
      <c r="H51" s="384">
        <v>46.267086029052734</v>
      </c>
      <c r="I51" s="384">
        <v>2.3047499656677246</v>
      </c>
      <c r="J51" s="384">
        <v>139.64628601074219</v>
      </c>
      <c r="K51" s="384">
        <v>108.74835968017578</v>
      </c>
      <c r="L51" s="384">
        <v>18.346616744995117</v>
      </c>
      <c r="M51" s="384">
        <v>305.23342895507812</v>
      </c>
      <c r="N51" s="384">
        <v>127.09497833251953</v>
      </c>
      <c r="O51" s="389">
        <v>432.32839965820312</v>
      </c>
      <c r="P51" s="384">
        <v>65.194534301757812</v>
      </c>
      <c r="Q51" s="384">
        <v>40.483699798583984</v>
      </c>
      <c r="R51" s="384">
        <v>378.44863891601562</v>
      </c>
      <c r="S51" s="384">
        <v>30.494216918945312</v>
      </c>
      <c r="T51" s="384">
        <v>3.1545741558074951</v>
      </c>
      <c r="U51" s="384">
        <v>446.05679321289062</v>
      </c>
      <c r="V51" s="384">
        <v>108.30881500244141</v>
      </c>
      <c r="W51" s="384">
        <v>798.99237060546875</v>
      </c>
      <c r="X51" s="384">
        <v>963.83245849609375</v>
      </c>
      <c r="Y51" s="384">
        <v>907.30120849609375</v>
      </c>
      <c r="Z51" s="384">
        <v>1871.1336669921875</v>
      </c>
    </row>
    <row r="52" spans="1:26" ht="29" x14ac:dyDescent="0.35">
      <c r="A52" s="384" t="s">
        <v>216</v>
      </c>
      <c r="B52" s="384" t="s">
        <v>852</v>
      </c>
      <c r="C52" s="384">
        <v>0</v>
      </c>
      <c r="D52" s="384" t="s">
        <v>914</v>
      </c>
      <c r="E52" s="384">
        <v>11.829294204711914</v>
      </c>
      <c r="F52" s="384">
        <v>0</v>
      </c>
      <c r="G52" s="384">
        <v>0</v>
      </c>
      <c r="H52" s="384">
        <v>4.2060990333557129</v>
      </c>
      <c r="I52" s="384">
        <v>0.83123683929443359</v>
      </c>
      <c r="J52" s="384">
        <v>57.833858489990234</v>
      </c>
      <c r="K52" s="384">
        <v>488.34588623046875</v>
      </c>
      <c r="L52" s="384">
        <v>82.387397766113281</v>
      </c>
      <c r="M52" s="384">
        <v>74.700485229492188</v>
      </c>
      <c r="N52" s="384">
        <v>570.7332763671875</v>
      </c>
      <c r="O52" s="389">
        <v>645.43377685546875</v>
      </c>
      <c r="P52" s="384">
        <v>141.95584106445312</v>
      </c>
      <c r="Q52" s="384">
        <v>0.31545743346214294</v>
      </c>
      <c r="R52" s="384">
        <v>2529.05908203125</v>
      </c>
      <c r="S52" s="384">
        <v>154.57412719726562</v>
      </c>
      <c r="T52" s="384">
        <v>111.90016174316406</v>
      </c>
      <c r="U52" s="384">
        <v>670.13665771484375</v>
      </c>
      <c r="V52" s="384">
        <v>486.3720703125</v>
      </c>
      <c r="W52" s="384">
        <v>3587.95849609375</v>
      </c>
      <c r="X52" s="384">
        <v>3607.94140625</v>
      </c>
      <c r="Y52" s="384">
        <v>4074.33056640625</v>
      </c>
      <c r="Z52" s="384">
        <v>7682.27197265625</v>
      </c>
    </row>
    <row r="53" spans="1:26" ht="29" x14ac:dyDescent="0.35">
      <c r="A53" s="384" t="s">
        <v>217</v>
      </c>
      <c r="B53" s="384" t="s">
        <v>862</v>
      </c>
      <c r="C53" s="384">
        <v>0</v>
      </c>
      <c r="D53" s="384" t="s">
        <v>914</v>
      </c>
      <c r="E53" s="384">
        <v>15.704999923706055</v>
      </c>
      <c r="F53" s="384">
        <v>0</v>
      </c>
      <c r="G53" s="384">
        <v>0</v>
      </c>
      <c r="H53" s="384">
        <v>64.14300537109375</v>
      </c>
      <c r="I53" s="384">
        <v>0.5044131875038147</v>
      </c>
      <c r="J53" s="384">
        <v>27.552988052368164</v>
      </c>
      <c r="K53" s="384">
        <v>58.310398101806641</v>
      </c>
      <c r="L53" s="384">
        <v>9.8373756408691406</v>
      </c>
      <c r="M53" s="384">
        <v>107.90540313720703</v>
      </c>
      <c r="N53" s="384">
        <v>68.147773742675781</v>
      </c>
      <c r="O53" s="389">
        <v>176.05317687988281</v>
      </c>
      <c r="P53" s="384">
        <v>24.185068130493164</v>
      </c>
      <c r="Q53" s="384">
        <v>0.21030494570732117</v>
      </c>
      <c r="R53" s="384">
        <v>194.8292236328125</v>
      </c>
      <c r="S53" s="384">
        <v>34.700313568115234</v>
      </c>
      <c r="T53" s="384">
        <v>8.6203670501708984</v>
      </c>
      <c r="U53" s="384">
        <v>88.4332275390625</v>
      </c>
      <c r="V53" s="384">
        <v>58.074714660644531</v>
      </c>
      <c r="W53" s="384">
        <v>428.41622924804688</v>
      </c>
      <c r="X53" s="384">
        <v>350.978515625</v>
      </c>
      <c r="Y53" s="384">
        <v>486.49093627929688</v>
      </c>
      <c r="Z53" s="384">
        <v>837.469482421875</v>
      </c>
    </row>
    <row r="54" spans="1:26" ht="29" x14ac:dyDescent="0.35">
      <c r="A54" s="384" t="s">
        <v>219</v>
      </c>
      <c r="B54" s="384" t="s">
        <v>713</v>
      </c>
      <c r="C54" s="384">
        <v>0</v>
      </c>
      <c r="D54" s="384" t="s">
        <v>714</v>
      </c>
      <c r="E54" s="384">
        <v>7817.333984375</v>
      </c>
      <c r="F54" s="384">
        <v>17.750127792358398</v>
      </c>
      <c r="G54" s="384">
        <v>0</v>
      </c>
      <c r="H54" s="384">
        <v>-20.803554534912109</v>
      </c>
      <c r="I54" s="384">
        <v>27.834360122680664</v>
      </c>
      <c r="J54" s="384">
        <v>5861.52734375</v>
      </c>
      <c r="K54" s="384">
        <v>10972.2919921875</v>
      </c>
      <c r="L54" s="384">
        <v>1851.1031494140625</v>
      </c>
      <c r="M54" s="384">
        <v>13703.642578125</v>
      </c>
      <c r="N54" s="384">
        <v>12823.3955078125</v>
      </c>
      <c r="O54" s="389">
        <v>26527.0390625</v>
      </c>
      <c r="P54" s="384">
        <v>14031.7783203125</v>
      </c>
      <c r="Q54" s="384">
        <v>5629.83984375</v>
      </c>
      <c r="R54" s="384">
        <v>0</v>
      </c>
      <c r="S54" s="384">
        <v>24076.37890625</v>
      </c>
      <c r="T54" s="384">
        <v>4555.75</v>
      </c>
      <c r="U54" s="384">
        <v>40678.1171875</v>
      </c>
      <c r="V54" s="384">
        <v>10927.9443359375</v>
      </c>
      <c r="W54" s="384">
        <v>80615.2578125</v>
      </c>
      <c r="X54" s="384">
        <v>88971.8671875</v>
      </c>
      <c r="Y54" s="384">
        <v>91543.203125</v>
      </c>
      <c r="Z54" s="384">
        <v>180515.0625</v>
      </c>
    </row>
    <row r="55" spans="1:26" ht="29" x14ac:dyDescent="0.35">
      <c r="A55" s="384" t="s">
        <v>715</v>
      </c>
      <c r="B55" s="384" t="s">
        <v>716</v>
      </c>
      <c r="C55" s="384">
        <v>0</v>
      </c>
      <c r="D55" s="384" t="s">
        <v>714</v>
      </c>
      <c r="E55" s="384">
        <v>16823.345703125</v>
      </c>
      <c r="F55" s="384">
        <v>167.81193542480469</v>
      </c>
      <c r="G55" s="384">
        <v>6113.89794921875</v>
      </c>
      <c r="H55" s="384">
        <v>54574.37890625</v>
      </c>
      <c r="I55" s="384">
        <v>649.140380859375</v>
      </c>
      <c r="J55" s="384">
        <v>51288.12109375</v>
      </c>
      <c r="K55" s="384">
        <v>58008.01171875</v>
      </c>
      <c r="L55" s="384">
        <v>10317.314453125</v>
      </c>
      <c r="M55" s="384">
        <v>129616.6953125</v>
      </c>
      <c r="N55" s="384">
        <v>68325.328125</v>
      </c>
      <c r="O55" s="389">
        <v>197942.03125</v>
      </c>
      <c r="P55" s="384">
        <v>224290.203125</v>
      </c>
      <c r="Q55" s="384">
        <v>29834.923828125</v>
      </c>
      <c r="R55" s="384">
        <v>396213.78125</v>
      </c>
      <c r="S55" s="384">
        <v>244093.734375</v>
      </c>
      <c r="T55" s="384">
        <v>50693.71875</v>
      </c>
      <c r="U55" s="384">
        <v>469518.125</v>
      </c>
      <c r="V55" s="384">
        <v>90426.5</v>
      </c>
      <c r="W55" s="384">
        <v>452303.125</v>
      </c>
      <c r="X55" s="384">
        <v>1414644.5</v>
      </c>
      <c r="Y55" s="384">
        <v>542729.625</v>
      </c>
      <c r="Z55" s="384">
        <v>1957374.125</v>
      </c>
    </row>
  </sheetData>
  <mergeCells count="1">
    <mergeCell ref="A1:Z1"/>
  </mergeCells>
  <pageMargins left="0.7" right="0.7" top="0.75" bottom="0.75" header="0.3" footer="0.3"/>
  <pageSetup scale="31" fitToHeight="0" orientation="landscape" horizontalDpi="4294967292" verticalDpi="4294967292"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9" tint="0.39997558519241921"/>
    <pageSetUpPr fitToPage="1"/>
  </sheetPr>
  <dimension ref="A1:AF56"/>
  <sheetViews>
    <sheetView zoomScale="31" zoomScaleNormal="70" zoomScalePageLayoutView="70" workbookViewId="0">
      <pane xSplit="3" ySplit="1" topLeftCell="D26" activePane="bottomRight" state="frozen"/>
      <selection pane="topRight" activeCell="B5" sqref="B5"/>
      <selection pane="bottomLeft" activeCell="B5" sqref="B5"/>
      <selection pane="bottomRight" activeCell="T54" sqref="T54"/>
    </sheetView>
  </sheetViews>
  <sheetFormatPr baseColWidth="10" defaultColWidth="10.83203125" defaultRowHeight="16" x14ac:dyDescent="0.2"/>
  <cols>
    <col min="1" max="26" width="20.1640625" style="17" customWidth="1"/>
    <col min="27" max="16384" width="10.83203125" style="17"/>
  </cols>
  <sheetData>
    <row r="1" spans="1:32" customFormat="1" ht="69.75" customHeight="1" thickTop="1" x14ac:dyDescent="0.2">
      <c r="A1" s="614" t="s">
        <v>915</v>
      </c>
      <c r="B1" s="614"/>
      <c r="C1" s="614"/>
      <c r="D1" s="614"/>
      <c r="E1" s="614"/>
      <c r="F1" s="614"/>
      <c r="G1" s="614"/>
      <c r="H1" s="614"/>
      <c r="I1" s="614"/>
      <c r="J1" s="614"/>
      <c r="K1" s="614"/>
      <c r="L1" s="614"/>
      <c r="M1" s="614"/>
      <c r="N1" s="614"/>
      <c r="O1" s="614"/>
      <c r="P1" s="614"/>
      <c r="Q1" s="614"/>
      <c r="R1" s="614"/>
      <c r="S1" s="614"/>
      <c r="T1" s="614"/>
      <c r="U1" s="614"/>
      <c r="V1" s="614"/>
      <c r="W1" s="614"/>
      <c r="X1" s="614"/>
      <c r="Y1" s="614"/>
      <c r="Z1" s="614"/>
      <c r="AA1" s="489"/>
      <c r="AB1" s="489"/>
      <c r="AC1" s="489"/>
      <c r="AD1" s="489"/>
      <c r="AE1" s="489"/>
      <c r="AF1" s="490"/>
    </row>
    <row r="2" spans="1:32" s="363" customFormat="1" ht="90" x14ac:dyDescent="0.2">
      <c r="A2" s="386" t="s">
        <v>718</v>
      </c>
      <c r="B2" s="387" t="s">
        <v>719</v>
      </c>
      <c r="C2" s="387" t="s">
        <v>889</v>
      </c>
      <c r="D2" s="387" t="s">
        <v>720</v>
      </c>
      <c r="E2" s="387" t="s">
        <v>890</v>
      </c>
      <c r="F2" s="387" t="s">
        <v>891</v>
      </c>
      <c r="G2" s="387" t="s">
        <v>892</v>
      </c>
      <c r="H2" s="387" t="s">
        <v>893</v>
      </c>
      <c r="I2" s="387" t="s">
        <v>894</v>
      </c>
      <c r="J2" s="387" t="s">
        <v>895</v>
      </c>
      <c r="K2" s="387" t="s">
        <v>896</v>
      </c>
      <c r="L2" s="387" t="s">
        <v>897</v>
      </c>
      <c r="M2" s="387" t="s">
        <v>898</v>
      </c>
      <c r="N2" s="387" t="s">
        <v>899</v>
      </c>
      <c r="O2" s="388" t="s">
        <v>900</v>
      </c>
      <c r="P2" s="387" t="s">
        <v>901</v>
      </c>
      <c r="Q2" s="387" t="s">
        <v>902</v>
      </c>
      <c r="R2" s="387" t="s">
        <v>903</v>
      </c>
      <c r="S2" s="387" t="s">
        <v>904</v>
      </c>
      <c r="T2" s="387" t="s">
        <v>905</v>
      </c>
      <c r="U2" s="387" t="s">
        <v>906</v>
      </c>
      <c r="V2" s="387" t="s">
        <v>907</v>
      </c>
      <c r="W2" s="387" t="s">
        <v>908</v>
      </c>
      <c r="X2" s="387" t="s">
        <v>909</v>
      </c>
      <c r="Y2" s="387" t="s">
        <v>910</v>
      </c>
      <c r="Z2" s="388" t="s">
        <v>911</v>
      </c>
    </row>
    <row r="3" spans="1:32" s="363" customFormat="1" ht="34" x14ac:dyDescent="0.2">
      <c r="A3" s="391" t="s">
        <v>626</v>
      </c>
      <c r="B3" s="385"/>
      <c r="C3" s="385"/>
      <c r="D3" s="385"/>
      <c r="E3" s="385"/>
      <c r="F3" s="385"/>
      <c r="G3" s="385"/>
      <c r="H3" s="385"/>
      <c r="I3" s="385"/>
      <c r="J3" s="385"/>
      <c r="K3" s="385"/>
      <c r="L3" s="385"/>
      <c r="M3" s="385"/>
      <c r="N3" s="385"/>
      <c r="O3" s="385"/>
      <c r="P3" s="385"/>
      <c r="Q3" s="385"/>
      <c r="R3" s="385"/>
      <c r="S3" s="385"/>
      <c r="T3" s="385"/>
      <c r="U3" s="385"/>
      <c r="V3" s="385"/>
      <c r="W3" s="385"/>
      <c r="X3" s="385"/>
      <c r="Y3" s="385"/>
      <c r="Z3" s="385"/>
    </row>
    <row r="4" spans="1:32" s="384" customFormat="1" ht="29" x14ac:dyDescent="0.35">
      <c r="A4" s="384" t="s">
        <v>68</v>
      </c>
      <c r="B4" s="384" t="s">
        <v>627</v>
      </c>
      <c r="C4" s="384">
        <v>0</v>
      </c>
      <c r="D4" s="384" t="s">
        <v>628</v>
      </c>
      <c r="E4" s="384">
        <v>21.780834197998047</v>
      </c>
      <c r="F4" s="384">
        <v>0</v>
      </c>
      <c r="G4" s="384">
        <v>49.929584503173828</v>
      </c>
      <c r="H4" s="384">
        <v>155.45347595214844</v>
      </c>
      <c r="I4" s="384">
        <v>5.7795524597167969</v>
      </c>
      <c r="J4" s="384">
        <v>336.78292846679688</v>
      </c>
      <c r="K4" s="384">
        <v>186.81430053710938</v>
      </c>
      <c r="L4" s="384">
        <v>1229.92724609375</v>
      </c>
      <c r="M4" s="384">
        <v>1986.468017578125</v>
      </c>
      <c r="N4" s="384">
        <v>1416.7415771484375</v>
      </c>
      <c r="O4" s="384">
        <v>569.72637939453125</v>
      </c>
      <c r="P4" s="384">
        <v>222.42286682128906</v>
      </c>
      <c r="Q4" s="384">
        <v>45.797435760498047</v>
      </c>
      <c r="R4" s="384">
        <v>5129.06396484375</v>
      </c>
      <c r="S4" s="384">
        <v>352.00531005859375</v>
      </c>
      <c r="T4" s="384">
        <v>91.946220397949219</v>
      </c>
      <c r="U4" s="384">
        <v>1350.78759765625</v>
      </c>
      <c r="V4" s="384">
        <v>761.97186279296875</v>
      </c>
      <c r="W4" s="384">
        <v>15233.128123326182</v>
      </c>
      <c r="X4" s="384">
        <v>23187.123046875</v>
      </c>
      <c r="Y4" s="384">
        <v>15995.099609375</v>
      </c>
      <c r="Z4" s="384">
        <v>7192.0234375</v>
      </c>
    </row>
    <row r="5" spans="1:32" ht="29" x14ac:dyDescent="0.35">
      <c r="A5" s="384" t="s">
        <v>187</v>
      </c>
      <c r="B5" s="384" t="s">
        <v>629</v>
      </c>
      <c r="C5" s="384">
        <v>1</v>
      </c>
      <c r="D5" s="384" t="s">
        <v>628</v>
      </c>
      <c r="E5" s="384">
        <v>23.342689514160156</v>
      </c>
      <c r="F5" s="384">
        <v>0.39906123280525208</v>
      </c>
      <c r="G5" s="384">
        <v>37.921005249023438</v>
      </c>
      <c r="H5" s="384">
        <v>143.30216979980469</v>
      </c>
      <c r="I5" s="384">
        <v>1.5659182071685791</v>
      </c>
      <c r="J5" s="384">
        <v>65.283180236816406</v>
      </c>
      <c r="K5" s="384">
        <v>50.071582794189453</v>
      </c>
      <c r="L5" s="384">
        <v>129.63951110839844</v>
      </c>
      <c r="M5" s="384">
        <v>451.52511596679688</v>
      </c>
      <c r="N5" s="384">
        <v>179.71109008789062</v>
      </c>
      <c r="O5" s="384">
        <v>271.81402587890625</v>
      </c>
      <c r="P5" s="384">
        <v>848.619873046875</v>
      </c>
      <c r="Q5" s="384">
        <v>66.06878662109375</v>
      </c>
      <c r="R5" s="384">
        <v>1678.2137451171875</v>
      </c>
      <c r="S5" s="384">
        <v>836.5701904296875</v>
      </c>
      <c r="T5" s="384">
        <v>1650.6109619140625</v>
      </c>
      <c r="U5" s="384">
        <v>1515.05810546875</v>
      </c>
      <c r="V5" s="384">
        <v>709.47235107421875</v>
      </c>
      <c r="W5" s="384">
        <v>1043.9999848072353</v>
      </c>
      <c r="X5" s="384">
        <v>8348.6142578125</v>
      </c>
      <c r="Y5" s="384">
        <v>1753.4722900390625</v>
      </c>
      <c r="Z5" s="384">
        <v>6595.1416015625</v>
      </c>
    </row>
    <row r="6" spans="1:32" ht="29" x14ac:dyDescent="0.35">
      <c r="A6" s="384" t="s">
        <v>82</v>
      </c>
      <c r="B6" s="384" t="s">
        <v>630</v>
      </c>
      <c r="C6" s="384">
        <v>0</v>
      </c>
      <c r="D6" s="384" t="s">
        <v>628</v>
      </c>
      <c r="E6" s="384">
        <v>85.690238952636719</v>
      </c>
      <c r="F6" s="384">
        <v>0</v>
      </c>
      <c r="G6" s="384">
        <v>49.543617248535156</v>
      </c>
      <c r="H6" s="384">
        <v>737.62152099609375</v>
      </c>
      <c r="I6" s="384">
        <v>6.5258069038391113</v>
      </c>
      <c r="J6" s="384">
        <v>403.090087890625</v>
      </c>
      <c r="K6" s="384">
        <v>217.98442077636719</v>
      </c>
      <c r="L6" s="384">
        <v>1435.1417236328125</v>
      </c>
      <c r="M6" s="384">
        <v>2935.597412109375</v>
      </c>
      <c r="N6" s="384">
        <v>1653.1260986328125</v>
      </c>
      <c r="O6" s="384">
        <v>1282.4713134765625</v>
      </c>
      <c r="P6" s="384">
        <v>434.181640625</v>
      </c>
      <c r="Q6" s="384">
        <v>50.861576080322266</v>
      </c>
      <c r="R6" s="384">
        <v>1897.930908203125</v>
      </c>
      <c r="S6" s="384">
        <v>556.093505859375</v>
      </c>
      <c r="T6" s="384">
        <v>178.78201293945312</v>
      </c>
      <c r="U6" s="384">
        <v>1635.244873046875</v>
      </c>
      <c r="V6" s="384">
        <v>712.454833984375</v>
      </c>
      <c r="W6" s="384">
        <v>17774.788422630492</v>
      </c>
      <c r="X6" s="384">
        <v>23240.33984375</v>
      </c>
      <c r="Y6" s="384">
        <v>18487.244140625</v>
      </c>
      <c r="Z6" s="384">
        <v>4753.0947265625</v>
      </c>
    </row>
    <row r="7" spans="1:32" ht="29" x14ac:dyDescent="0.35">
      <c r="A7" s="384" t="s">
        <v>188</v>
      </c>
      <c r="B7" s="384" t="s">
        <v>631</v>
      </c>
      <c r="C7" s="384">
        <v>0</v>
      </c>
      <c r="D7" s="384" t="s">
        <v>628</v>
      </c>
      <c r="E7" s="384">
        <v>32.083103179931641</v>
      </c>
      <c r="F7" s="384">
        <v>0</v>
      </c>
      <c r="G7" s="384">
        <v>0</v>
      </c>
      <c r="H7" s="384">
        <v>27.126110076904297</v>
      </c>
      <c r="I7" s="384">
        <v>1.1885905265808105</v>
      </c>
      <c r="J7" s="384">
        <v>70.86541748046875</v>
      </c>
      <c r="K7" s="384">
        <v>63.217605590820312</v>
      </c>
      <c r="L7" s="384">
        <v>416.20504760742188</v>
      </c>
      <c r="M7" s="384">
        <v>610.6859130859375</v>
      </c>
      <c r="N7" s="384">
        <v>479.42266845703125</v>
      </c>
      <c r="O7" s="384">
        <v>131.26321411132812</v>
      </c>
      <c r="P7" s="384">
        <v>58.398696899414062</v>
      </c>
      <c r="Q7" s="384">
        <v>19.375837326049805</v>
      </c>
      <c r="R7" s="384">
        <v>0</v>
      </c>
      <c r="S7" s="384">
        <v>103.91645812988281</v>
      </c>
      <c r="T7" s="384">
        <v>2.9344537258148193</v>
      </c>
      <c r="U7" s="384">
        <v>194.35032653808594</v>
      </c>
      <c r="V7" s="384">
        <v>144.47395324707031</v>
      </c>
      <c r="W7" s="384">
        <v>5154.8616148652154</v>
      </c>
      <c r="X7" s="384">
        <v>5678.31103515625</v>
      </c>
      <c r="Y7" s="384">
        <v>5299.33544921875</v>
      </c>
      <c r="Z7" s="384">
        <v>378.97576904296875</v>
      </c>
    </row>
    <row r="8" spans="1:32" ht="29" x14ac:dyDescent="0.35">
      <c r="A8" s="384" t="s">
        <v>189</v>
      </c>
      <c r="B8" s="384" t="s">
        <v>632</v>
      </c>
      <c r="C8" s="384">
        <v>1</v>
      </c>
      <c r="D8" s="384" t="s">
        <v>628</v>
      </c>
      <c r="E8" s="384">
        <v>12.449435234069824</v>
      </c>
      <c r="F8" s="384">
        <v>0.13332487642765045</v>
      </c>
      <c r="G8" s="384">
        <v>10.964117050170898</v>
      </c>
      <c r="H8" s="384">
        <v>413.17050170898438</v>
      </c>
      <c r="I8" s="384">
        <v>0.61173027753829956</v>
      </c>
      <c r="J8" s="384">
        <v>191.95204162597656</v>
      </c>
      <c r="K8" s="384">
        <v>30.482173919677734</v>
      </c>
      <c r="L8" s="384">
        <v>0.82532274723052979</v>
      </c>
      <c r="M8" s="384">
        <v>660.588623046875</v>
      </c>
      <c r="N8" s="384">
        <v>31.307497024536133</v>
      </c>
      <c r="O8" s="384">
        <v>629.2811279296875</v>
      </c>
      <c r="P8" s="384">
        <v>570.3275146484375</v>
      </c>
      <c r="Q8" s="384">
        <v>61.790950775146484</v>
      </c>
      <c r="R8" s="384">
        <v>1099.943603515625</v>
      </c>
      <c r="S8" s="384">
        <v>468.23709106445312</v>
      </c>
      <c r="T8" s="384">
        <v>91.39373779296875</v>
      </c>
      <c r="U8" s="384">
        <v>1148.9248046875</v>
      </c>
      <c r="V8" s="384">
        <v>245.74598693847656</v>
      </c>
      <c r="W8" s="384">
        <v>211.83341096088697</v>
      </c>
      <c r="X8" s="384">
        <v>3898.197021484375</v>
      </c>
      <c r="Y8" s="384">
        <v>457.57940673828125</v>
      </c>
      <c r="Z8" s="384">
        <v>3440.61767578125</v>
      </c>
    </row>
    <row r="9" spans="1:32" ht="29" x14ac:dyDescent="0.35">
      <c r="A9" s="384" t="s">
        <v>75</v>
      </c>
      <c r="B9" s="384" t="s">
        <v>633</v>
      </c>
      <c r="C9" s="384">
        <v>1</v>
      </c>
      <c r="D9" s="384" t="s">
        <v>628</v>
      </c>
      <c r="E9" s="384">
        <v>260.66006469726562</v>
      </c>
      <c r="F9" s="384">
        <v>2.0212340354919434</v>
      </c>
      <c r="G9" s="384">
        <v>555.62518310546875</v>
      </c>
      <c r="H9" s="384">
        <v>2686.131103515625</v>
      </c>
      <c r="I9" s="384">
        <v>265.65972900390625</v>
      </c>
      <c r="J9" s="384">
        <v>4585.41259765625</v>
      </c>
      <c r="K9" s="384">
        <v>882.841064453125</v>
      </c>
      <c r="L9" s="384">
        <v>0</v>
      </c>
      <c r="M9" s="384">
        <v>9238.3505859375</v>
      </c>
      <c r="N9" s="384">
        <v>882.841064453125</v>
      </c>
      <c r="O9" s="384">
        <v>8355.509765625</v>
      </c>
      <c r="P9" s="384">
        <v>6236.38232421875</v>
      </c>
      <c r="Q9" s="384">
        <v>1468.2481689453125</v>
      </c>
      <c r="R9" s="384">
        <v>20360.8515625</v>
      </c>
      <c r="S9" s="384">
        <v>27816.716796875</v>
      </c>
      <c r="T9" s="384">
        <v>6871.2021484375</v>
      </c>
      <c r="U9" s="384">
        <v>26093.677734375</v>
      </c>
      <c r="V9" s="384">
        <v>4998.9228515625</v>
      </c>
      <c r="W9" s="384">
        <v>16713.268521914051</v>
      </c>
      <c r="X9" s="384">
        <v>110559.265625</v>
      </c>
      <c r="Y9" s="384">
        <v>21712.19140625</v>
      </c>
      <c r="Z9" s="384">
        <v>88847.078125</v>
      </c>
    </row>
    <row r="10" spans="1:32" ht="29" x14ac:dyDescent="0.35">
      <c r="A10" s="384" t="s">
        <v>190</v>
      </c>
      <c r="B10" s="384" t="s">
        <v>634</v>
      </c>
      <c r="C10" s="384">
        <v>1</v>
      </c>
      <c r="D10" s="384" t="s">
        <v>628</v>
      </c>
      <c r="E10" s="384">
        <v>5.4466280937194824</v>
      </c>
      <c r="F10" s="384">
        <v>7.0059694349765778E-2</v>
      </c>
      <c r="G10" s="384">
        <v>34.398197174072266</v>
      </c>
      <c r="H10" s="384">
        <v>120.29014587402344</v>
      </c>
      <c r="I10" s="384">
        <v>0.42303603887557983</v>
      </c>
      <c r="J10" s="384">
        <v>72.103813171386719</v>
      </c>
      <c r="K10" s="384">
        <v>-45.644535064697266</v>
      </c>
      <c r="L10" s="384">
        <v>106.79673767089844</v>
      </c>
      <c r="M10" s="384">
        <v>293.88406372070312</v>
      </c>
      <c r="N10" s="384">
        <v>61.152202606201172</v>
      </c>
      <c r="O10" s="384">
        <v>232.73187255859375</v>
      </c>
      <c r="P10" s="384">
        <v>900.72808837890625</v>
      </c>
      <c r="Q10" s="384">
        <v>149.80345153808594</v>
      </c>
      <c r="R10" s="384">
        <v>2473.02783203125</v>
      </c>
      <c r="S10" s="384">
        <v>762.903564453125</v>
      </c>
      <c r="T10" s="384">
        <v>376.01995849609375</v>
      </c>
      <c r="U10" s="384">
        <v>3126.22119140625</v>
      </c>
      <c r="V10" s="384">
        <v>204.68077087402344</v>
      </c>
      <c r="W10" s="384">
        <v>7479.3035231190161</v>
      </c>
      <c r="X10" s="384">
        <v>15472.6884765625</v>
      </c>
      <c r="Y10" s="384">
        <v>7683.984375</v>
      </c>
      <c r="Z10" s="384">
        <v>7788.7041015625</v>
      </c>
    </row>
    <row r="11" spans="1:32" ht="29" x14ac:dyDescent="0.35">
      <c r="A11" s="384" t="s">
        <v>72</v>
      </c>
      <c r="B11" s="384" t="s">
        <v>635</v>
      </c>
      <c r="C11" s="384">
        <v>1</v>
      </c>
      <c r="D11" s="384" t="s">
        <v>628</v>
      </c>
      <c r="E11" s="384">
        <v>104.26402282714844</v>
      </c>
      <c r="F11" s="384">
        <v>0.60386484861373901</v>
      </c>
      <c r="G11" s="384">
        <v>194.10389709472656</v>
      </c>
      <c r="H11" s="384">
        <v>1080.519287109375</v>
      </c>
      <c r="I11" s="384">
        <v>0.32389199733734131</v>
      </c>
      <c r="J11" s="384">
        <v>1707.1064453125</v>
      </c>
      <c r="K11" s="384">
        <v>69.027359008789062</v>
      </c>
      <c r="L11" s="384">
        <v>866.28717041015625</v>
      </c>
      <c r="M11" s="384">
        <v>4022.23583984375</v>
      </c>
      <c r="N11" s="384">
        <v>935.31451416015625</v>
      </c>
      <c r="O11" s="384">
        <v>3086.92138671875</v>
      </c>
      <c r="P11" s="384">
        <v>1237.427490234375</v>
      </c>
      <c r="Q11" s="384">
        <v>93.953933715820312</v>
      </c>
      <c r="R11" s="384">
        <v>4300.525390625</v>
      </c>
      <c r="S11" s="384">
        <v>6589.63037109375</v>
      </c>
      <c r="T11" s="384">
        <v>250.07736206054688</v>
      </c>
      <c r="U11" s="384">
        <v>4270.4052734375</v>
      </c>
      <c r="V11" s="384">
        <v>989.30999755859375</v>
      </c>
      <c r="W11" s="384">
        <v>1601.8111147042407</v>
      </c>
      <c r="X11" s="384">
        <v>19333.140625</v>
      </c>
      <c r="Y11" s="384">
        <v>2591.12109375</v>
      </c>
      <c r="Z11" s="384">
        <v>16742.01953125</v>
      </c>
    </row>
    <row r="12" spans="1:32" ht="29" x14ac:dyDescent="0.35">
      <c r="A12" s="384" t="s">
        <v>191</v>
      </c>
      <c r="B12" s="384" t="s">
        <v>636</v>
      </c>
      <c r="C12" s="384">
        <v>1</v>
      </c>
      <c r="D12" s="384" t="s">
        <v>628</v>
      </c>
      <c r="E12" s="384">
        <v>3.5323936939239502</v>
      </c>
      <c r="F12" s="384">
        <v>2.1853933110833168E-2</v>
      </c>
      <c r="G12" s="384">
        <v>3.2790262699127197</v>
      </c>
      <c r="H12" s="384">
        <v>11.506013870239258</v>
      </c>
      <c r="I12" s="384">
        <v>0.10979059338569641</v>
      </c>
      <c r="J12" s="384">
        <v>3.7400436401367188</v>
      </c>
      <c r="K12" s="384">
        <v>3.1624155044555664</v>
      </c>
      <c r="L12" s="384">
        <v>3.2346556186676025</v>
      </c>
      <c r="M12" s="384">
        <v>28.586193084716797</v>
      </c>
      <c r="N12" s="384">
        <v>6.3970708847045898</v>
      </c>
      <c r="O12" s="384">
        <v>22.189121246337891</v>
      </c>
      <c r="P12" s="384">
        <v>69.286773681640625</v>
      </c>
      <c r="Q12" s="384">
        <v>10.615367889404297</v>
      </c>
      <c r="R12" s="384">
        <v>230.48782348632812</v>
      </c>
      <c r="S12" s="384">
        <v>124.12320709228516</v>
      </c>
      <c r="T12" s="384">
        <v>66.285568237304688</v>
      </c>
      <c r="U12" s="384">
        <v>232.5753173828125</v>
      </c>
      <c r="V12" s="384">
        <v>97.371185302734375</v>
      </c>
      <c r="W12" s="384">
        <v>120.49394497775191</v>
      </c>
      <c r="X12" s="384">
        <v>951.23919677734375</v>
      </c>
      <c r="Y12" s="384">
        <v>217.86512756347656</v>
      </c>
      <c r="Z12" s="384">
        <v>733.37408447265625</v>
      </c>
    </row>
    <row r="13" spans="1:32" ht="29" x14ac:dyDescent="0.35">
      <c r="A13" s="384" t="s">
        <v>192</v>
      </c>
      <c r="B13" s="384" t="s">
        <v>637</v>
      </c>
      <c r="C13" s="384">
        <v>1</v>
      </c>
      <c r="D13" s="384" t="s">
        <v>628</v>
      </c>
      <c r="E13" s="384">
        <v>16.653268814086914</v>
      </c>
      <c r="F13" s="384">
        <v>0.45839542150497437</v>
      </c>
      <c r="G13" s="384">
        <v>20.451059341430664</v>
      </c>
      <c r="H13" s="384">
        <v>193.51022338867188</v>
      </c>
      <c r="I13" s="384">
        <v>2.0010740756988525</v>
      </c>
      <c r="J13" s="384">
        <v>44.319595336914062</v>
      </c>
      <c r="K13" s="384">
        <v>27.231912612915039</v>
      </c>
      <c r="L13" s="384">
        <v>136.63677978515625</v>
      </c>
      <c r="M13" s="384">
        <v>441.2623291015625</v>
      </c>
      <c r="N13" s="384">
        <v>163.86869812011719</v>
      </c>
      <c r="O13" s="384">
        <v>277.39361572265625</v>
      </c>
      <c r="P13" s="384">
        <v>518.21929931640625</v>
      </c>
      <c r="Q13" s="384">
        <v>25.587789535522461</v>
      </c>
      <c r="R13" s="384">
        <v>1756.95703125</v>
      </c>
      <c r="S13" s="384">
        <v>529.79412841796875</v>
      </c>
      <c r="T13" s="384">
        <v>965.15802001953125</v>
      </c>
      <c r="U13" s="384">
        <v>1876.315185546875</v>
      </c>
      <c r="V13" s="384">
        <v>183.86886596679688</v>
      </c>
      <c r="W13" s="384">
        <v>598.25664988953747</v>
      </c>
      <c r="X13" s="384">
        <v>6454.15673828125</v>
      </c>
      <c r="Y13" s="384">
        <v>782.12548828125</v>
      </c>
      <c r="Z13" s="384">
        <v>5672.03125</v>
      </c>
    </row>
    <row r="14" spans="1:32" ht="29" x14ac:dyDescent="0.35">
      <c r="A14" s="384" t="s">
        <v>71</v>
      </c>
      <c r="B14" s="384" t="s">
        <v>638</v>
      </c>
      <c r="C14" s="384">
        <v>1</v>
      </c>
      <c r="D14" s="384" t="s">
        <v>628</v>
      </c>
      <c r="E14" s="384">
        <v>375.33721923828125</v>
      </c>
      <c r="F14" s="384">
        <v>0.89588499069213867</v>
      </c>
      <c r="G14" s="384">
        <v>216.80923461914062</v>
      </c>
      <c r="H14" s="384">
        <v>2775.041259765625</v>
      </c>
      <c r="I14" s="384">
        <v>3.8499088287353516</v>
      </c>
      <c r="J14" s="384">
        <v>490.11105346679688</v>
      </c>
      <c r="K14" s="384">
        <v>676.40557861328125</v>
      </c>
      <c r="L14" s="384">
        <v>271.43951416015625</v>
      </c>
      <c r="M14" s="384">
        <v>4809.8896484375</v>
      </c>
      <c r="N14" s="384">
        <v>947.8450927734375</v>
      </c>
      <c r="O14" s="384">
        <v>3862.044677734375</v>
      </c>
      <c r="P14" s="384">
        <v>8646.53125</v>
      </c>
      <c r="Q14" s="384">
        <v>144.9710693359375</v>
      </c>
      <c r="R14" s="384">
        <v>11329.173828125</v>
      </c>
      <c r="S14" s="384">
        <v>15042.1171875</v>
      </c>
      <c r="T14" s="384">
        <v>1137.4000244140625</v>
      </c>
      <c r="U14" s="384">
        <v>11433.1015625</v>
      </c>
      <c r="V14" s="384">
        <v>2734.337158203125</v>
      </c>
      <c r="W14" s="384">
        <v>8914.8666983539551</v>
      </c>
      <c r="X14" s="384">
        <v>59382.5</v>
      </c>
      <c r="Y14" s="384">
        <v>11649.2041015625</v>
      </c>
      <c r="Z14" s="384">
        <v>47733.296875</v>
      </c>
    </row>
    <row r="15" spans="1:32" ht="29" x14ac:dyDescent="0.35">
      <c r="A15" s="384" t="s">
        <v>70</v>
      </c>
      <c r="B15" s="384" t="s">
        <v>639</v>
      </c>
      <c r="C15" s="384">
        <v>1</v>
      </c>
      <c r="D15" s="384" t="s">
        <v>628</v>
      </c>
      <c r="E15" s="384">
        <v>649.0115966796875</v>
      </c>
      <c r="F15" s="384">
        <v>4.2435793876647949</v>
      </c>
      <c r="G15" s="384">
        <v>250.6435546875</v>
      </c>
      <c r="H15" s="384">
        <v>7689.1552734375</v>
      </c>
      <c r="I15" s="384">
        <v>17.398530960083008</v>
      </c>
      <c r="J15" s="384">
        <v>1861.0927734375</v>
      </c>
      <c r="K15" s="384">
        <v>-366.41293334960938</v>
      </c>
      <c r="L15" s="384">
        <v>1111.2899169921875</v>
      </c>
      <c r="M15" s="384">
        <v>11216.421875</v>
      </c>
      <c r="N15" s="384">
        <v>744.876953125</v>
      </c>
      <c r="O15" s="384">
        <v>10471.544921875</v>
      </c>
      <c r="P15" s="384">
        <v>5521.75537109375</v>
      </c>
      <c r="Q15" s="384">
        <v>1337.61572265625</v>
      </c>
      <c r="R15" s="384">
        <v>35723.15234375</v>
      </c>
      <c r="S15" s="384">
        <v>22763.994140625</v>
      </c>
      <c r="T15" s="384">
        <v>3547.985107421875</v>
      </c>
      <c r="U15" s="384">
        <v>19471.30859375</v>
      </c>
      <c r="V15" s="384">
        <v>6043.857421875</v>
      </c>
      <c r="W15" s="384">
        <v>0</v>
      </c>
      <c r="X15" s="384">
        <v>94409.671875</v>
      </c>
      <c r="Y15" s="384">
        <v>6043.857421875</v>
      </c>
      <c r="Z15" s="384">
        <v>88365.8125</v>
      </c>
    </row>
    <row r="16" spans="1:32" ht="29" x14ac:dyDescent="0.35">
      <c r="A16" s="384" t="s">
        <v>193</v>
      </c>
      <c r="B16" s="384" t="s">
        <v>640</v>
      </c>
      <c r="C16" s="384">
        <v>1</v>
      </c>
      <c r="D16" s="384" t="s">
        <v>628</v>
      </c>
      <c r="E16" s="384">
        <v>4.5940356254577637</v>
      </c>
      <c r="F16" s="384">
        <v>4.3193239718675613E-2</v>
      </c>
      <c r="G16" s="384">
        <v>0</v>
      </c>
      <c r="H16" s="384">
        <v>4.1840052604675293</v>
      </c>
      <c r="I16" s="384">
        <v>0.16537842154502869</v>
      </c>
      <c r="J16" s="384">
        <v>20.621038436889648</v>
      </c>
      <c r="K16" s="384">
        <v>0.70275908708572388</v>
      </c>
      <c r="L16" s="384">
        <v>0</v>
      </c>
      <c r="M16" s="384">
        <v>30.310409545898438</v>
      </c>
      <c r="N16" s="384">
        <v>0.70275908708572388</v>
      </c>
      <c r="O16" s="384">
        <v>29.607650756835938</v>
      </c>
      <c r="P16" s="384">
        <v>251.95191955566406</v>
      </c>
      <c r="Q16" s="384">
        <v>571.09100341796875</v>
      </c>
      <c r="R16" s="384">
        <v>1390.30908203125</v>
      </c>
      <c r="S16" s="384">
        <v>236.13682556152344</v>
      </c>
      <c r="T16" s="384">
        <v>813.50469970703125</v>
      </c>
      <c r="U16" s="384">
        <v>806.69903564453125</v>
      </c>
      <c r="V16" s="384">
        <v>257.74526977539062</v>
      </c>
      <c r="W16" s="384">
        <v>9719.1427157054513</v>
      </c>
      <c r="X16" s="384">
        <v>14046.580078125</v>
      </c>
      <c r="Y16" s="384">
        <v>9976.8876953125</v>
      </c>
      <c r="Z16" s="384">
        <v>4069.692626953125</v>
      </c>
    </row>
    <row r="17" spans="1:26" ht="29" x14ac:dyDescent="0.35">
      <c r="A17" s="384" t="s">
        <v>194</v>
      </c>
      <c r="B17" s="384" t="s">
        <v>641</v>
      </c>
      <c r="C17" s="384">
        <v>1</v>
      </c>
      <c r="D17" s="384" t="s">
        <v>628</v>
      </c>
      <c r="E17" s="384">
        <v>10.115166664123535</v>
      </c>
      <c r="F17" s="384">
        <v>0.81202775239944458</v>
      </c>
      <c r="G17" s="384">
        <v>30.043575286865234</v>
      </c>
      <c r="H17" s="384">
        <v>495.80459594726562</v>
      </c>
      <c r="I17" s="384">
        <v>2.9355387687683105</v>
      </c>
      <c r="J17" s="384">
        <v>105.23258972167969</v>
      </c>
      <c r="K17" s="384">
        <v>-119.50957489013672</v>
      </c>
      <c r="L17" s="384">
        <v>173.17897033691406</v>
      </c>
      <c r="M17" s="384">
        <v>698.61285400390625</v>
      </c>
      <c r="N17" s="384">
        <v>53.669395446777344</v>
      </c>
      <c r="O17" s="384">
        <v>644.9434814453125</v>
      </c>
      <c r="P17" s="384">
        <v>280.58282470703125</v>
      </c>
      <c r="Q17" s="384">
        <v>37.391445159912109</v>
      </c>
      <c r="R17" s="384">
        <v>4024.92431640625</v>
      </c>
      <c r="S17" s="384">
        <v>250.26466369628906</v>
      </c>
      <c r="T17" s="384">
        <v>49.71417236328125</v>
      </c>
      <c r="U17" s="384">
        <v>854.17584228515625</v>
      </c>
      <c r="V17" s="384">
        <v>151.822998046875</v>
      </c>
      <c r="W17" s="384">
        <v>173.49442846796589</v>
      </c>
      <c r="X17" s="384">
        <v>5822.37060546875</v>
      </c>
      <c r="Y17" s="384">
        <v>325.31741333007812</v>
      </c>
      <c r="Z17" s="384">
        <v>5497.05322265625</v>
      </c>
    </row>
    <row r="18" spans="1:26" ht="29" x14ac:dyDescent="0.35">
      <c r="A18" s="384" t="s">
        <v>195</v>
      </c>
      <c r="B18" s="384" t="s">
        <v>642</v>
      </c>
      <c r="C18" s="384">
        <v>1</v>
      </c>
      <c r="D18" s="384" t="s">
        <v>628</v>
      </c>
      <c r="E18" s="384">
        <v>4.7871343791484833E-2</v>
      </c>
      <c r="F18" s="384">
        <v>0</v>
      </c>
      <c r="G18" s="384">
        <v>0</v>
      </c>
      <c r="H18" s="384">
        <v>2.0962755680084229</v>
      </c>
      <c r="I18" s="384">
        <v>3.1525135040283203E-2</v>
      </c>
      <c r="J18" s="384">
        <v>0</v>
      </c>
      <c r="K18" s="384">
        <v>6.6654539108276367</v>
      </c>
      <c r="L18" s="384">
        <v>43.883274078369141</v>
      </c>
      <c r="M18" s="384">
        <v>52.724399566650391</v>
      </c>
      <c r="N18" s="384">
        <v>50.548728942871094</v>
      </c>
      <c r="O18" s="384">
        <v>2.1756720542907715</v>
      </c>
      <c r="P18" s="384">
        <v>28.945442199707031</v>
      </c>
      <c r="Q18" s="384">
        <v>0.51375329494476318</v>
      </c>
      <c r="R18" s="384">
        <v>101.31894683837891</v>
      </c>
      <c r="S18" s="384">
        <v>63.660533905029297</v>
      </c>
      <c r="T18" s="384">
        <v>1.3042017221450806</v>
      </c>
      <c r="U18" s="384">
        <v>177.13670349121094</v>
      </c>
      <c r="V18" s="384">
        <v>15.147841453552246</v>
      </c>
      <c r="W18" s="384">
        <v>543.51145865838635</v>
      </c>
      <c r="X18" s="384">
        <v>558.6593017578125</v>
      </c>
      <c r="Y18" s="384">
        <v>558.6593017578125</v>
      </c>
      <c r="Z18" s="384">
        <v>0</v>
      </c>
    </row>
    <row r="19" spans="1:26" ht="29" x14ac:dyDescent="0.35">
      <c r="A19" s="384" t="s">
        <v>196</v>
      </c>
      <c r="B19" s="384" t="s">
        <v>643</v>
      </c>
      <c r="C19" s="384">
        <v>0</v>
      </c>
      <c r="D19" s="384" t="s">
        <v>628</v>
      </c>
      <c r="E19" s="384">
        <v>248.40657043457031</v>
      </c>
      <c r="F19" s="384">
        <v>0.13595947623252869</v>
      </c>
      <c r="G19" s="384">
        <v>0</v>
      </c>
      <c r="H19" s="384">
        <v>0.7599637508392334</v>
      </c>
      <c r="I19" s="384">
        <v>0.88654327392578125</v>
      </c>
      <c r="J19" s="384">
        <v>201.69258117675781</v>
      </c>
      <c r="K19" s="384">
        <v>56.652824401855469</v>
      </c>
      <c r="L19" s="384">
        <v>372.98455810546875</v>
      </c>
      <c r="M19" s="384">
        <v>881.51904296875</v>
      </c>
      <c r="N19" s="384">
        <v>429.63739013671875</v>
      </c>
      <c r="O19" s="384">
        <v>451.88162231445312</v>
      </c>
      <c r="P19" s="384">
        <v>10.633316040039062</v>
      </c>
      <c r="Q19" s="384">
        <v>79.547012329101562</v>
      </c>
      <c r="R19" s="384">
        <v>163.49212646484375</v>
      </c>
      <c r="S19" s="384">
        <v>0</v>
      </c>
      <c r="T19" s="384">
        <v>0</v>
      </c>
      <c r="U19" s="384">
        <v>83.211311340332031</v>
      </c>
      <c r="V19" s="384">
        <v>373.02725219726562</v>
      </c>
      <c r="W19" s="384">
        <v>4619.5591131688852</v>
      </c>
      <c r="X19" s="384">
        <v>5329.47021484375</v>
      </c>
      <c r="Y19" s="384">
        <v>4992.58642578125</v>
      </c>
      <c r="Z19" s="384">
        <v>336.88375854492188</v>
      </c>
    </row>
    <row r="20" spans="1:26" ht="29" x14ac:dyDescent="0.35">
      <c r="A20" s="384" t="s">
        <v>74</v>
      </c>
      <c r="B20" s="384" t="s">
        <v>644</v>
      </c>
      <c r="C20" s="384">
        <v>1</v>
      </c>
      <c r="D20" s="384" t="s">
        <v>628</v>
      </c>
      <c r="E20" s="384">
        <v>97.300460815429688</v>
      </c>
      <c r="F20" s="384">
        <v>13.230130195617676</v>
      </c>
      <c r="G20" s="384">
        <v>52.842098236083984</v>
      </c>
      <c r="H20" s="384">
        <v>1028.21923828125</v>
      </c>
      <c r="I20" s="384">
        <v>0.60105812549591064</v>
      </c>
      <c r="J20" s="384">
        <v>383.90408325195312</v>
      </c>
      <c r="K20" s="384">
        <v>201.77969360351562</v>
      </c>
      <c r="L20" s="384">
        <v>42.274868011474609</v>
      </c>
      <c r="M20" s="384">
        <v>1820.151611328125</v>
      </c>
      <c r="N20" s="384">
        <v>244.0545654296875</v>
      </c>
      <c r="O20" s="384">
        <v>1576.0970458984375</v>
      </c>
      <c r="P20" s="384">
        <v>1879.332275390625</v>
      </c>
      <c r="Q20" s="384">
        <v>192.02725219726562</v>
      </c>
      <c r="R20" s="384">
        <v>8487.0380859375</v>
      </c>
      <c r="S20" s="384">
        <v>11834.087890625</v>
      </c>
      <c r="T20" s="384">
        <v>683.5447998046875</v>
      </c>
      <c r="U20" s="384">
        <v>5363.59033203125</v>
      </c>
      <c r="V20" s="384">
        <v>1581.626708984375</v>
      </c>
      <c r="W20" s="384">
        <v>1609.900218702747</v>
      </c>
      <c r="X20" s="384">
        <v>31631.1484375</v>
      </c>
      <c r="Y20" s="384">
        <v>3191.52685546875</v>
      </c>
      <c r="Z20" s="384">
        <v>28439.62109375</v>
      </c>
    </row>
    <row r="21" spans="1:26" ht="29" x14ac:dyDescent="0.35">
      <c r="A21" s="384" t="s">
        <v>73</v>
      </c>
      <c r="B21" s="384" t="s">
        <v>645</v>
      </c>
      <c r="C21" s="384">
        <v>0</v>
      </c>
      <c r="D21" s="384" t="s">
        <v>628</v>
      </c>
      <c r="E21" s="384">
        <v>9.9828824996948242</v>
      </c>
      <c r="F21" s="384">
        <v>0</v>
      </c>
      <c r="G21" s="384">
        <v>0</v>
      </c>
      <c r="H21" s="384">
        <v>83.464958190917969</v>
      </c>
      <c r="I21" s="384">
        <v>1.6213408708572388</v>
      </c>
      <c r="J21" s="384">
        <v>182.78935241699219</v>
      </c>
      <c r="K21" s="384">
        <v>55.540904998779297</v>
      </c>
      <c r="L21" s="384">
        <v>365.6640625</v>
      </c>
      <c r="M21" s="384">
        <v>699.0634765625</v>
      </c>
      <c r="N21" s="384">
        <v>421.2049560546875</v>
      </c>
      <c r="O21" s="384">
        <v>277.8585205078125</v>
      </c>
      <c r="P21" s="384">
        <v>683.5186767578125</v>
      </c>
      <c r="Q21" s="384">
        <v>72.87957763671875</v>
      </c>
      <c r="R21" s="384">
        <v>7543.55517578125</v>
      </c>
      <c r="S21" s="384">
        <v>819.16131591796875</v>
      </c>
      <c r="T21" s="384">
        <v>284.3974609375</v>
      </c>
      <c r="U21" s="384">
        <v>1791.850341796875</v>
      </c>
      <c r="V21" s="384">
        <v>1196.1568603515625</v>
      </c>
      <c r="W21" s="384">
        <v>4528.8917381292258</v>
      </c>
      <c r="X21" s="384">
        <v>16920.41015625</v>
      </c>
      <c r="Y21" s="384">
        <v>5725.048828125</v>
      </c>
      <c r="Z21" s="384">
        <v>11195.3623046875</v>
      </c>
    </row>
    <row r="22" spans="1:26" ht="29" x14ac:dyDescent="0.35">
      <c r="A22" s="384" t="s">
        <v>197</v>
      </c>
      <c r="B22" s="384" t="s">
        <v>646</v>
      </c>
      <c r="C22" s="384">
        <v>0</v>
      </c>
      <c r="D22" s="384" t="s">
        <v>628</v>
      </c>
      <c r="E22" s="384">
        <v>10.963299751281738</v>
      </c>
      <c r="F22" s="384">
        <v>9.2953048646450043E-2</v>
      </c>
      <c r="G22" s="384">
        <v>0</v>
      </c>
      <c r="H22" s="384">
        <v>6.2598714828491211</v>
      </c>
      <c r="I22" s="384">
        <v>0.7694665789604187</v>
      </c>
      <c r="J22" s="384">
        <v>32.430370330810547</v>
      </c>
      <c r="K22" s="384">
        <v>60.398262023925781</v>
      </c>
      <c r="L22" s="384">
        <v>397.64337158203125</v>
      </c>
      <c r="M22" s="384">
        <v>508.55758666992188</v>
      </c>
      <c r="N22" s="384">
        <v>458.0416259765625</v>
      </c>
      <c r="O22" s="384">
        <v>50.515960693359375</v>
      </c>
      <c r="P22" s="384">
        <v>160.46946716308594</v>
      </c>
      <c r="Q22" s="384">
        <v>3.1559131145477295</v>
      </c>
      <c r="R22" s="384">
        <v>1739.03173828125</v>
      </c>
      <c r="S22" s="384">
        <v>220.93949890136719</v>
      </c>
      <c r="T22" s="384">
        <v>16.791597366333008</v>
      </c>
      <c r="U22" s="384">
        <v>1341.45947265625</v>
      </c>
      <c r="V22" s="384">
        <v>407.92709350585938</v>
      </c>
      <c r="W22" s="384">
        <v>4924.9679366531818</v>
      </c>
      <c r="X22" s="384">
        <v>8814.7421875</v>
      </c>
      <c r="Y22" s="384">
        <v>5332.89501953125</v>
      </c>
      <c r="Z22" s="384">
        <v>3481.84765625</v>
      </c>
    </row>
    <row r="23" spans="1:26" ht="29" x14ac:dyDescent="0.35">
      <c r="A23" s="384" t="s">
        <v>198</v>
      </c>
      <c r="B23" s="384" t="s">
        <v>647</v>
      </c>
      <c r="C23" s="384">
        <v>1</v>
      </c>
      <c r="D23" s="384" t="s">
        <v>628</v>
      </c>
      <c r="E23" s="384">
        <v>1.0541708469390869</v>
      </c>
      <c r="F23" s="384">
        <v>1.673504151403904E-2</v>
      </c>
      <c r="G23" s="384">
        <v>0</v>
      </c>
      <c r="H23" s="384">
        <v>8.3680105209350586</v>
      </c>
      <c r="I23" s="384">
        <v>6.5514735877513885E-2</v>
      </c>
      <c r="J23" s="384">
        <v>3.2546014785766602</v>
      </c>
      <c r="K23" s="384">
        <v>0</v>
      </c>
      <c r="L23" s="384">
        <v>8.5240592956542969</v>
      </c>
      <c r="M23" s="384">
        <v>21.283092498779297</v>
      </c>
      <c r="N23" s="384">
        <v>8.5240592956542969</v>
      </c>
      <c r="O23" s="384">
        <v>12.759032249450684</v>
      </c>
      <c r="P23" s="384">
        <v>62.415363311767578</v>
      </c>
      <c r="Q23" s="384">
        <v>10.298492431640625</v>
      </c>
      <c r="R23" s="384">
        <v>331.37750244140625</v>
      </c>
      <c r="S23" s="384">
        <v>44.401798248291016</v>
      </c>
      <c r="T23" s="384">
        <v>29.125476837158203</v>
      </c>
      <c r="U23" s="384">
        <v>146.22308349609375</v>
      </c>
      <c r="V23" s="384">
        <v>68.349105834960938</v>
      </c>
      <c r="W23" s="384">
        <v>90.159804983352842</v>
      </c>
      <c r="X23" s="384">
        <v>782.35064697265625</v>
      </c>
      <c r="Y23" s="384">
        <v>158.5089111328125</v>
      </c>
      <c r="Z23" s="384">
        <v>623.84173583984375</v>
      </c>
    </row>
    <row r="24" spans="1:26" ht="29" x14ac:dyDescent="0.35">
      <c r="A24" s="384" t="s">
        <v>81</v>
      </c>
      <c r="B24" s="384" t="s">
        <v>648</v>
      </c>
      <c r="C24" s="384">
        <v>0</v>
      </c>
      <c r="D24" s="384" t="s">
        <v>628</v>
      </c>
      <c r="E24" s="384">
        <v>128.86993408203125</v>
      </c>
      <c r="F24" s="384">
        <v>0.37673011422157288</v>
      </c>
      <c r="G24" s="384">
        <v>0</v>
      </c>
      <c r="H24" s="384">
        <v>257.69805908203125</v>
      </c>
      <c r="I24" s="384">
        <v>3.5218167304992676</v>
      </c>
      <c r="J24" s="384">
        <v>1485.9005126953125</v>
      </c>
      <c r="K24" s="384">
        <v>163.32450866699219</v>
      </c>
      <c r="L24" s="384">
        <v>1075.2777099609375</v>
      </c>
      <c r="M24" s="384">
        <v>3114.96923828125</v>
      </c>
      <c r="N24" s="384">
        <v>1238.6021728515625</v>
      </c>
      <c r="O24" s="384">
        <v>1876.3670654296875</v>
      </c>
      <c r="P24" s="384">
        <v>216.83689880371094</v>
      </c>
      <c r="Q24" s="384">
        <v>6.8302011489868164</v>
      </c>
      <c r="R24" s="384">
        <v>883.63409423828125</v>
      </c>
      <c r="S24" s="384">
        <v>306.13229370117188</v>
      </c>
      <c r="T24" s="384">
        <v>5.8008904457092285</v>
      </c>
      <c r="U24" s="384">
        <v>823.22406005859375</v>
      </c>
      <c r="V24" s="384">
        <v>634.6551513671875</v>
      </c>
      <c r="W24" s="384">
        <v>13317.73349075829</v>
      </c>
      <c r="X24" s="384">
        <v>16194.84765625</v>
      </c>
      <c r="Y24" s="384">
        <v>13952.388671875</v>
      </c>
      <c r="Z24" s="384">
        <v>2242.45849609375</v>
      </c>
    </row>
    <row r="25" spans="1:26" ht="29" x14ac:dyDescent="0.35">
      <c r="A25" s="384" t="s">
        <v>200</v>
      </c>
      <c r="B25" s="384" t="s">
        <v>649</v>
      </c>
      <c r="C25" s="384">
        <v>0</v>
      </c>
      <c r="D25" s="384" t="s">
        <v>628</v>
      </c>
      <c r="E25" s="384">
        <v>6.3527431488037109</v>
      </c>
      <c r="F25" s="384">
        <v>0.17225126922130585</v>
      </c>
      <c r="G25" s="384">
        <v>8.4001169204711914</v>
      </c>
      <c r="H25" s="384">
        <v>55.2955322265625</v>
      </c>
      <c r="I25" s="384">
        <v>2.0309062004089355</v>
      </c>
      <c r="J25" s="384">
        <v>219.15068054199219</v>
      </c>
      <c r="K25" s="384">
        <v>33.964630126953125</v>
      </c>
      <c r="L25" s="384">
        <v>223.61256408691406</v>
      </c>
      <c r="M25" s="384">
        <v>548.97943115234375</v>
      </c>
      <c r="N25" s="384">
        <v>257.57720947265625</v>
      </c>
      <c r="O25" s="384">
        <v>291.4022216796875</v>
      </c>
      <c r="P25" s="384">
        <v>329.57177734375</v>
      </c>
      <c r="Q25" s="384">
        <v>78.971214294433594</v>
      </c>
      <c r="R25" s="384">
        <v>2217.39013671875</v>
      </c>
      <c r="S25" s="384">
        <v>371.66519165039062</v>
      </c>
      <c r="T25" s="384">
        <v>872.266357421875</v>
      </c>
      <c r="U25" s="384">
        <v>946.8447265625</v>
      </c>
      <c r="V25" s="384">
        <v>265.75283813476562</v>
      </c>
      <c r="W25" s="384">
        <v>2769.5286318415506</v>
      </c>
      <c r="X25" s="384">
        <v>7851.9912109375</v>
      </c>
      <c r="Y25" s="384">
        <v>3035.281494140625</v>
      </c>
      <c r="Z25" s="384">
        <v>4816.70947265625</v>
      </c>
    </row>
    <row r="26" spans="1:26" ht="29" x14ac:dyDescent="0.35">
      <c r="A26" s="384" t="s">
        <v>199</v>
      </c>
      <c r="B26" s="384" t="s">
        <v>650</v>
      </c>
      <c r="C26" s="384">
        <v>0</v>
      </c>
      <c r="D26" s="384" t="s">
        <v>628</v>
      </c>
      <c r="E26" s="384">
        <v>4.9113130569458008</v>
      </c>
      <c r="F26" s="384">
        <v>0</v>
      </c>
      <c r="G26" s="384">
        <v>2.4348337650299072</v>
      </c>
      <c r="H26" s="384">
        <v>8.3464956283569336</v>
      </c>
      <c r="I26" s="384">
        <v>0.32248026132583618</v>
      </c>
      <c r="J26" s="384">
        <v>19.9639892578125</v>
      </c>
      <c r="K26" s="384">
        <v>23.244331359863281</v>
      </c>
      <c r="L26" s="384">
        <v>153.033447265625</v>
      </c>
      <c r="M26" s="384">
        <v>212.25688171386719</v>
      </c>
      <c r="N26" s="384">
        <v>176.27777099609375</v>
      </c>
      <c r="O26" s="384">
        <v>35.979110717773438</v>
      </c>
      <c r="P26" s="384">
        <v>74.140953063964844</v>
      </c>
      <c r="Q26" s="384">
        <v>1.541259765625</v>
      </c>
      <c r="R26" s="384">
        <v>347.69561767578125</v>
      </c>
      <c r="S26" s="384">
        <v>40.255928039550781</v>
      </c>
      <c r="T26" s="384">
        <v>376.91427612304688</v>
      </c>
      <c r="U26" s="384">
        <v>119.48553466796875</v>
      </c>
      <c r="V26" s="384">
        <v>156.99114990234375</v>
      </c>
      <c r="W26" s="384">
        <v>1895.3788119164919</v>
      </c>
      <c r="X26" s="384">
        <v>3012.4033203125</v>
      </c>
      <c r="Y26" s="384">
        <v>2052.369873046875</v>
      </c>
      <c r="Z26" s="384">
        <v>960.0335693359375</v>
      </c>
    </row>
    <row r="27" spans="1:26" ht="29" x14ac:dyDescent="0.35">
      <c r="A27" s="384" t="s">
        <v>201</v>
      </c>
      <c r="B27" s="384" t="s">
        <v>651</v>
      </c>
      <c r="C27" s="384">
        <v>1</v>
      </c>
      <c r="D27" s="384" t="s">
        <v>628</v>
      </c>
      <c r="E27" s="384">
        <v>88.729698181152344</v>
      </c>
      <c r="F27" s="384">
        <v>1.3928991556167603</v>
      </c>
      <c r="G27" s="384">
        <v>49.79193115234375</v>
      </c>
      <c r="H27" s="384">
        <v>183.05023193359375</v>
      </c>
      <c r="I27" s="384">
        <v>5.6626448631286621</v>
      </c>
      <c r="J27" s="384">
        <v>315.69775390625</v>
      </c>
      <c r="K27" s="384">
        <v>100.75807952880859</v>
      </c>
      <c r="L27" s="384">
        <v>11.82962703704834</v>
      </c>
      <c r="M27" s="384">
        <v>756.912841796875</v>
      </c>
      <c r="N27" s="384">
        <v>112.58770751953125</v>
      </c>
      <c r="O27" s="384">
        <v>644.32513427734375</v>
      </c>
      <c r="P27" s="384">
        <v>917.333984375</v>
      </c>
      <c r="Q27" s="384">
        <v>187.82864379882812</v>
      </c>
      <c r="R27" s="384">
        <v>3002.08349609375</v>
      </c>
      <c r="S27" s="384">
        <v>680.15478515625</v>
      </c>
      <c r="T27" s="384">
        <v>294.06686401367188</v>
      </c>
      <c r="U27" s="384">
        <v>2895.271484375</v>
      </c>
      <c r="V27" s="384">
        <v>382.490234375</v>
      </c>
      <c r="W27" s="384">
        <v>690.86003837243913</v>
      </c>
      <c r="X27" s="384">
        <v>9050.08984375</v>
      </c>
      <c r="Y27" s="384">
        <v>1073.3502197265625</v>
      </c>
      <c r="Z27" s="384">
        <v>7976.7392578125</v>
      </c>
    </row>
    <row r="28" spans="1:26" ht="29" x14ac:dyDescent="0.35">
      <c r="A28" s="384" t="s">
        <v>202</v>
      </c>
      <c r="B28" s="384" t="s">
        <v>652</v>
      </c>
      <c r="C28" s="384">
        <v>1</v>
      </c>
      <c r="D28" s="384" t="s">
        <v>628</v>
      </c>
      <c r="E28" s="384">
        <v>10.893256187438965</v>
      </c>
      <c r="F28" s="384">
        <v>0</v>
      </c>
      <c r="G28" s="384">
        <v>2.390671968460083</v>
      </c>
      <c r="H28" s="384">
        <v>229.07427978515625</v>
      </c>
      <c r="I28" s="384">
        <v>2.9842886924743652</v>
      </c>
      <c r="J28" s="384">
        <v>168.5670166015625</v>
      </c>
      <c r="K28" s="384">
        <v>3.9530196189880371</v>
      </c>
      <c r="L28" s="384">
        <v>6.9693927764892578</v>
      </c>
      <c r="M28" s="384">
        <v>424.83193969726562</v>
      </c>
      <c r="N28" s="384">
        <v>10.922412872314453</v>
      </c>
      <c r="O28" s="384">
        <v>413.90951538085938</v>
      </c>
      <c r="P28" s="384">
        <v>380.79095458984375</v>
      </c>
      <c r="Q28" s="384">
        <v>22.735902786254883</v>
      </c>
      <c r="R28" s="384">
        <v>1738.0914306640625</v>
      </c>
      <c r="S28" s="384">
        <v>508.60238647460938</v>
      </c>
      <c r="T28" s="384">
        <v>120.72007751464844</v>
      </c>
      <c r="U28" s="384">
        <v>939.85076904296875</v>
      </c>
      <c r="V28" s="384">
        <v>167.36280822753906</v>
      </c>
      <c r="W28" s="384">
        <v>242.67311995519267</v>
      </c>
      <c r="X28" s="384">
        <v>4120.82763671875</v>
      </c>
      <c r="Y28" s="384">
        <v>410.03591918945312</v>
      </c>
      <c r="Z28" s="384">
        <v>3710.79150390625</v>
      </c>
    </row>
    <row r="29" spans="1:26" ht="29" x14ac:dyDescent="0.35">
      <c r="A29" s="384" t="s">
        <v>203</v>
      </c>
      <c r="B29" s="384" t="s">
        <v>653</v>
      </c>
      <c r="C29" s="384">
        <v>1</v>
      </c>
      <c r="D29" s="384" t="s">
        <v>628</v>
      </c>
      <c r="E29" s="384">
        <v>8.0297069549560547</v>
      </c>
      <c r="F29" s="384">
        <v>0.16699624061584473</v>
      </c>
      <c r="G29" s="384">
        <v>9.7461175918579102</v>
      </c>
      <c r="H29" s="384">
        <v>33.472042083740234</v>
      </c>
      <c r="I29" s="384">
        <v>0.64149141311645508</v>
      </c>
      <c r="J29" s="384">
        <v>65.302391052246094</v>
      </c>
      <c r="K29" s="384">
        <v>-29.296867370605469</v>
      </c>
      <c r="L29" s="384">
        <v>40.801338195800781</v>
      </c>
      <c r="M29" s="384">
        <v>128.86322021484375</v>
      </c>
      <c r="N29" s="384">
        <v>11.504470825195312</v>
      </c>
      <c r="O29" s="384">
        <v>117.35874176025391</v>
      </c>
      <c r="P29" s="384">
        <v>207.86032104492188</v>
      </c>
      <c r="Q29" s="384">
        <v>45.947116851806641</v>
      </c>
      <c r="R29" s="384">
        <v>183.73406982421875</v>
      </c>
      <c r="S29" s="384">
        <v>153.38801574707031</v>
      </c>
      <c r="T29" s="384">
        <v>36.35662841796875</v>
      </c>
      <c r="U29" s="384">
        <v>297.11935424804688</v>
      </c>
      <c r="V29" s="384">
        <v>223.6593017578125</v>
      </c>
      <c r="W29" s="384">
        <v>34.462953493636739</v>
      </c>
      <c r="X29" s="384">
        <v>1182.52783203125</v>
      </c>
      <c r="Y29" s="384">
        <v>258.12225341796875</v>
      </c>
      <c r="Z29" s="384">
        <v>924.405517578125</v>
      </c>
    </row>
    <row r="30" spans="1:26" ht="29" x14ac:dyDescent="0.35">
      <c r="A30" s="384" t="s">
        <v>204</v>
      </c>
      <c r="B30" s="384" t="s">
        <v>654</v>
      </c>
      <c r="C30" s="384">
        <v>1</v>
      </c>
      <c r="D30" s="384" t="s">
        <v>628</v>
      </c>
      <c r="E30" s="384">
        <v>0.65083664655685425</v>
      </c>
      <c r="F30" s="384">
        <v>1.791483536362648E-2</v>
      </c>
      <c r="G30" s="384">
        <v>0.41218483448028564</v>
      </c>
      <c r="H30" s="384">
        <v>9.4140110015869141</v>
      </c>
      <c r="I30" s="384">
        <v>7.1777597069740295E-2</v>
      </c>
      <c r="J30" s="384">
        <v>3.6120693683624268</v>
      </c>
      <c r="K30" s="384">
        <v>2.5475015640258789</v>
      </c>
      <c r="L30" s="384">
        <v>0</v>
      </c>
      <c r="M30" s="384">
        <v>16.726295471191406</v>
      </c>
      <c r="N30" s="384">
        <v>2.5475015640258789</v>
      </c>
      <c r="O30" s="384">
        <v>14.178793907165527</v>
      </c>
      <c r="P30" s="384">
        <v>81.311752319335938</v>
      </c>
      <c r="Q30" s="384">
        <v>7.8426971435546875</v>
      </c>
      <c r="R30" s="384">
        <v>393.71585083007812</v>
      </c>
      <c r="S30" s="384">
        <v>42.383533477783203</v>
      </c>
      <c r="T30" s="384">
        <v>23.802545547485352</v>
      </c>
      <c r="U30" s="384">
        <v>148.25491333007812</v>
      </c>
      <c r="V30" s="384">
        <v>43.953998565673828</v>
      </c>
      <c r="W30" s="384">
        <v>142.57045797367567</v>
      </c>
      <c r="X30" s="384">
        <v>883.83575439453125</v>
      </c>
      <c r="Y30" s="384">
        <v>186.52445983886719</v>
      </c>
      <c r="Z30" s="384">
        <v>697.311279296875</v>
      </c>
    </row>
    <row r="31" spans="1:26" ht="29" x14ac:dyDescent="0.35">
      <c r="A31" s="384" t="s">
        <v>205</v>
      </c>
      <c r="B31" s="384" t="s">
        <v>655</v>
      </c>
      <c r="C31" s="384">
        <v>1</v>
      </c>
      <c r="D31" s="384" t="s">
        <v>628</v>
      </c>
      <c r="E31" s="384">
        <v>39.682575225830078</v>
      </c>
      <c r="F31" s="384">
        <v>1.5299324989318848</v>
      </c>
      <c r="G31" s="384">
        <v>76.7451171875</v>
      </c>
      <c r="H31" s="384">
        <v>715.46490478515625</v>
      </c>
      <c r="I31" s="384">
        <v>11.787627220153809</v>
      </c>
      <c r="J31" s="384">
        <v>201.69578552246094</v>
      </c>
      <c r="K31" s="384">
        <v>22.839670181274414</v>
      </c>
      <c r="L31" s="384">
        <v>206.79269409179688</v>
      </c>
      <c r="M31" s="384">
        <v>1276.5382080078125</v>
      </c>
      <c r="N31" s="384">
        <v>229.63236999511719</v>
      </c>
      <c r="O31" s="384">
        <v>1046.9058837890625</v>
      </c>
      <c r="P31" s="384">
        <v>1394.8974609375</v>
      </c>
      <c r="Q31" s="384">
        <v>94.508468627929688</v>
      </c>
      <c r="R31" s="384">
        <v>4950.9765625</v>
      </c>
      <c r="S31" s="384">
        <v>2648.970703125</v>
      </c>
      <c r="T31" s="384">
        <v>905.70184326171875</v>
      </c>
      <c r="U31" s="384">
        <v>4239.79248046875</v>
      </c>
      <c r="V31" s="384">
        <v>449.9033203125</v>
      </c>
      <c r="W31" s="384">
        <v>1291.476010261541</v>
      </c>
      <c r="X31" s="384">
        <v>15976.2265625</v>
      </c>
      <c r="Y31" s="384">
        <v>1741.3792724609375</v>
      </c>
      <c r="Z31" s="384">
        <v>14234.84765625</v>
      </c>
    </row>
    <row r="32" spans="1:26" ht="29" x14ac:dyDescent="0.35">
      <c r="A32" s="384" t="s">
        <v>206</v>
      </c>
      <c r="B32" s="384" t="s">
        <v>656</v>
      </c>
      <c r="C32" s="384">
        <v>0</v>
      </c>
      <c r="D32" s="384" t="s">
        <v>628</v>
      </c>
      <c r="E32" s="384">
        <v>11.981105804443359</v>
      </c>
      <c r="F32" s="384">
        <v>0</v>
      </c>
      <c r="G32" s="384">
        <v>8.7080707550048828</v>
      </c>
      <c r="H32" s="384">
        <v>11.476431846618652</v>
      </c>
      <c r="I32" s="384">
        <v>1.3881407976150513</v>
      </c>
      <c r="J32" s="384">
        <v>91.857841491699219</v>
      </c>
      <c r="K32" s="384">
        <v>20.999200820922852</v>
      </c>
      <c r="L32" s="384">
        <v>138.252197265625</v>
      </c>
      <c r="M32" s="384">
        <v>284.66299438476562</v>
      </c>
      <c r="N32" s="384">
        <v>159.25140380859375</v>
      </c>
      <c r="O32" s="384">
        <v>125.41159057617188</v>
      </c>
      <c r="P32" s="384">
        <v>399.14239501953125</v>
      </c>
      <c r="Q32" s="384">
        <v>5.1375327110290527</v>
      </c>
      <c r="R32" s="384">
        <v>1281.15869140625</v>
      </c>
      <c r="S32" s="384">
        <v>183.49212646484375</v>
      </c>
      <c r="T32" s="384">
        <v>67.900001525878906</v>
      </c>
      <c r="U32" s="384">
        <v>677.0526123046875</v>
      </c>
      <c r="V32" s="384">
        <v>281.75381469726562</v>
      </c>
      <c r="W32" s="384">
        <v>1712.3073938148507</v>
      </c>
      <c r="X32" s="384">
        <v>4607.9443359375</v>
      </c>
      <c r="Y32" s="384">
        <v>1994.0611572265625</v>
      </c>
      <c r="Z32" s="384">
        <v>2613.88330078125</v>
      </c>
    </row>
    <row r="33" spans="1:26" ht="29" x14ac:dyDescent="0.35">
      <c r="A33" s="384" t="s">
        <v>67</v>
      </c>
      <c r="B33" s="384" t="s">
        <v>80</v>
      </c>
      <c r="C33" s="384">
        <v>0</v>
      </c>
      <c r="D33" s="384" t="s">
        <v>628</v>
      </c>
      <c r="E33" s="384">
        <v>798.08831787109375</v>
      </c>
      <c r="F33" s="384">
        <v>5.2096257209777832</v>
      </c>
      <c r="G33" s="384">
        <v>193.30514526367188</v>
      </c>
      <c r="H33" s="384">
        <v>4952.6015625</v>
      </c>
      <c r="I33" s="384">
        <v>55.456405639648438</v>
      </c>
      <c r="J33" s="384">
        <v>3376.689697265625</v>
      </c>
      <c r="K33" s="384">
        <v>1295.0301513671875</v>
      </c>
      <c r="L33" s="384">
        <v>8526.0751953125</v>
      </c>
      <c r="M33" s="384">
        <v>19202.45703125</v>
      </c>
      <c r="N33" s="384">
        <v>9821.10546875</v>
      </c>
      <c r="O33" s="384">
        <v>9381.3505859375</v>
      </c>
      <c r="P33" s="384">
        <v>7108.89892578125</v>
      </c>
      <c r="Q33" s="384">
        <v>2635.114013671875</v>
      </c>
      <c r="R33" s="384">
        <v>23481.634765625</v>
      </c>
      <c r="S33" s="384">
        <v>5453.27392578125</v>
      </c>
      <c r="T33" s="384">
        <v>554.28570556640625</v>
      </c>
      <c r="U33" s="384">
        <v>14001.4931640625</v>
      </c>
      <c r="V33" s="384">
        <v>12377.884765625</v>
      </c>
      <c r="W33" s="384">
        <v>105598.76723966211</v>
      </c>
      <c r="X33" s="384">
        <v>171211.34375</v>
      </c>
      <c r="Y33" s="384">
        <v>117976.6484375</v>
      </c>
      <c r="Z33" s="384">
        <v>53234.69921875</v>
      </c>
    </row>
    <row r="34" spans="1:26" ht="34" x14ac:dyDescent="0.4">
      <c r="A34" s="392" t="s">
        <v>912</v>
      </c>
      <c r="B34" s="384"/>
      <c r="C34" s="384"/>
      <c r="D34" s="384"/>
      <c r="E34" s="384"/>
      <c r="F34" s="384"/>
      <c r="G34" s="384"/>
      <c r="H34" s="384"/>
      <c r="I34" s="384"/>
      <c r="J34" s="384"/>
      <c r="K34" s="384"/>
      <c r="L34" s="384"/>
      <c r="M34" s="384"/>
      <c r="N34" s="384"/>
      <c r="O34" s="384"/>
      <c r="P34" s="384"/>
      <c r="Q34" s="384"/>
      <c r="R34" s="384"/>
      <c r="S34" s="384"/>
      <c r="T34" s="384"/>
      <c r="U34" s="384"/>
      <c r="V34" s="384"/>
      <c r="W34" s="384"/>
      <c r="X34" s="384"/>
      <c r="Y34" s="384"/>
      <c r="Z34" s="384"/>
    </row>
    <row r="35" spans="1:26" ht="29" x14ac:dyDescent="0.35">
      <c r="A35" s="384" t="s">
        <v>65</v>
      </c>
      <c r="B35" s="384" t="s">
        <v>658</v>
      </c>
      <c r="C35" s="384">
        <v>1</v>
      </c>
      <c r="D35" s="384" t="s">
        <v>659</v>
      </c>
      <c r="E35" s="384">
        <v>0</v>
      </c>
      <c r="F35" s="384">
        <v>0.2839716374874115</v>
      </c>
      <c r="G35" s="384">
        <v>490.49993896484375</v>
      </c>
      <c r="H35" s="384">
        <v>1703.9361572265625</v>
      </c>
      <c r="I35" s="384">
        <v>1.6451504230499268</v>
      </c>
      <c r="J35" s="384">
        <v>336.15966796875</v>
      </c>
      <c r="K35" s="384">
        <v>-377.05474853515625</v>
      </c>
      <c r="L35" s="384">
        <v>72.444999694824219</v>
      </c>
      <c r="M35" s="384">
        <v>2227.9150390625</v>
      </c>
      <c r="N35" s="384">
        <v>-304.6097412109375</v>
      </c>
      <c r="O35" s="384">
        <v>2532.52490234375</v>
      </c>
      <c r="P35" s="384">
        <v>0</v>
      </c>
      <c r="Q35" s="384">
        <v>25.746231079101562</v>
      </c>
      <c r="R35" s="384">
        <v>3883.843017578125</v>
      </c>
      <c r="S35" s="384">
        <v>6331.29248046875</v>
      </c>
      <c r="T35" s="384">
        <v>82.455223083496094</v>
      </c>
      <c r="U35" s="384">
        <v>12232.7578125</v>
      </c>
      <c r="V35" s="384">
        <v>884.3060302734375</v>
      </c>
      <c r="W35" s="384">
        <v>2236.3002095870879</v>
      </c>
      <c r="X35" s="384">
        <v>25676.701171875</v>
      </c>
      <c r="Y35" s="384">
        <v>3120.606201171875</v>
      </c>
      <c r="Z35" s="384">
        <v>22556.095703125</v>
      </c>
    </row>
    <row r="36" spans="1:26" ht="29" x14ac:dyDescent="0.35">
      <c r="A36" s="384" t="s">
        <v>61</v>
      </c>
      <c r="B36" s="384" t="s">
        <v>660</v>
      </c>
      <c r="C36" s="384">
        <v>0</v>
      </c>
      <c r="D36" s="384" t="s">
        <v>659</v>
      </c>
      <c r="E36" s="384">
        <v>116.07383728027344</v>
      </c>
      <c r="F36" s="384">
        <v>0.15968266129493713</v>
      </c>
      <c r="G36" s="384">
        <v>13.352577209472656</v>
      </c>
      <c r="H36" s="384">
        <v>2379.79443359375</v>
      </c>
      <c r="I36" s="384">
        <v>2.2511496543884277</v>
      </c>
      <c r="J36" s="384">
        <v>1310.97314453125</v>
      </c>
      <c r="K36" s="384">
        <v>292.13284301757812</v>
      </c>
      <c r="L36" s="384">
        <v>1923.311767578125</v>
      </c>
      <c r="M36" s="384">
        <v>6038.04931640625</v>
      </c>
      <c r="N36" s="384">
        <v>2215.444580078125</v>
      </c>
      <c r="O36" s="384">
        <v>3822.604736328125</v>
      </c>
      <c r="P36" s="384">
        <v>4250.40966796875</v>
      </c>
      <c r="Q36" s="384">
        <v>180.10722351074219</v>
      </c>
      <c r="R36" s="384">
        <v>3573.292236328125</v>
      </c>
      <c r="S36" s="384">
        <v>6966.1474609375</v>
      </c>
      <c r="T36" s="384">
        <v>787.8193359375</v>
      </c>
      <c r="U36" s="384">
        <v>9428.8271484375</v>
      </c>
      <c r="V36" s="384">
        <v>0</v>
      </c>
      <c r="W36" s="384">
        <v>23820.96530003408</v>
      </c>
      <c r="X36" s="384">
        <v>49007.5703125</v>
      </c>
      <c r="Y36" s="384">
        <v>23820.96484375</v>
      </c>
      <c r="Z36" s="384">
        <v>25186.603515625</v>
      </c>
    </row>
    <row r="37" spans="1:26" ht="29" x14ac:dyDescent="0.35">
      <c r="A37" s="384" t="s">
        <v>59</v>
      </c>
      <c r="B37" s="384" t="s">
        <v>661</v>
      </c>
      <c r="C37" s="384">
        <v>1</v>
      </c>
      <c r="D37" s="384" t="s">
        <v>659</v>
      </c>
      <c r="E37" s="384">
        <v>305.78924560546875</v>
      </c>
      <c r="F37" s="384">
        <v>9.1196212768554688</v>
      </c>
      <c r="G37" s="384">
        <v>0</v>
      </c>
      <c r="H37" s="384">
        <v>2554.3349609375</v>
      </c>
      <c r="I37" s="384">
        <v>37.229610443115234</v>
      </c>
      <c r="J37" s="384">
        <v>2287.83447265625</v>
      </c>
      <c r="K37" s="384">
        <v>0</v>
      </c>
      <c r="L37" s="384">
        <v>773.8052978515625</v>
      </c>
      <c r="M37" s="384">
        <v>5968.11328125</v>
      </c>
      <c r="N37" s="384">
        <v>773.8052978515625</v>
      </c>
      <c r="O37" s="384">
        <v>5194.30810546875</v>
      </c>
      <c r="P37" s="384">
        <v>4583.234375</v>
      </c>
      <c r="Q37" s="384">
        <v>1406.06103515625</v>
      </c>
      <c r="R37" s="384">
        <v>0</v>
      </c>
      <c r="S37" s="384">
        <v>2008.172119140625</v>
      </c>
      <c r="T37" s="384">
        <v>389.87966918945312</v>
      </c>
      <c r="U37" s="384">
        <v>14841.611328125</v>
      </c>
      <c r="V37" s="384">
        <v>1585.9578857421875</v>
      </c>
      <c r="W37" s="384">
        <v>13356.290362533888</v>
      </c>
      <c r="X37" s="384">
        <v>38171.20703125</v>
      </c>
      <c r="Y37" s="384">
        <v>14942.248046875</v>
      </c>
      <c r="Z37" s="384">
        <v>23228.958984375</v>
      </c>
    </row>
    <row r="38" spans="1:26" ht="29" x14ac:dyDescent="0.35">
      <c r="A38" s="384" t="s">
        <v>60</v>
      </c>
      <c r="B38" s="384" t="s">
        <v>662</v>
      </c>
      <c r="C38" s="384">
        <v>1</v>
      </c>
      <c r="D38" s="384" t="s">
        <v>659</v>
      </c>
      <c r="E38" s="384">
        <v>184.07197570800781</v>
      </c>
      <c r="F38" s="384">
        <v>2.3917191028594971</v>
      </c>
      <c r="G38" s="384">
        <v>1042.82763671875</v>
      </c>
      <c r="H38" s="384">
        <v>0</v>
      </c>
      <c r="I38" s="384">
        <v>9.7388067245483398</v>
      </c>
      <c r="J38" s="384">
        <v>368.31405639648438</v>
      </c>
      <c r="K38" s="384">
        <v>1294.8336181640625</v>
      </c>
      <c r="L38" s="384">
        <v>9108.8134765625</v>
      </c>
      <c r="M38" s="384">
        <v>12010.9921875</v>
      </c>
      <c r="N38" s="384">
        <v>10403.6474609375</v>
      </c>
      <c r="O38" s="384">
        <v>1607.34423828125</v>
      </c>
      <c r="P38" s="384">
        <v>3745.494384765625</v>
      </c>
      <c r="Q38" s="384">
        <v>139.18807983398438</v>
      </c>
      <c r="R38" s="384">
        <v>2126.885986328125</v>
      </c>
      <c r="S38" s="384">
        <v>0</v>
      </c>
      <c r="T38" s="384">
        <v>185.70001220703125</v>
      </c>
      <c r="U38" s="384">
        <v>2995.3046875</v>
      </c>
      <c r="V38" s="384">
        <v>1989.7916259765625</v>
      </c>
      <c r="W38" s="384">
        <v>8636.8037484052948</v>
      </c>
      <c r="X38" s="384">
        <v>19819.16796875</v>
      </c>
      <c r="Y38" s="384">
        <v>10626.595703125</v>
      </c>
      <c r="Z38" s="384">
        <v>9192.5732421875</v>
      </c>
    </row>
    <row r="39" spans="1:26" ht="29" x14ac:dyDescent="0.35">
      <c r="A39" s="384" t="s">
        <v>221</v>
      </c>
      <c r="B39" s="384" t="s">
        <v>663</v>
      </c>
      <c r="C39" s="384">
        <v>1</v>
      </c>
      <c r="D39" s="384" t="s">
        <v>659</v>
      </c>
      <c r="E39" s="384">
        <v>284.41177368164062</v>
      </c>
      <c r="F39" s="384">
        <v>4.5089511871337891</v>
      </c>
      <c r="G39" s="384">
        <v>1115.3721923828125</v>
      </c>
      <c r="H39" s="384">
        <v>2321.07666015625</v>
      </c>
      <c r="I39" s="384">
        <v>23.630508422851562</v>
      </c>
      <c r="J39" s="384">
        <v>0</v>
      </c>
      <c r="K39" s="384">
        <v>925.006591796875</v>
      </c>
      <c r="L39" s="384">
        <v>5147.26318359375</v>
      </c>
      <c r="M39" s="384">
        <v>9821.26953125</v>
      </c>
      <c r="N39" s="384">
        <v>6072.26953125</v>
      </c>
      <c r="O39" s="384">
        <v>3749</v>
      </c>
      <c r="P39" s="384">
        <v>10136.4833984375</v>
      </c>
      <c r="Q39" s="384">
        <v>299.60690307617188</v>
      </c>
      <c r="R39" s="384">
        <v>11188.9130859375</v>
      </c>
      <c r="S39" s="384">
        <v>4527.97412109375</v>
      </c>
      <c r="T39" s="384">
        <v>2565.151123046875</v>
      </c>
      <c r="U39" s="384">
        <v>0</v>
      </c>
      <c r="V39" s="384">
        <v>1550.13232421875</v>
      </c>
      <c r="W39" s="384">
        <v>7845.8410480513385</v>
      </c>
      <c r="X39" s="384">
        <v>38114.1015625</v>
      </c>
      <c r="Y39" s="384">
        <v>9395.9736328125</v>
      </c>
      <c r="Z39" s="384">
        <v>28718.12890625</v>
      </c>
    </row>
    <row r="40" spans="1:26" ht="34" x14ac:dyDescent="0.4">
      <c r="A40" s="392" t="s">
        <v>913</v>
      </c>
      <c r="B40" s="384"/>
      <c r="C40" s="384"/>
      <c r="D40" s="384"/>
      <c r="E40" s="384"/>
      <c r="F40" s="384"/>
      <c r="G40" s="384"/>
      <c r="H40" s="384"/>
      <c r="I40" s="384"/>
      <c r="J40" s="384"/>
      <c r="K40" s="384"/>
      <c r="L40" s="384"/>
      <c r="M40" s="384"/>
      <c r="N40" s="384"/>
      <c r="O40" s="384"/>
      <c r="P40" s="384"/>
      <c r="Q40" s="384"/>
      <c r="R40" s="384"/>
      <c r="S40" s="384"/>
      <c r="T40" s="384"/>
      <c r="U40" s="384"/>
      <c r="V40" s="384"/>
      <c r="W40" s="384"/>
      <c r="X40" s="384"/>
      <c r="Y40" s="384"/>
      <c r="Z40" s="384"/>
    </row>
    <row r="41" spans="1:26" ht="29" x14ac:dyDescent="0.35">
      <c r="A41" s="384" t="s">
        <v>83</v>
      </c>
      <c r="B41" s="384" t="s">
        <v>665</v>
      </c>
      <c r="C41" s="384">
        <v>0</v>
      </c>
      <c r="D41" s="384" t="s">
        <v>666</v>
      </c>
      <c r="E41" s="384">
        <v>133.93768310546875</v>
      </c>
      <c r="F41" s="384">
        <v>0</v>
      </c>
      <c r="G41" s="384">
        <v>82.488914489746094</v>
      </c>
      <c r="H41" s="384">
        <v>1084.0010986328125</v>
      </c>
      <c r="I41" s="384">
        <v>8.5464906692504883</v>
      </c>
      <c r="J41" s="384">
        <v>6848.5068359375</v>
      </c>
      <c r="K41" s="384">
        <v>152.21711730957031</v>
      </c>
      <c r="L41" s="384">
        <v>1002.150146484375</v>
      </c>
      <c r="M41" s="384">
        <v>9311.8486328125</v>
      </c>
      <c r="N41" s="384">
        <v>1154.3673095703125</v>
      </c>
      <c r="O41" s="384">
        <v>8157.48095703125</v>
      </c>
      <c r="P41" s="384">
        <v>152.85224914550781</v>
      </c>
      <c r="Q41" s="384">
        <v>14.45848560333252</v>
      </c>
      <c r="R41" s="384">
        <v>607.9136962890625</v>
      </c>
      <c r="S41" s="384">
        <v>263.06781005859375</v>
      </c>
      <c r="T41" s="384">
        <v>23.23109245300293</v>
      </c>
      <c r="U41" s="384">
        <v>856.0645751953125</v>
      </c>
      <c r="V41" s="384">
        <v>378.9857177734375</v>
      </c>
      <c r="W41" s="384">
        <v>12412.019488962806</v>
      </c>
      <c r="X41" s="384">
        <v>14708.5927734375</v>
      </c>
      <c r="Y41" s="384">
        <v>12791.0048828125</v>
      </c>
      <c r="Z41" s="384">
        <v>1917.587890625</v>
      </c>
    </row>
    <row r="42" spans="1:26" ht="29" x14ac:dyDescent="0.35">
      <c r="A42" s="384" t="s">
        <v>208</v>
      </c>
      <c r="B42" s="384" t="s">
        <v>667</v>
      </c>
      <c r="C42" s="384">
        <v>0</v>
      </c>
      <c r="D42" s="384" t="s">
        <v>666</v>
      </c>
      <c r="E42" s="384">
        <v>26.960542678833008</v>
      </c>
      <c r="F42" s="384">
        <v>0</v>
      </c>
      <c r="G42" s="384">
        <v>0.3383009135723114</v>
      </c>
      <c r="H42" s="384">
        <v>57.382156372070312</v>
      </c>
      <c r="I42" s="384">
        <v>1.121761679649353</v>
      </c>
      <c r="J42" s="384">
        <v>335.11380004882812</v>
      </c>
      <c r="K42" s="384">
        <v>879.60296630859375</v>
      </c>
      <c r="L42" s="384">
        <v>5791.0322265625</v>
      </c>
      <c r="M42" s="384">
        <v>7091.5517578125</v>
      </c>
      <c r="N42" s="384">
        <v>6670.63525390625</v>
      </c>
      <c r="O42" s="384">
        <v>420.91656494140625</v>
      </c>
      <c r="P42" s="384">
        <v>882.58209228515625</v>
      </c>
      <c r="Q42" s="384">
        <v>43.669029235839844</v>
      </c>
      <c r="R42" s="384">
        <v>5461.25732421875</v>
      </c>
      <c r="S42" s="384">
        <v>1284.4449462890625</v>
      </c>
      <c r="T42" s="384">
        <v>40.104202270507812</v>
      </c>
      <c r="U42" s="384">
        <v>1597.2115478515625</v>
      </c>
      <c r="V42" s="384">
        <v>1593.8597412109375</v>
      </c>
      <c r="W42" s="384">
        <v>71724.190176181641</v>
      </c>
      <c r="X42" s="384">
        <v>82627.3125</v>
      </c>
      <c r="Y42" s="384">
        <v>73318.046875</v>
      </c>
      <c r="Z42" s="384">
        <v>9309.26953125</v>
      </c>
    </row>
    <row r="43" spans="1:26" ht="29" x14ac:dyDescent="0.35">
      <c r="A43" s="384" t="s">
        <v>209</v>
      </c>
      <c r="B43" s="384" t="s">
        <v>668</v>
      </c>
      <c r="C43" s="384">
        <v>0</v>
      </c>
      <c r="D43" s="384" t="s">
        <v>666</v>
      </c>
      <c r="E43" s="384">
        <v>50.299835205078125</v>
      </c>
      <c r="F43" s="384">
        <v>2.7530428022146225E-2</v>
      </c>
      <c r="G43" s="384">
        <v>0</v>
      </c>
      <c r="H43" s="384">
        <v>0.15388502180576324</v>
      </c>
      <c r="I43" s="384">
        <v>0.17951610684394836</v>
      </c>
      <c r="J43" s="384">
        <v>40.840721130371094</v>
      </c>
      <c r="K43" s="384">
        <v>11.471628189086914</v>
      </c>
      <c r="L43" s="384">
        <v>75.525627136230469</v>
      </c>
      <c r="M43" s="384">
        <v>178.49874877929688</v>
      </c>
      <c r="N43" s="384">
        <v>86.99725341796875</v>
      </c>
      <c r="O43" s="384">
        <v>91.501487731933594</v>
      </c>
      <c r="P43" s="384">
        <v>2.153139591217041</v>
      </c>
      <c r="Q43" s="384">
        <v>16.107471466064453</v>
      </c>
      <c r="R43" s="384">
        <v>33.105514526367188</v>
      </c>
      <c r="S43" s="384">
        <v>0</v>
      </c>
      <c r="T43" s="384">
        <v>0</v>
      </c>
      <c r="U43" s="384">
        <v>16.849454879760742</v>
      </c>
      <c r="V43" s="384">
        <v>77.478843688964844</v>
      </c>
      <c r="W43" s="384">
        <v>935.41433012713401</v>
      </c>
      <c r="X43" s="384">
        <v>1081.1087646484375</v>
      </c>
      <c r="Y43" s="384">
        <v>1012.8931884765625</v>
      </c>
      <c r="Z43" s="384">
        <v>68.215583801269531</v>
      </c>
    </row>
    <row r="44" spans="1:26" ht="29" x14ac:dyDescent="0.35">
      <c r="A44" s="384" t="s">
        <v>210</v>
      </c>
      <c r="B44" s="384" t="s">
        <v>669</v>
      </c>
      <c r="C44" s="384">
        <v>0</v>
      </c>
      <c r="D44" s="384" t="s">
        <v>666</v>
      </c>
      <c r="E44" s="384">
        <v>56.844364166259766</v>
      </c>
      <c r="F44" s="384">
        <v>3.1112421303987503E-2</v>
      </c>
      <c r="G44" s="384">
        <v>0</v>
      </c>
      <c r="H44" s="384">
        <v>0.17390705645084381</v>
      </c>
      <c r="I44" s="384">
        <v>0.20287300646305084</v>
      </c>
      <c r="J44" s="384">
        <v>46.154525756835938</v>
      </c>
      <c r="K44" s="384">
        <v>12.964205741882324</v>
      </c>
      <c r="L44" s="384">
        <v>85.352294921875</v>
      </c>
      <c r="M44" s="384">
        <v>201.72328186035156</v>
      </c>
      <c r="N44" s="384">
        <v>98.316497802734375</v>
      </c>
      <c r="O44" s="384">
        <v>103.40678405761719</v>
      </c>
      <c r="P44" s="384">
        <v>2.4332854747772217</v>
      </c>
      <c r="Q44" s="384">
        <v>18.203220367431641</v>
      </c>
      <c r="R44" s="384">
        <v>37.412883758544922</v>
      </c>
      <c r="S44" s="384">
        <v>0</v>
      </c>
      <c r="T44" s="384">
        <v>0</v>
      </c>
      <c r="U44" s="384">
        <v>19.041744232177734</v>
      </c>
      <c r="V44" s="384">
        <v>87.559646606445312</v>
      </c>
      <c r="W44" s="384">
        <v>1057.1214559685639</v>
      </c>
      <c r="X44" s="384">
        <v>1221.7723388671875</v>
      </c>
      <c r="Y44" s="384">
        <v>1144.68115234375</v>
      </c>
      <c r="Z44" s="384">
        <v>77.091133117675781</v>
      </c>
    </row>
    <row r="45" spans="1:26" ht="29" x14ac:dyDescent="0.35">
      <c r="A45" s="384" t="s">
        <v>84</v>
      </c>
      <c r="B45" s="384" t="s">
        <v>670</v>
      </c>
      <c r="C45" s="384">
        <v>0</v>
      </c>
      <c r="D45" s="384" t="s">
        <v>666</v>
      </c>
      <c r="E45" s="384">
        <v>23.635757446289062</v>
      </c>
      <c r="F45" s="384">
        <v>0</v>
      </c>
      <c r="G45" s="384">
        <v>0</v>
      </c>
      <c r="H45" s="384">
        <v>49.035663604736328</v>
      </c>
      <c r="I45" s="384">
        <v>1.5050231218338013</v>
      </c>
      <c r="J45" s="384">
        <v>469.74899291992188</v>
      </c>
      <c r="K45" s="384">
        <v>148.647705078125</v>
      </c>
      <c r="L45" s="384">
        <v>978.6502685546875</v>
      </c>
      <c r="M45" s="384">
        <v>1671.223388671875</v>
      </c>
      <c r="N45" s="384">
        <v>1127.2979736328125</v>
      </c>
      <c r="O45" s="384">
        <v>543.9254150390625</v>
      </c>
      <c r="P45" s="384">
        <v>211.25094604492188</v>
      </c>
      <c r="Q45" s="384">
        <v>23.485864639282227</v>
      </c>
      <c r="R45" s="384">
        <v>2498.09326171875</v>
      </c>
      <c r="S45" s="384">
        <v>155.40660095214844</v>
      </c>
      <c r="T45" s="384">
        <v>38.799999237060547</v>
      </c>
      <c r="U45" s="384">
        <v>956.7978515625</v>
      </c>
      <c r="V45" s="384">
        <v>367.1236572265625</v>
      </c>
      <c r="W45" s="384">
        <v>12120.964638780813</v>
      </c>
      <c r="X45" s="384">
        <v>16371.921875</v>
      </c>
      <c r="Y45" s="384">
        <v>12488.087890625</v>
      </c>
      <c r="Z45" s="384">
        <v>3883.83447265625</v>
      </c>
    </row>
    <row r="46" spans="1:26" ht="29" x14ac:dyDescent="0.35">
      <c r="A46" s="384" t="s">
        <v>211</v>
      </c>
      <c r="B46" s="384" t="s">
        <v>671</v>
      </c>
      <c r="C46" s="384">
        <v>0</v>
      </c>
      <c r="D46" s="384" t="s">
        <v>666</v>
      </c>
      <c r="E46" s="384">
        <v>60.812427520751953</v>
      </c>
      <c r="F46" s="384">
        <v>0.58285868167877197</v>
      </c>
      <c r="G46" s="384">
        <v>46.389675140380859</v>
      </c>
      <c r="H46" s="384">
        <v>1301.010009765625</v>
      </c>
      <c r="I46" s="384">
        <v>5.0096039772033691</v>
      </c>
      <c r="J46" s="384">
        <v>281.52395629882812</v>
      </c>
      <c r="K46" s="384">
        <v>0</v>
      </c>
      <c r="L46" s="384">
        <v>0</v>
      </c>
      <c r="M46" s="384">
        <v>1695.3284912109375</v>
      </c>
      <c r="N46" s="384">
        <v>0</v>
      </c>
      <c r="O46" s="384">
        <v>1695.3284912109375</v>
      </c>
      <c r="P46" s="384">
        <v>190.9383544921875</v>
      </c>
      <c r="Q46" s="384">
        <v>889.38037109375</v>
      </c>
      <c r="R46" s="384">
        <v>1384.1385498046875</v>
      </c>
      <c r="S46" s="384">
        <v>213.45002746582031</v>
      </c>
      <c r="T46" s="384">
        <v>62.194118499755859</v>
      </c>
      <c r="U46" s="384">
        <v>681.86090087890625</v>
      </c>
      <c r="V46" s="384">
        <v>525.09429931640625</v>
      </c>
      <c r="W46" s="384">
        <v>0</v>
      </c>
      <c r="X46" s="384">
        <v>3947.056640625</v>
      </c>
      <c r="Y46" s="384">
        <v>525.09429931640625</v>
      </c>
      <c r="Z46" s="384">
        <v>3421.96240234375</v>
      </c>
    </row>
    <row r="47" spans="1:26" ht="29" x14ac:dyDescent="0.35">
      <c r="A47" s="384" t="s">
        <v>86</v>
      </c>
      <c r="B47" s="384" t="s">
        <v>672</v>
      </c>
      <c r="C47" s="384">
        <v>0</v>
      </c>
      <c r="D47" s="384" t="s">
        <v>666</v>
      </c>
      <c r="E47" s="384">
        <v>54.704471588134766</v>
      </c>
      <c r="F47" s="384">
        <v>1.9806068390607834E-2</v>
      </c>
      <c r="G47" s="384">
        <v>0</v>
      </c>
      <c r="H47" s="384">
        <v>32.342670440673828</v>
      </c>
      <c r="I47" s="384">
        <v>1.5872575044631958</v>
      </c>
      <c r="J47" s="384">
        <v>95.474372863769531</v>
      </c>
      <c r="K47" s="384">
        <v>42.438770294189453</v>
      </c>
      <c r="L47" s="384">
        <v>279.40365600585938</v>
      </c>
      <c r="M47" s="384">
        <v>505.97100830078125</v>
      </c>
      <c r="N47" s="384">
        <v>321.84243774414062</v>
      </c>
      <c r="O47" s="384">
        <v>184.12858581542969</v>
      </c>
      <c r="P47" s="384">
        <v>201.60246276855469</v>
      </c>
      <c r="Q47" s="384">
        <v>32.366455078125</v>
      </c>
      <c r="R47" s="384">
        <v>1985.9620361328125</v>
      </c>
      <c r="S47" s="384">
        <v>302.38754272460938</v>
      </c>
      <c r="T47" s="384">
        <v>11.085714340209961</v>
      </c>
      <c r="U47" s="384">
        <v>511.45578002929688</v>
      </c>
      <c r="V47" s="384">
        <v>296.29833984375</v>
      </c>
      <c r="W47" s="384">
        <v>3460.5231497963882</v>
      </c>
      <c r="X47" s="384">
        <v>6801.681640625</v>
      </c>
      <c r="Y47" s="384">
        <v>3756.821533203125</v>
      </c>
      <c r="Z47" s="384">
        <v>3044.860107421875</v>
      </c>
    </row>
    <row r="48" spans="1:26" ht="29" x14ac:dyDescent="0.35">
      <c r="A48" s="384" t="s">
        <v>212</v>
      </c>
      <c r="B48" s="384" t="s">
        <v>738</v>
      </c>
      <c r="C48" s="384">
        <v>0</v>
      </c>
      <c r="D48" s="384" t="s">
        <v>914</v>
      </c>
      <c r="E48" s="384">
        <v>11.302363395690918</v>
      </c>
      <c r="F48" s="384">
        <v>8.9221455156803131E-2</v>
      </c>
      <c r="G48" s="384">
        <v>0</v>
      </c>
      <c r="H48" s="384">
        <v>0</v>
      </c>
      <c r="I48" s="384">
        <v>1.7743356227874756</v>
      </c>
      <c r="J48" s="384">
        <v>129.6717529296875</v>
      </c>
      <c r="K48" s="384">
        <v>28.760000228881836</v>
      </c>
      <c r="L48" s="384">
        <v>189.34689331054688</v>
      </c>
      <c r="M48" s="384">
        <v>360.944580078125</v>
      </c>
      <c r="N48" s="384">
        <v>218.10688781738281</v>
      </c>
      <c r="O48" s="384">
        <v>142.83767700195312</v>
      </c>
      <c r="P48" s="384">
        <v>46.211143493652344</v>
      </c>
      <c r="Q48" s="384">
        <v>7.3393329977989197E-2</v>
      </c>
      <c r="R48" s="384">
        <v>208.1744384765625</v>
      </c>
      <c r="S48" s="384">
        <v>39.319744110107422</v>
      </c>
      <c r="T48" s="384">
        <v>4.4831933975219727</v>
      </c>
      <c r="U48" s="384">
        <v>299.5552978515625</v>
      </c>
      <c r="V48" s="384">
        <v>194.24371337890625</v>
      </c>
      <c r="W48" s="384">
        <v>2345.135038290638</v>
      </c>
      <c r="X48" s="384">
        <v>3137.19580078125</v>
      </c>
      <c r="Y48" s="384">
        <v>2539.378662109375</v>
      </c>
      <c r="Z48" s="384">
        <v>597.81719970703125</v>
      </c>
    </row>
    <row r="49" spans="1:26" ht="29" x14ac:dyDescent="0.35">
      <c r="A49" s="384" t="s">
        <v>213</v>
      </c>
      <c r="B49" s="384" t="s">
        <v>767</v>
      </c>
      <c r="C49" s="384">
        <v>0</v>
      </c>
      <c r="D49" s="384" t="s">
        <v>914</v>
      </c>
      <c r="E49" s="384">
        <v>27.183218002319336</v>
      </c>
      <c r="F49" s="384">
        <v>4.9095198512077332E-2</v>
      </c>
      <c r="G49" s="384">
        <v>0</v>
      </c>
      <c r="H49" s="384">
        <v>2.0866239070892334</v>
      </c>
      <c r="I49" s="384">
        <v>0.59227651357650757</v>
      </c>
      <c r="J49" s="384">
        <v>37.890781402587891</v>
      </c>
      <c r="K49" s="384">
        <v>0</v>
      </c>
      <c r="L49" s="384">
        <v>0</v>
      </c>
      <c r="M49" s="384">
        <v>67.801994323730469</v>
      </c>
      <c r="N49" s="384">
        <v>0</v>
      </c>
      <c r="O49" s="384">
        <v>67.801994323730469</v>
      </c>
      <c r="P49" s="384">
        <v>92.422286987304688</v>
      </c>
      <c r="Q49" s="384">
        <v>4.2568130493164062</v>
      </c>
      <c r="R49" s="384">
        <v>528.740966796875</v>
      </c>
      <c r="S49" s="384">
        <v>68.341453552246094</v>
      </c>
      <c r="T49" s="384">
        <v>8.1512603759765625</v>
      </c>
      <c r="U49" s="384">
        <v>163.72163391113281</v>
      </c>
      <c r="V49" s="384">
        <v>0</v>
      </c>
      <c r="W49" s="384">
        <v>0</v>
      </c>
      <c r="X49" s="384">
        <v>865.6343994140625</v>
      </c>
      <c r="Y49" s="384">
        <v>0</v>
      </c>
      <c r="Z49" s="384">
        <v>865.6343994140625</v>
      </c>
    </row>
    <row r="50" spans="1:26" ht="29" x14ac:dyDescent="0.35">
      <c r="A50" s="384" t="s">
        <v>214</v>
      </c>
      <c r="B50" s="384" t="s">
        <v>816</v>
      </c>
      <c r="C50" s="384">
        <v>0</v>
      </c>
      <c r="D50" s="384" t="s">
        <v>914</v>
      </c>
      <c r="E50" s="384">
        <v>1.8150694370269775</v>
      </c>
      <c r="F50" s="384">
        <v>0</v>
      </c>
      <c r="G50" s="384">
        <v>0</v>
      </c>
      <c r="H50" s="384">
        <v>3.1299357414245605</v>
      </c>
      <c r="I50" s="384">
        <v>0.90400803089141846</v>
      </c>
      <c r="J50" s="384">
        <v>56.920368194580078</v>
      </c>
      <c r="K50" s="384">
        <v>49.093559265136719</v>
      </c>
      <c r="L50" s="384">
        <v>323.21673583984375</v>
      </c>
      <c r="M50" s="384">
        <v>435.07968139648438</v>
      </c>
      <c r="N50" s="384">
        <v>372.310302734375</v>
      </c>
      <c r="O50" s="384">
        <v>62.769382476806641</v>
      </c>
      <c r="P50" s="384">
        <v>74.140953063964844</v>
      </c>
      <c r="Q50" s="384">
        <v>6.0916461944580078</v>
      </c>
      <c r="R50" s="384">
        <v>0</v>
      </c>
      <c r="S50" s="384">
        <v>112.34211730957031</v>
      </c>
      <c r="T50" s="384">
        <v>7.7436971664428711</v>
      </c>
      <c r="U50" s="384">
        <v>413.27090454101562</v>
      </c>
      <c r="V50" s="384">
        <v>340.00408935546875</v>
      </c>
      <c r="W50" s="384">
        <v>4003.1649670267088</v>
      </c>
      <c r="X50" s="384">
        <v>4956.75830078125</v>
      </c>
      <c r="Y50" s="384">
        <v>4343.1689453125</v>
      </c>
      <c r="Z50" s="384">
        <v>613.58929443359375</v>
      </c>
    </row>
    <row r="51" spans="1:26" ht="29" x14ac:dyDescent="0.35">
      <c r="A51" s="384" t="s">
        <v>215</v>
      </c>
      <c r="B51" s="384" t="s">
        <v>820</v>
      </c>
      <c r="C51" s="384">
        <v>0</v>
      </c>
      <c r="D51" s="384" t="s">
        <v>914</v>
      </c>
      <c r="E51" s="384">
        <v>100.35019683837891</v>
      </c>
      <c r="F51" s="384">
        <v>0.15467910468578339</v>
      </c>
      <c r="G51" s="384">
        <v>0</v>
      </c>
      <c r="H51" s="384">
        <v>45.905727386474609</v>
      </c>
      <c r="I51" s="384">
        <v>1.9938012361526489</v>
      </c>
      <c r="J51" s="384">
        <v>130.51121520996094</v>
      </c>
      <c r="K51" s="384">
        <v>16.036357879638672</v>
      </c>
      <c r="L51" s="384">
        <v>105.57839202880859</v>
      </c>
      <c r="M51" s="384">
        <v>400.53036499023438</v>
      </c>
      <c r="N51" s="384">
        <v>121.61474609375</v>
      </c>
      <c r="O51" s="384">
        <v>278.91561889648438</v>
      </c>
      <c r="P51" s="384">
        <v>31.484516143798828</v>
      </c>
      <c r="Q51" s="384">
        <v>28.256429672241211</v>
      </c>
      <c r="R51" s="384">
        <v>0</v>
      </c>
      <c r="S51" s="384">
        <v>27.149345397949219</v>
      </c>
      <c r="T51" s="384">
        <v>2.4453780651092529</v>
      </c>
      <c r="U51" s="384">
        <v>203.96685791015625</v>
      </c>
      <c r="V51" s="384">
        <v>108.30881500244141</v>
      </c>
      <c r="W51" s="384">
        <v>1307.6295425874621</v>
      </c>
      <c r="X51" s="384">
        <v>1709.2408447265625</v>
      </c>
      <c r="Y51" s="384">
        <v>1415.9383544921875</v>
      </c>
      <c r="Z51" s="384">
        <v>293.30252075195312</v>
      </c>
    </row>
    <row r="52" spans="1:26" ht="29" x14ac:dyDescent="0.35">
      <c r="A52" s="384" t="s">
        <v>216</v>
      </c>
      <c r="B52" s="384" t="s">
        <v>852</v>
      </c>
      <c r="C52" s="384">
        <v>0</v>
      </c>
      <c r="D52" s="384" t="s">
        <v>914</v>
      </c>
      <c r="E52" s="384">
        <v>10.209455490112305</v>
      </c>
      <c r="F52" s="384">
        <v>0</v>
      </c>
      <c r="G52" s="384">
        <v>0</v>
      </c>
      <c r="H52" s="384">
        <v>4.1732478141784668</v>
      </c>
      <c r="I52" s="384">
        <v>0.71908921003341675</v>
      </c>
      <c r="J52" s="384">
        <v>54.050613403320312</v>
      </c>
      <c r="K52" s="384">
        <v>72.012939453125</v>
      </c>
      <c r="L52" s="384">
        <v>474.11080932617188</v>
      </c>
      <c r="M52" s="384">
        <v>615.27618408203125</v>
      </c>
      <c r="N52" s="384">
        <v>546.123779296875</v>
      </c>
      <c r="O52" s="384">
        <v>69.15240478515625</v>
      </c>
      <c r="P52" s="384">
        <v>68.55499267578125</v>
      </c>
      <c r="Q52" s="384">
        <v>0.22017998993396759</v>
      </c>
      <c r="R52" s="384">
        <v>1331.6162109375</v>
      </c>
      <c r="S52" s="384">
        <v>137.61909484863281</v>
      </c>
      <c r="T52" s="384">
        <v>86.743309020996094</v>
      </c>
      <c r="U52" s="384">
        <v>306.43112182617188</v>
      </c>
      <c r="V52" s="384">
        <v>486.3720703125</v>
      </c>
      <c r="W52" s="384">
        <v>5872.0469358071477</v>
      </c>
      <c r="X52" s="384">
        <v>8289.603515625</v>
      </c>
      <c r="Y52" s="384">
        <v>6358.4189453125</v>
      </c>
      <c r="Z52" s="384">
        <v>1931.1849365234375</v>
      </c>
    </row>
    <row r="53" spans="1:26" ht="29" x14ac:dyDescent="0.35">
      <c r="A53" s="384" t="s">
        <v>217</v>
      </c>
      <c r="B53" s="384" t="s">
        <v>862</v>
      </c>
      <c r="C53" s="384">
        <v>0</v>
      </c>
      <c r="D53" s="384" t="s">
        <v>914</v>
      </c>
      <c r="E53" s="384">
        <v>13.554444313049316</v>
      </c>
      <c r="F53" s="384">
        <v>0</v>
      </c>
      <c r="G53" s="384">
        <v>0</v>
      </c>
      <c r="H53" s="384">
        <v>63.642024993896484</v>
      </c>
      <c r="I53" s="384">
        <v>0.43635949492454529</v>
      </c>
      <c r="J53" s="384">
        <v>25.750591278076172</v>
      </c>
      <c r="K53" s="384">
        <v>8.5986251831054688</v>
      </c>
      <c r="L53" s="384">
        <v>56.610675811767578</v>
      </c>
      <c r="M53" s="384">
        <v>168.59272766113281</v>
      </c>
      <c r="N53" s="384">
        <v>65.209304809570312</v>
      </c>
      <c r="O53" s="384">
        <v>103.3834228515625</v>
      </c>
      <c r="P53" s="384">
        <v>11.679739952087402</v>
      </c>
      <c r="Q53" s="384">
        <v>0.14678665995597839</v>
      </c>
      <c r="R53" s="384">
        <v>0</v>
      </c>
      <c r="S53" s="384">
        <v>30.894083023071289</v>
      </c>
      <c r="T53" s="384">
        <v>6.6823782920837402</v>
      </c>
      <c r="U53" s="384">
        <v>40.437557220458984</v>
      </c>
      <c r="V53" s="384">
        <v>58.074714660644531</v>
      </c>
      <c r="W53" s="384">
        <v>701.14525050316331</v>
      </c>
      <c r="X53" s="384">
        <v>849.060546875</v>
      </c>
      <c r="Y53" s="384">
        <v>759.219970703125</v>
      </c>
      <c r="Z53" s="384">
        <v>89.840545654296875</v>
      </c>
    </row>
    <row r="54" spans="1:26" ht="29" x14ac:dyDescent="0.35">
      <c r="A54" s="384" t="s">
        <v>218</v>
      </c>
      <c r="B54" s="384" t="s">
        <v>916</v>
      </c>
      <c r="C54" s="384">
        <v>0</v>
      </c>
      <c r="D54" s="384" t="s">
        <v>714</v>
      </c>
      <c r="E54" s="384">
        <v>10853.0908203125</v>
      </c>
      <c r="F54" s="384">
        <v>37.041599273681641</v>
      </c>
      <c r="G54" s="384">
        <v>2001.057861328125</v>
      </c>
      <c r="H54" s="384">
        <v>29162.4140625</v>
      </c>
      <c r="I54" s="384">
        <v>448.52474975585938</v>
      </c>
      <c r="J54" s="384">
        <v>32333.703125</v>
      </c>
      <c r="K54" s="384">
        <v>7026.75927734375</v>
      </c>
      <c r="L54" s="384">
        <v>39430.96484375</v>
      </c>
      <c r="M54" s="384">
        <v>121293.5625</v>
      </c>
      <c r="N54" s="384">
        <v>46457.72265625</v>
      </c>
      <c r="O54" s="384">
        <v>74835.8359375</v>
      </c>
      <c r="P54" s="384">
        <v>46255.3203125</v>
      </c>
      <c r="Q54" s="384">
        <v>11056.7412109375</v>
      </c>
      <c r="R54" s="384">
        <v>172008.5625</v>
      </c>
      <c r="S54" s="384">
        <v>109403.640625</v>
      </c>
      <c r="T54" s="384">
        <v>21445.4765625</v>
      </c>
      <c r="U54" s="384">
        <v>125872.71875</v>
      </c>
      <c r="V54" s="384">
        <v>52304.02734375</v>
      </c>
      <c r="W54" s="384">
        <v>500447.11552424735</v>
      </c>
      <c r="X54" s="384">
        <v>1038793.625</v>
      </c>
      <c r="Y54" s="384">
        <v>552751.125</v>
      </c>
      <c r="Z54" s="384">
        <v>486042.46875</v>
      </c>
    </row>
    <row r="55" spans="1:26" ht="29" x14ac:dyDescent="0.35">
      <c r="A55" s="384" t="s">
        <v>219</v>
      </c>
      <c r="B55" s="384" t="s">
        <v>713</v>
      </c>
      <c r="C55" s="384">
        <v>0</v>
      </c>
      <c r="D55" s="384" t="s">
        <v>714</v>
      </c>
      <c r="E55" s="384">
        <v>7094.50146484375</v>
      </c>
      <c r="F55" s="384">
        <v>3.8830080032348633</v>
      </c>
      <c r="G55" s="384">
        <v>0</v>
      </c>
      <c r="H55" s="384">
        <v>21.704593658447266</v>
      </c>
      <c r="I55" s="384">
        <v>25.319711685180664</v>
      </c>
      <c r="J55" s="384">
        <v>5760.34912109375</v>
      </c>
      <c r="K55" s="384">
        <v>1618.0069580078125</v>
      </c>
      <c r="L55" s="384">
        <v>10652.4541015625</v>
      </c>
      <c r="M55" s="384">
        <v>25176.21875</v>
      </c>
      <c r="N55" s="384">
        <v>12270.4609375</v>
      </c>
      <c r="O55" s="384">
        <v>12905.7578125</v>
      </c>
      <c r="P55" s="384">
        <v>303.68792724609375</v>
      </c>
      <c r="Q55" s="384">
        <v>2271.865966796875</v>
      </c>
      <c r="R55" s="384">
        <v>4669.341796875</v>
      </c>
      <c r="S55" s="384">
        <v>0</v>
      </c>
      <c r="T55" s="384">
        <v>0</v>
      </c>
      <c r="U55" s="384">
        <v>2376.5185546875</v>
      </c>
      <c r="V55" s="384">
        <v>10927.9443359375</v>
      </c>
      <c r="W55" s="384">
        <v>131934.79767811325</v>
      </c>
      <c r="X55" s="384">
        <v>152484.15625</v>
      </c>
      <c r="Y55" s="384">
        <v>142862.734375</v>
      </c>
      <c r="Z55" s="384">
        <v>9621.4140625</v>
      </c>
    </row>
    <row r="56" spans="1:26" ht="29" x14ac:dyDescent="0.35">
      <c r="A56" s="384" t="s">
        <v>715</v>
      </c>
      <c r="B56" s="384" t="s">
        <v>716</v>
      </c>
      <c r="C56" s="384">
        <v>0</v>
      </c>
      <c r="D56" s="384" t="s">
        <v>714</v>
      </c>
      <c r="E56" s="384">
        <v>11627.36328125</v>
      </c>
      <c r="F56" s="384">
        <v>53.345863342285156</v>
      </c>
      <c r="G56" s="384">
        <v>4649.7578125</v>
      </c>
      <c r="H56" s="384">
        <v>35741.76171875</v>
      </c>
      <c r="I56" s="384">
        <v>520.76885986328125</v>
      </c>
      <c r="J56" s="384">
        <v>35326.01171875</v>
      </c>
      <c r="K56" s="384">
        <v>18449.208984375</v>
      </c>
      <c r="L56" s="384">
        <v>117602.8203125</v>
      </c>
      <c r="M56" s="384">
        <v>223971.03125</v>
      </c>
      <c r="N56" s="384">
        <v>136052.03125</v>
      </c>
      <c r="O56" s="384">
        <v>87919.0078125</v>
      </c>
      <c r="P56" s="384">
        <v>64720.53125</v>
      </c>
      <c r="Q56" s="384">
        <v>12927.3427734375</v>
      </c>
      <c r="R56" s="384">
        <v>189208.203125</v>
      </c>
      <c r="S56" s="384">
        <v>122271.0859375</v>
      </c>
      <c r="T56" s="384">
        <v>24668.662109375</v>
      </c>
      <c r="U56" s="384">
        <v>155942.390625</v>
      </c>
      <c r="V56" s="384">
        <v>58314.21484375</v>
      </c>
      <c r="W56" s="384">
        <v>532522.35089282494</v>
      </c>
      <c r="X56" s="384">
        <v>1160574.75</v>
      </c>
      <c r="Y56" s="384">
        <v>590836.5625</v>
      </c>
      <c r="Z56" s="384">
        <v>569738.1875</v>
      </c>
    </row>
  </sheetData>
  <mergeCells count="1">
    <mergeCell ref="A1:Z1"/>
  </mergeCells>
  <pageMargins left="0.7" right="0.7" top="0.75" bottom="0.75" header="0.3" footer="0.3"/>
  <pageSetup scale="31" orientation="landscape" horizontalDpi="4294967292" verticalDpi="429496729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9" tint="0.39997558519241921"/>
    <pageSetUpPr fitToPage="1"/>
  </sheetPr>
  <dimension ref="A1:N94"/>
  <sheetViews>
    <sheetView zoomScale="85" zoomScaleNormal="85" zoomScalePageLayoutView="85" workbookViewId="0">
      <pane xSplit="2" ySplit="7" topLeftCell="C8" activePane="bottomRight" state="frozen"/>
      <selection pane="topRight" activeCell="B5" sqref="B5"/>
      <selection pane="bottomLeft" activeCell="B5" sqref="B5"/>
      <selection pane="bottomRight" activeCell="B4" sqref="B4"/>
    </sheetView>
  </sheetViews>
  <sheetFormatPr baseColWidth="10" defaultColWidth="10.83203125" defaultRowHeight="16" x14ac:dyDescent="0.2"/>
  <cols>
    <col min="1" max="1" width="17.5" style="17" hidden="1" customWidth="1"/>
    <col min="2" max="2" width="19" style="17" customWidth="1"/>
    <col min="3" max="13" width="12.83203125" style="17" customWidth="1"/>
    <col min="14" max="16384" width="10.83203125" style="17"/>
  </cols>
  <sheetData>
    <row r="1" spans="2:14" ht="17" thickBot="1" x14ac:dyDescent="0.25"/>
    <row r="2" spans="2:14" ht="17" hidden="1" thickBot="1" x14ac:dyDescent="0.25">
      <c r="E2" s="17">
        <v>2</v>
      </c>
      <c r="F2" s="17">
        <v>3</v>
      </c>
      <c r="G2" s="17">
        <v>4</v>
      </c>
      <c r="H2" s="17">
        <v>5</v>
      </c>
      <c r="I2" s="17">
        <v>6</v>
      </c>
      <c r="J2" s="17">
        <v>7</v>
      </c>
      <c r="L2" s="17">
        <v>8</v>
      </c>
      <c r="M2" s="17">
        <v>9</v>
      </c>
    </row>
    <row r="3" spans="2:14" ht="32.25" customHeight="1" thickTop="1" x14ac:dyDescent="0.2">
      <c r="B3" s="617" t="s">
        <v>917</v>
      </c>
      <c r="C3" s="618"/>
      <c r="D3" s="618"/>
      <c r="E3" s="618"/>
      <c r="F3" s="618"/>
      <c r="G3" s="618"/>
      <c r="H3" s="618"/>
      <c r="I3" s="618"/>
      <c r="J3" s="618"/>
      <c r="K3" s="618"/>
      <c r="L3" s="618"/>
      <c r="M3" s="619"/>
    </row>
    <row r="4" spans="2:14" ht="32.25" customHeight="1" x14ac:dyDescent="0.2">
      <c r="B4" s="55"/>
      <c r="C4" s="2" t="s">
        <v>473</v>
      </c>
      <c r="D4" s="2" t="s">
        <v>474</v>
      </c>
      <c r="E4" s="2" t="s">
        <v>475</v>
      </c>
      <c r="F4" s="2" t="s">
        <v>476</v>
      </c>
      <c r="G4" s="2" t="s">
        <v>477</v>
      </c>
      <c r="H4" s="2" t="s">
        <v>478</v>
      </c>
      <c r="I4" s="2" t="s">
        <v>479</v>
      </c>
      <c r="J4" s="2" t="s">
        <v>480</v>
      </c>
      <c r="K4" s="2" t="s">
        <v>481</v>
      </c>
      <c r="L4" s="2" t="s">
        <v>482</v>
      </c>
      <c r="M4" s="54" t="s">
        <v>484</v>
      </c>
    </row>
    <row r="5" spans="2:14" ht="21" customHeight="1" x14ac:dyDescent="0.2">
      <c r="B5" s="43"/>
      <c r="C5" s="620" t="s">
        <v>918</v>
      </c>
      <c r="D5" s="621"/>
      <c r="E5" s="621"/>
      <c r="F5" s="621"/>
      <c r="G5" s="621"/>
      <c r="H5" s="621"/>
      <c r="I5" s="621"/>
      <c r="J5" s="621"/>
      <c r="K5" s="621"/>
      <c r="L5" s="621"/>
      <c r="M5" s="622"/>
    </row>
    <row r="6" spans="2:14" ht="85" customHeight="1" x14ac:dyDescent="0.2">
      <c r="B6" s="43"/>
      <c r="C6" s="615" t="s">
        <v>919</v>
      </c>
      <c r="D6" s="615" t="s">
        <v>920</v>
      </c>
      <c r="E6" s="53" t="s">
        <v>65</v>
      </c>
      <c r="F6" s="53" t="s">
        <v>338</v>
      </c>
      <c r="G6" s="53" t="s">
        <v>59</v>
      </c>
      <c r="H6" s="53" t="s">
        <v>60</v>
      </c>
      <c r="I6" s="53" t="s">
        <v>222</v>
      </c>
      <c r="J6" s="53" t="s">
        <v>64</v>
      </c>
      <c r="K6" s="615" t="s">
        <v>921</v>
      </c>
      <c r="L6" s="53" t="s">
        <v>61</v>
      </c>
      <c r="M6" s="52" t="s">
        <v>922</v>
      </c>
      <c r="N6" s="24"/>
    </row>
    <row r="7" spans="2:14" ht="18" customHeight="1" x14ac:dyDescent="0.2">
      <c r="B7" s="43"/>
      <c r="C7" s="615"/>
      <c r="D7" s="615"/>
      <c r="E7" s="53"/>
      <c r="F7" s="53"/>
      <c r="G7" s="53"/>
      <c r="H7" s="53"/>
      <c r="I7" s="53"/>
      <c r="J7" s="53"/>
      <c r="K7" s="616"/>
      <c r="L7" s="53"/>
      <c r="M7" s="52"/>
      <c r="N7" s="24"/>
    </row>
    <row r="8" spans="2:14" ht="40" customHeight="1" x14ac:dyDescent="0.2">
      <c r="B8" s="169" t="s">
        <v>186</v>
      </c>
      <c r="C8" s="170">
        <f t="shared" ref="C8:M8" si="0">SUMIF(C9:C43,"&gt;-999999999")-(C11+C23+C29+C31)-C40</f>
        <v>1751575.2520845423</v>
      </c>
      <c r="D8" s="170">
        <f t="shared" si="0"/>
        <v>1054622.6474443628</v>
      </c>
      <c r="E8" s="171">
        <f t="shared" si="0"/>
        <v>128961.35844677093</v>
      </c>
      <c r="F8" s="171">
        <f t="shared" si="0"/>
        <v>3661.9613645212703</v>
      </c>
      <c r="G8" s="171">
        <f t="shared" si="0"/>
        <v>259313.02145023903</v>
      </c>
      <c r="H8" s="171">
        <f t="shared" si="0"/>
        <v>150579.65275902595</v>
      </c>
      <c r="I8" s="171">
        <f t="shared" si="0"/>
        <v>323.4562426734762</v>
      </c>
      <c r="J8" s="171">
        <f t="shared" si="0"/>
        <v>511783.19718113216</v>
      </c>
      <c r="K8" s="170">
        <f t="shared" si="0"/>
        <v>696952.60464017943</v>
      </c>
      <c r="L8" s="171">
        <f t="shared" si="0"/>
        <v>430943.28515948798</v>
      </c>
      <c r="M8" s="172">
        <f t="shared" si="0"/>
        <v>266009.3194806914</v>
      </c>
      <c r="N8" s="24"/>
    </row>
    <row r="9" spans="2:14" ht="14.25" customHeight="1" x14ac:dyDescent="0.2">
      <c r="B9" s="51" t="s">
        <v>68</v>
      </c>
      <c r="C9" s="50">
        <f t="shared" ref="C9:C43" si="1">+D9+K9</f>
        <v>5751.3045289728207</v>
      </c>
      <c r="D9" s="50">
        <f t="shared" ref="D9:D43" si="2">SUM(E9:J9)</f>
        <v>-510.18355296630523</v>
      </c>
      <c r="E9" s="34">
        <v>-615.9062407435307</v>
      </c>
      <c r="F9" s="34">
        <v>1.1876887982666315</v>
      </c>
      <c r="G9" s="34">
        <v>104.53499897895882</v>
      </c>
      <c r="H9" s="34">
        <v>0</v>
      </c>
      <c r="I9" s="34">
        <v>0</v>
      </c>
      <c r="J9" s="34">
        <v>0</v>
      </c>
      <c r="K9" s="50">
        <f t="shared" ref="K9:K43" si="3">+SUM(L9:M9)</f>
        <v>6261.4880819391255</v>
      </c>
      <c r="L9" s="39">
        <v>0</v>
      </c>
      <c r="M9" s="38">
        <v>6261.4880819391255</v>
      </c>
      <c r="N9" s="24"/>
    </row>
    <row r="10" spans="2:14" ht="14.25" customHeight="1" x14ac:dyDescent="0.2">
      <c r="B10" s="51" t="s">
        <v>187</v>
      </c>
      <c r="C10" s="50">
        <f t="shared" si="1"/>
        <v>7318.7924249048392</v>
      </c>
      <c r="D10" s="50">
        <f t="shared" si="2"/>
        <v>1217.7256328869876</v>
      </c>
      <c r="E10" s="34">
        <v>433.33276310420302</v>
      </c>
      <c r="F10" s="34">
        <v>0</v>
      </c>
      <c r="G10" s="34">
        <v>31.043161596114651</v>
      </c>
      <c r="H10" s="34">
        <v>0</v>
      </c>
      <c r="I10" s="34">
        <v>24.278676011084276</v>
      </c>
      <c r="J10" s="34">
        <v>729.07103217558551</v>
      </c>
      <c r="K10" s="50">
        <f t="shared" si="3"/>
        <v>6101.0667920178512</v>
      </c>
      <c r="L10" s="39">
        <v>5916.3417119005753</v>
      </c>
      <c r="M10" s="38">
        <v>184.72508011727587</v>
      </c>
      <c r="N10" s="24"/>
    </row>
    <row r="11" spans="2:14" ht="14.25" customHeight="1" x14ac:dyDescent="0.2">
      <c r="B11" s="51" t="s">
        <v>65</v>
      </c>
      <c r="C11" s="50">
        <f t="shared" si="1"/>
        <v>77227.403659880831</v>
      </c>
      <c r="D11" s="50">
        <f t="shared" si="2"/>
        <v>70582.422042409831</v>
      </c>
      <c r="E11" s="34">
        <v>20788.002304599999</v>
      </c>
      <c r="F11" s="34">
        <v>0</v>
      </c>
      <c r="G11" s="34">
        <v>597.283169100387</v>
      </c>
      <c r="H11" s="34">
        <v>2364.4478514807347</v>
      </c>
      <c r="I11" s="34">
        <v>3.3023002324771502</v>
      </c>
      <c r="J11" s="34">
        <v>46829.386416996225</v>
      </c>
      <c r="K11" s="50">
        <f t="shared" si="3"/>
        <v>6644.981617471004</v>
      </c>
      <c r="L11" s="39">
        <v>6082.885119108968</v>
      </c>
      <c r="M11" s="38">
        <v>562.09649836203607</v>
      </c>
      <c r="N11" s="24"/>
    </row>
    <row r="12" spans="2:14" ht="14.25" customHeight="1" x14ac:dyDescent="0.2">
      <c r="B12" s="51" t="s">
        <v>82</v>
      </c>
      <c r="C12" s="50">
        <f t="shared" si="1"/>
        <v>53961.816978863833</v>
      </c>
      <c r="D12" s="50">
        <f t="shared" si="2"/>
        <v>14156.0272973137</v>
      </c>
      <c r="E12" s="34">
        <v>-745.27540271346413</v>
      </c>
      <c r="F12" s="34">
        <v>0</v>
      </c>
      <c r="G12" s="34">
        <v>512.79770691542603</v>
      </c>
      <c r="H12" s="34">
        <v>12953.845602215399</v>
      </c>
      <c r="I12" s="34">
        <v>0</v>
      </c>
      <c r="J12" s="34">
        <v>1434.6593908963389</v>
      </c>
      <c r="K12" s="50">
        <f t="shared" si="3"/>
        <v>39805.78968155013</v>
      </c>
      <c r="L12" s="39">
        <v>32630.135823720724</v>
      </c>
      <c r="M12" s="38">
        <v>7175.6538578294058</v>
      </c>
      <c r="N12" s="24"/>
    </row>
    <row r="13" spans="2:14" ht="14.25" customHeight="1" x14ac:dyDescent="0.2">
      <c r="B13" s="51" t="s">
        <v>188</v>
      </c>
      <c r="C13" s="50">
        <f t="shared" si="1"/>
        <v>-343.04542126512609</v>
      </c>
      <c r="D13" s="50">
        <f t="shared" si="2"/>
        <v>-399.87876187403094</v>
      </c>
      <c r="E13" s="34">
        <v>-395.96937972779762</v>
      </c>
      <c r="F13" s="34">
        <v>0</v>
      </c>
      <c r="G13" s="34">
        <v>-25.057090527813411</v>
      </c>
      <c r="H13" s="34">
        <v>7.1182937871358636</v>
      </c>
      <c r="I13" s="34">
        <v>0</v>
      </c>
      <c r="J13" s="34">
        <v>14.029414594444203</v>
      </c>
      <c r="K13" s="50">
        <f t="shared" si="3"/>
        <v>56.833340608904848</v>
      </c>
      <c r="L13" s="39">
        <v>0</v>
      </c>
      <c r="M13" s="38">
        <v>56.833340608904848</v>
      </c>
      <c r="N13" s="24"/>
    </row>
    <row r="14" spans="2:14" ht="14.25" customHeight="1" x14ac:dyDescent="0.2">
      <c r="B14" s="51" t="s">
        <v>572</v>
      </c>
      <c r="C14" s="50">
        <f t="shared" si="1"/>
        <v>1551.0008039169954</v>
      </c>
      <c r="D14" s="50">
        <f t="shared" si="2"/>
        <v>1550.5597432151119</v>
      </c>
      <c r="E14" s="34">
        <v>1547.5407387583773</v>
      </c>
      <c r="F14" s="34">
        <v>0</v>
      </c>
      <c r="G14" s="34">
        <v>3.0190044567345171</v>
      </c>
      <c r="H14" s="34">
        <v>0</v>
      </c>
      <c r="I14" s="34">
        <v>0</v>
      </c>
      <c r="J14" s="34">
        <v>0</v>
      </c>
      <c r="K14" s="50">
        <f t="shared" si="3"/>
        <v>0.44106070188354352</v>
      </c>
      <c r="L14" s="39">
        <v>0</v>
      </c>
      <c r="M14" s="38">
        <v>0.44106070188354352</v>
      </c>
      <c r="N14" s="24"/>
    </row>
    <row r="15" spans="2:14" ht="14.25" customHeight="1" x14ac:dyDescent="0.2">
      <c r="B15" s="51" t="s">
        <v>190</v>
      </c>
      <c r="C15" s="50">
        <f t="shared" si="1"/>
        <v>11938.815067608886</v>
      </c>
      <c r="D15" s="50">
        <f t="shared" si="2"/>
        <v>6947.7556777800946</v>
      </c>
      <c r="E15" s="34">
        <v>688.75809239170087</v>
      </c>
      <c r="F15" s="34">
        <v>0.87803495095367745</v>
      </c>
      <c r="G15" s="34">
        <v>311.37174497136255</v>
      </c>
      <c r="H15" s="34">
        <v>0</v>
      </c>
      <c r="I15" s="34">
        <v>2.6393183847410779</v>
      </c>
      <c r="J15" s="34">
        <v>5944.1084870813365</v>
      </c>
      <c r="K15" s="50">
        <f t="shared" si="3"/>
        <v>4991.0593898287916</v>
      </c>
      <c r="L15" s="39">
        <v>2885.6897561444289</v>
      </c>
      <c r="M15" s="38">
        <v>2105.3696336843623</v>
      </c>
      <c r="N15" s="24"/>
    </row>
    <row r="16" spans="2:14" ht="14.25" customHeight="1" x14ac:dyDescent="0.2">
      <c r="B16" s="51" t="s">
        <v>573</v>
      </c>
      <c r="C16" s="50">
        <f t="shared" si="1"/>
        <v>-13.320891907351287</v>
      </c>
      <c r="D16" s="50">
        <f t="shared" si="2"/>
        <v>-13.320891907351287</v>
      </c>
      <c r="E16" s="34">
        <v>-13.342167683968011</v>
      </c>
      <c r="F16" s="34">
        <v>0</v>
      </c>
      <c r="G16" s="34">
        <v>0</v>
      </c>
      <c r="H16" s="34">
        <v>0</v>
      </c>
      <c r="I16" s="34">
        <v>2.1275776616723623E-2</v>
      </c>
      <c r="J16" s="34">
        <v>0</v>
      </c>
      <c r="K16" s="50">
        <f t="shared" si="3"/>
        <v>0</v>
      </c>
      <c r="L16" s="39">
        <v>0</v>
      </c>
      <c r="M16" s="38">
        <v>0</v>
      </c>
      <c r="N16" s="24"/>
    </row>
    <row r="17" spans="1:14" ht="14.25" customHeight="1" x14ac:dyDescent="0.2">
      <c r="B17" s="51" t="s">
        <v>192</v>
      </c>
      <c r="C17" s="50">
        <f t="shared" si="1"/>
        <v>7422.1405339289504</v>
      </c>
      <c r="D17" s="50">
        <f t="shared" si="2"/>
        <v>6702.4478420130827</v>
      </c>
      <c r="E17" s="34">
        <v>2869.2161758254474</v>
      </c>
      <c r="F17" s="34">
        <v>1.2132012951053943</v>
      </c>
      <c r="G17" s="34">
        <v>-53.71461390771826</v>
      </c>
      <c r="H17" s="34">
        <v>0</v>
      </c>
      <c r="I17" s="34">
        <v>0</v>
      </c>
      <c r="J17" s="34">
        <v>3885.7330788002478</v>
      </c>
      <c r="K17" s="50">
        <f t="shared" si="3"/>
        <v>719.69269191586739</v>
      </c>
      <c r="L17" s="39">
        <v>341.72397790533307</v>
      </c>
      <c r="M17" s="38">
        <v>377.96871401053431</v>
      </c>
      <c r="N17" s="24"/>
    </row>
    <row r="18" spans="1:14" ht="14.25" customHeight="1" x14ac:dyDescent="0.2">
      <c r="B18" s="51" t="s">
        <v>71</v>
      </c>
      <c r="C18" s="50">
        <f t="shared" si="1"/>
        <v>211426.84952728514</v>
      </c>
      <c r="D18" s="50">
        <f t="shared" si="2"/>
        <v>167111.73061028757</v>
      </c>
      <c r="E18" s="34">
        <v>129603.05769863859</v>
      </c>
      <c r="F18" s="34">
        <v>25.302012443013588</v>
      </c>
      <c r="G18" s="34">
        <v>4380.8156204039342</v>
      </c>
      <c r="H18" s="34">
        <v>-1059.5520526108169</v>
      </c>
      <c r="I18" s="34">
        <v>56.370290984260471</v>
      </c>
      <c r="J18" s="34">
        <v>34105.737040428598</v>
      </c>
      <c r="K18" s="50">
        <f t="shared" si="3"/>
        <v>44315.118916997555</v>
      </c>
      <c r="L18" s="39">
        <v>37780.597323555892</v>
      </c>
      <c r="M18" s="38">
        <v>6534.5215934416628</v>
      </c>
      <c r="N18" s="24"/>
    </row>
    <row r="19" spans="1:14" ht="14.25" customHeight="1" x14ac:dyDescent="0.2">
      <c r="B19" s="51" t="s">
        <v>75</v>
      </c>
      <c r="C19" s="50">
        <f t="shared" si="1"/>
        <v>117080.72903831323</v>
      </c>
      <c r="D19" s="50">
        <f t="shared" si="2"/>
        <v>83334.884111057312</v>
      </c>
      <c r="E19" s="34">
        <v>12670.048319309652</v>
      </c>
      <c r="F19" s="34">
        <v>2248.4638879098088</v>
      </c>
      <c r="G19" s="34">
        <v>867.31616177123362</v>
      </c>
      <c r="H19" s="34">
        <v>3212.6818336911897</v>
      </c>
      <c r="I19" s="34">
        <v>0</v>
      </c>
      <c r="J19" s="34">
        <v>64336.373908375426</v>
      </c>
      <c r="K19" s="50">
        <f t="shared" si="3"/>
        <v>33745.844927255923</v>
      </c>
      <c r="L19" s="39">
        <v>28481.744770550868</v>
      </c>
      <c r="M19" s="38">
        <v>5264.1001567050553</v>
      </c>
      <c r="N19" s="24"/>
    </row>
    <row r="20" spans="1:14" ht="14.25" customHeight="1" x14ac:dyDescent="0.2">
      <c r="B20" s="51" t="s">
        <v>193</v>
      </c>
      <c r="C20" s="50">
        <f t="shared" si="1"/>
        <v>1443.8093338526871</v>
      </c>
      <c r="D20" s="50">
        <f t="shared" si="2"/>
        <v>1441.1824464352067</v>
      </c>
      <c r="E20" s="34">
        <v>1064.1392372357113</v>
      </c>
      <c r="F20" s="34">
        <v>272.8383396111642</v>
      </c>
      <c r="G20" s="34">
        <v>10.338372525366655</v>
      </c>
      <c r="H20" s="34">
        <v>0</v>
      </c>
      <c r="I20" s="34">
        <v>0</v>
      </c>
      <c r="J20" s="34">
        <v>93.866497062964427</v>
      </c>
      <c r="K20" s="50">
        <f t="shared" si="3"/>
        <v>2.6268874174804751</v>
      </c>
      <c r="L20" s="39">
        <v>0</v>
      </c>
      <c r="M20" s="38">
        <v>2.6268874174804751</v>
      </c>
      <c r="N20" s="24"/>
    </row>
    <row r="21" spans="1:14" ht="14.25" customHeight="1" x14ac:dyDescent="0.2">
      <c r="B21" s="51" t="s">
        <v>194</v>
      </c>
      <c r="C21" s="50">
        <f t="shared" si="1"/>
        <v>1642.8486517275869</v>
      </c>
      <c r="D21" s="50">
        <f t="shared" si="2"/>
        <v>1619.9802880579182</v>
      </c>
      <c r="E21" s="34">
        <v>1273.275233362968</v>
      </c>
      <c r="F21" s="34">
        <v>0</v>
      </c>
      <c r="G21" s="34">
        <v>0</v>
      </c>
      <c r="H21" s="34">
        <v>291.13022871400608</v>
      </c>
      <c r="I21" s="34">
        <v>0</v>
      </c>
      <c r="J21" s="34">
        <v>55.57482598094397</v>
      </c>
      <c r="K21" s="50">
        <f t="shared" si="3"/>
        <v>22.868363669668724</v>
      </c>
      <c r="L21" s="39">
        <v>0</v>
      </c>
      <c r="M21" s="38">
        <v>22.868363669668724</v>
      </c>
      <c r="N21" s="24"/>
    </row>
    <row r="22" spans="1:14" ht="14.25" customHeight="1" x14ac:dyDescent="0.2">
      <c r="B22" s="51" t="s">
        <v>195</v>
      </c>
      <c r="C22" s="50">
        <f t="shared" si="1"/>
        <v>45.011783060774256</v>
      </c>
      <c r="D22" s="50">
        <f t="shared" si="2"/>
        <v>42.75702931559205</v>
      </c>
      <c r="E22" s="34">
        <v>42.591284040911582</v>
      </c>
      <c r="F22" s="34">
        <v>0.16574527468047132</v>
      </c>
      <c r="G22" s="34">
        <v>0</v>
      </c>
      <c r="H22" s="34">
        <v>0</v>
      </c>
      <c r="I22" s="34">
        <v>0</v>
      </c>
      <c r="J22" s="34">
        <v>0</v>
      </c>
      <c r="K22" s="50">
        <f t="shared" si="3"/>
        <v>2.2547537451822066</v>
      </c>
      <c r="L22" s="39">
        <v>0</v>
      </c>
      <c r="M22" s="38">
        <v>2.2547537451822066</v>
      </c>
      <c r="N22" s="24"/>
    </row>
    <row r="23" spans="1:14" ht="14.25" customHeight="1" x14ac:dyDescent="0.2">
      <c r="B23" s="51" t="s">
        <v>59</v>
      </c>
      <c r="C23" s="50">
        <f t="shared" si="1"/>
        <v>49321.082766263266</v>
      </c>
      <c r="D23" s="50">
        <f t="shared" si="2"/>
        <v>49106.659561809574</v>
      </c>
      <c r="E23" s="34">
        <v>-7702.2503961466</v>
      </c>
      <c r="F23" s="34">
        <v>8.2617583142837301</v>
      </c>
      <c r="G23" s="34">
        <v>15352.363185136815</v>
      </c>
      <c r="H23" s="34">
        <v>19108.017977024119</v>
      </c>
      <c r="I23" s="34">
        <v>0</v>
      </c>
      <c r="J23" s="34">
        <v>22340.267037480953</v>
      </c>
      <c r="K23" s="50">
        <f t="shared" si="3"/>
        <v>214.42320445369114</v>
      </c>
      <c r="L23" s="39">
        <v>0</v>
      </c>
      <c r="M23" s="38">
        <v>214.42320445369114</v>
      </c>
      <c r="N23" s="24"/>
    </row>
    <row r="24" spans="1:14" ht="14.25" customHeight="1" x14ac:dyDescent="0.2">
      <c r="B24" s="51" t="s">
        <v>196</v>
      </c>
      <c r="C24" s="50">
        <f t="shared" si="1"/>
        <v>1754.4086298838288</v>
      </c>
      <c r="D24" s="50">
        <f t="shared" si="2"/>
        <v>217.17041498534263</v>
      </c>
      <c r="E24" s="34">
        <v>-127.480499936223</v>
      </c>
      <c r="F24" s="34">
        <v>110.80752105681026</v>
      </c>
      <c r="G24" s="34">
        <v>78.134790238010439</v>
      </c>
      <c r="H24" s="34">
        <v>155.70860362674495</v>
      </c>
      <c r="I24" s="34">
        <v>0</v>
      </c>
      <c r="J24" s="34">
        <v>0</v>
      </c>
      <c r="K24" s="50">
        <f t="shared" si="3"/>
        <v>1537.2382148984861</v>
      </c>
      <c r="L24" s="39">
        <v>1311.7567452905103</v>
      </c>
      <c r="M24" s="38">
        <v>225.4814696079759</v>
      </c>
      <c r="N24" s="24"/>
    </row>
    <row r="25" spans="1:14" ht="14.25" customHeight="1" x14ac:dyDescent="0.2">
      <c r="B25" s="51" t="s">
        <v>74</v>
      </c>
      <c r="C25" s="50">
        <f t="shared" si="1"/>
        <v>12295.918666332425</v>
      </c>
      <c r="D25" s="50">
        <f t="shared" si="2"/>
        <v>8279.2378085001892</v>
      </c>
      <c r="E25" s="34">
        <v>831.62656857086438</v>
      </c>
      <c r="F25" s="34">
        <v>11.048642862847675</v>
      </c>
      <c r="G25" s="34">
        <v>2124.3154442421769</v>
      </c>
      <c r="H25" s="34">
        <v>-597.17046177811812</v>
      </c>
      <c r="I25" s="34">
        <v>84.314868692089362</v>
      </c>
      <c r="J25" s="34">
        <v>5825.1027459103288</v>
      </c>
      <c r="K25" s="50">
        <f t="shared" si="3"/>
        <v>4016.6808578322361</v>
      </c>
      <c r="L25" s="39">
        <v>3552.28115846539</v>
      </c>
      <c r="M25" s="38">
        <v>464.39969936684611</v>
      </c>
      <c r="N25" s="24"/>
    </row>
    <row r="26" spans="1:14" ht="14.25" customHeight="1" x14ac:dyDescent="0.2">
      <c r="B26" s="51" t="s">
        <v>73</v>
      </c>
      <c r="C26" s="50">
        <f t="shared" si="1"/>
        <v>63379.8102207966</v>
      </c>
      <c r="D26" s="50">
        <f t="shared" si="2"/>
        <v>27882.46846265455</v>
      </c>
      <c r="E26" s="34">
        <v>13875.26778368908</v>
      </c>
      <c r="F26" s="34">
        <v>0.10243480824884013</v>
      </c>
      <c r="G26" s="34">
        <v>413.02631758289124</v>
      </c>
      <c r="H26" s="34">
        <v>0</v>
      </c>
      <c r="I26" s="34">
        <v>0</v>
      </c>
      <c r="J26" s="34">
        <v>13594.07192657433</v>
      </c>
      <c r="K26" s="50">
        <f t="shared" si="3"/>
        <v>35497.341758142051</v>
      </c>
      <c r="L26" s="39">
        <v>10267.61553167849</v>
      </c>
      <c r="M26" s="38">
        <v>25229.726226463565</v>
      </c>
      <c r="N26" s="24"/>
    </row>
    <row r="27" spans="1:14" ht="14.25" customHeight="1" x14ac:dyDescent="0.2">
      <c r="A27" s="17" t="s">
        <v>923</v>
      </c>
      <c r="B27" s="51" t="s">
        <v>89</v>
      </c>
      <c r="C27" s="50">
        <f t="shared" si="1"/>
        <v>5141.6799102938876</v>
      </c>
      <c r="D27" s="50">
        <f t="shared" si="2"/>
        <v>2561.2355055777798</v>
      </c>
      <c r="E27" s="34">
        <v>1072.8952116912624</v>
      </c>
      <c r="F27" s="34">
        <v>4.5337791897297662E-2</v>
      </c>
      <c r="G27" s="34">
        <v>0</v>
      </c>
      <c r="H27" s="34">
        <v>0</v>
      </c>
      <c r="I27" s="34">
        <v>0</v>
      </c>
      <c r="J27" s="34">
        <v>1488.2949560946199</v>
      </c>
      <c r="K27" s="50">
        <f t="shared" si="3"/>
        <v>2580.4444047161078</v>
      </c>
      <c r="L27" s="39">
        <v>0</v>
      </c>
      <c r="M27" s="38">
        <v>2580.4444047161078</v>
      </c>
      <c r="N27" s="24"/>
    </row>
    <row r="28" spans="1:14" ht="14.25" customHeight="1" x14ac:dyDescent="0.2">
      <c r="B28" s="43" t="s">
        <v>198</v>
      </c>
      <c r="C28" s="50">
        <f t="shared" si="1"/>
        <v>-4.2620184009749282</v>
      </c>
      <c r="D28" s="50">
        <f t="shared" si="2"/>
        <v>-4.5411252294764637</v>
      </c>
      <c r="E28" s="34">
        <v>-5.8779063725395622</v>
      </c>
      <c r="F28" s="34">
        <v>1.3367811430630989</v>
      </c>
      <c r="G28" s="34">
        <v>0</v>
      </c>
      <c r="H28" s="34">
        <v>0</v>
      </c>
      <c r="I28" s="34"/>
      <c r="J28" s="34">
        <v>0</v>
      </c>
      <c r="K28" s="50">
        <f t="shared" si="3"/>
        <v>0.27910682850153545</v>
      </c>
      <c r="L28" s="39">
        <v>0</v>
      </c>
      <c r="M28" s="38">
        <v>0.27910682850153545</v>
      </c>
      <c r="N28" s="24"/>
    </row>
    <row r="29" spans="1:14" ht="14.25" customHeight="1" x14ac:dyDescent="0.2">
      <c r="B29" s="43" t="s">
        <v>60</v>
      </c>
      <c r="C29" s="50">
        <f t="shared" si="1"/>
        <v>97895.943290237556</v>
      </c>
      <c r="D29" s="50">
        <f t="shared" si="2"/>
        <v>73692.697455079891</v>
      </c>
      <c r="E29" s="34">
        <v>34534.949480493509</v>
      </c>
      <c r="F29" s="34">
        <v>0</v>
      </c>
      <c r="G29" s="34">
        <v>7307.021577140571</v>
      </c>
      <c r="H29" s="34">
        <v>11353.671380697848</v>
      </c>
      <c r="I29" s="34">
        <v>0</v>
      </c>
      <c r="J29" s="34">
        <v>20497.055016747963</v>
      </c>
      <c r="K29" s="50">
        <f t="shared" si="3"/>
        <v>24203.245835157664</v>
      </c>
      <c r="L29" s="39">
        <v>22456.171759956647</v>
      </c>
      <c r="M29" s="38">
        <v>1747.074075201017</v>
      </c>
      <c r="N29" s="24"/>
    </row>
    <row r="30" spans="1:14" ht="14.25" customHeight="1" x14ac:dyDescent="0.2">
      <c r="B30" s="43" t="s">
        <v>81</v>
      </c>
      <c r="C30" s="50">
        <f t="shared" si="1"/>
        <v>11941.637583040174</v>
      </c>
      <c r="D30" s="50">
        <f t="shared" si="2"/>
        <v>9875.5786568872227</v>
      </c>
      <c r="E30" s="34">
        <v>-2420.2689672782058</v>
      </c>
      <c r="F30" s="34">
        <v>5.9972282742800352E-4</v>
      </c>
      <c r="G30" s="34">
        <v>60.949648084594592</v>
      </c>
      <c r="H30" s="34">
        <v>0</v>
      </c>
      <c r="I30" s="34">
        <v>0</v>
      </c>
      <c r="J30" s="34">
        <v>12234.897376358007</v>
      </c>
      <c r="K30" s="50">
        <f t="shared" si="3"/>
        <v>2066.0589261529512</v>
      </c>
      <c r="L30" s="39">
        <v>0</v>
      </c>
      <c r="M30" s="38">
        <v>2066.0589261529512</v>
      </c>
      <c r="N30" s="24"/>
    </row>
    <row r="31" spans="1:14" ht="14.25" customHeight="1" x14ac:dyDescent="0.2">
      <c r="B31" s="43" t="s">
        <v>64</v>
      </c>
      <c r="C31" s="50">
        <f t="shared" si="1"/>
        <v>159709.27141464892</v>
      </c>
      <c r="D31" s="50">
        <f t="shared" si="2"/>
        <v>90747.933385031094</v>
      </c>
      <c r="E31" s="34">
        <v>37015.66453731605</v>
      </c>
      <c r="F31" s="34">
        <v>977.87459018250672</v>
      </c>
      <c r="G31" s="34">
        <v>7241.864399864744</v>
      </c>
      <c r="H31" s="34">
        <v>9152.7213614192351</v>
      </c>
      <c r="I31" s="34">
        <v>40.864565927558992</v>
      </c>
      <c r="J31" s="34">
        <v>36318.943930321002</v>
      </c>
      <c r="K31" s="50">
        <f t="shared" si="3"/>
        <v>68961.338029617822</v>
      </c>
      <c r="L31" s="39">
        <v>56497.637432704418</v>
      </c>
      <c r="M31" s="38">
        <v>12463.700596913404</v>
      </c>
      <c r="N31" s="24"/>
    </row>
    <row r="32" spans="1:14" ht="14.25" customHeight="1" x14ac:dyDescent="0.2">
      <c r="B32" s="43" t="s">
        <v>199</v>
      </c>
      <c r="C32" s="50">
        <f t="shared" si="1"/>
        <v>2181.5869325030612</v>
      </c>
      <c r="D32" s="50">
        <f t="shared" si="2"/>
        <v>-356.38484814082602</v>
      </c>
      <c r="E32" s="34">
        <v>-386.08379980683003</v>
      </c>
      <c r="F32" s="34">
        <v>0.65770219700894816</v>
      </c>
      <c r="G32" s="34">
        <v>29.041249468995034</v>
      </c>
      <c r="H32" s="34">
        <v>0</v>
      </c>
      <c r="I32" s="34">
        <v>0</v>
      </c>
      <c r="J32" s="34">
        <v>0</v>
      </c>
      <c r="K32" s="50">
        <f t="shared" si="3"/>
        <v>2537.9717806438871</v>
      </c>
      <c r="L32" s="39">
        <v>0</v>
      </c>
      <c r="M32" s="38">
        <v>2537.9717806438871</v>
      </c>
      <c r="N32" s="24"/>
    </row>
    <row r="33" spans="1:14" ht="14.25" customHeight="1" x14ac:dyDescent="0.2">
      <c r="B33" s="43" t="s">
        <v>200</v>
      </c>
      <c r="C33" s="50">
        <f t="shared" si="1"/>
        <v>17841.830948986506</v>
      </c>
      <c r="D33" s="50">
        <f t="shared" si="2"/>
        <v>12610.991648048961</v>
      </c>
      <c r="E33" s="34">
        <v>12160.414384293175</v>
      </c>
      <c r="F33" s="34">
        <v>0</v>
      </c>
      <c r="G33" s="34">
        <v>115.11282002981895</v>
      </c>
      <c r="H33" s="34">
        <v>0</v>
      </c>
      <c r="I33" s="34">
        <v>0</v>
      </c>
      <c r="J33" s="34">
        <v>335.46444372596585</v>
      </c>
      <c r="K33" s="50">
        <f t="shared" si="3"/>
        <v>5230.839300937545</v>
      </c>
      <c r="L33" s="39">
        <v>0</v>
      </c>
      <c r="M33" s="38">
        <v>5230.839300937545</v>
      </c>
      <c r="N33" s="24"/>
    </row>
    <row r="34" spans="1:14" ht="14.25" customHeight="1" x14ac:dyDescent="0.2">
      <c r="B34" s="43" t="s">
        <v>580</v>
      </c>
      <c r="C34" s="50">
        <f t="shared" si="1"/>
        <v>-8300.0134877695091</v>
      </c>
      <c r="D34" s="50">
        <f t="shared" si="2"/>
        <v>-8306.0486783043289</v>
      </c>
      <c r="E34" s="34">
        <v>-9819.6407950871999</v>
      </c>
      <c r="F34" s="34">
        <v>0</v>
      </c>
      <c r="G34" s="34">
        <v>-60.156873900061136</v>
      </c>
      <c r="H34" s="34">
        <v>0</v>
      </c>
      <c r="I34" s="34">
        <v>0</v>
      </c>
      <c r="J34" s="34">
        <v>1573.7489906829326</v>
      </c>
      <c r="K34" s="50">
        <f t="shared" si="3"/>
        <v>6.0351905348197761</v>
      </c>
      <c r="L34" s="39">
        <v>0</v>
      </c>
      <c r="M34" s="38">
        <v>6.0351905348197761</v>
      </c>
      <c r="N34" s="24"/>
    </row>
    <row r="35" spans="1:14" ht="14.25" customHeight="1" x14ac:dyDescent="0.2">
      <c r="B35" s="43" t="s">
        <v>202</v>
      </c>
      <c r="C35" s="50">
        <f t="shared" si="1"/>
        <v>913.12167095701648</v>
      </c>
      <c r="D35" s="50">
        <f t="shared" si="2"/>
        <v>10.430603019293073</v>
      </c>
      <c r="E35" s="34">
        <v>-513.62600494397748</v>
      </c>
      <c r="F35" s="34">
        <v>0.49172749178789138</v>
      </c>
      <c r="G35" s="34">
        <v>167.70241013896438</v>
      </c>
      <c r="H35" s="34">
        <v>0</v>
      </c>
      <c r="I35" s="34">
        <v>0</v>
      </c>
      <c r="J35" s="34">
        <v>355.86247033251828</v>
      </c>
      <c r="K35" s="50">
        <f t="shared" si="3"/>
        <v>902.69106793772335</v>
      </c>
      <c r="L35" s="39">
        <v>0</v>
      </c>
      <c r="M35" s="38">
        <v>902.69106793772335</v>
      </c>
      <c r="N35" s="24"/>
    </row>
    <row r="36" spans="1:14" ht="14.25" customHeight="1" x14ac:dyDescent="0.2">
      <c r="A36" s="17" t="s">
        <v>924</v>
      </c>
      <c r="B36" s="43" t="s">
        <v>582</v>
      </c>
      <c r="C36" s="50">
        <f t="shared" si="1"/>
        <v>295.3660782125985</v>
      </c>
      <c r="D36" s="50">
        <f t="shared" si="2"/>
        <v>283.7216173452324</v>
      </c>
      <c r="E36" s="34">
        <v>264.54930876521507</v>
      </c>
      <c r="F36" s="34">
        <v>0</v>
      </c>
      <c r="G36" s="34">
        <v>0</v>
      </c>
      <c r="H36" s="34">
        <v>0</v>
      </c>
      <c r="I36" s="34">
        <v>0</v>
      </c>
      <c r="J36" s="34">
        <v>19.172308580017337</v>
      </c>
      <c r="K36" s="50">
        <f t="shared" si="3"/>
        <v>11.644460867366092</v>
      </c>
      <c r="L36" s="39">
        <v>0</v>
      </c>
      <c r="M36" s="38">
        <v>11.644460867366092</v>
      </c>
      <c r="N36" s="24"/>
    </row>
    <row r="37" spans="1:14" ht="14.25" customHeight="1" x14ac:dyDescent="0.2">
      <c r="B37" s="43" t="s">
        <v>583</v>
      </c>
      <c r="C37" s="50">
        <f t="shared" si="1"/>
        <v>-23.17763931395919</v>
      </c>
      <c r="D37" s="50">
        <f t="shared" si="2"/>
        <v>-24.905432023456282</v>
      </c>
      <c r="E37" s="34">
        <v>-24.860545189177721</v>
      </c>
      <c r="F37" s="34">
        <v>-4.4886834278559232E-2</v>
      </c>
      <c r="G37" s="34">
        <v>0</v>
      </c>
      <c r="H37" s="34">
        <v>0</v>
      </c>
      <c r="I37" s="34">
        <v>0</v>
      </c>
      <c r="J37" s="34">
        <v>0</v>
      </c>
      <c r="K37" s="50">
        <f t="shared" si="3"/>
        <v>1.7277927094970913</v>
      </c>
      <c r="L37" s="39">
        <v>0</v>
      </c>
      <c r="M37" s="38">
        <v>1.7277927094970913</v>
      </c>
      <c r="N37" s="24"/>
    </row>
    <row r="38" spans="1:14" ht="14.25" customHeight="1" x14ac:dyDescent="0.2">
      <c r="B38" s="43" t="s">
        <v>72</v>
      </c>
      <c r="C38" s="50">
        <f t="shared" si="1"/>
        <v>10181.739415194243</v>
      </c>
      <c r="D38" s="50">
        <f t="shared" si="2"/>
        <v>3622.4207306510007</v>
      </c>
      <c r="E38" s="34">
        <v>-3066.2105270970255</v>
      </c>
      <c r="F38" s="34">
        <v>15.84816114101875</v>
      </c>
      <c r="G38" s="34">
        <v>2307.3896754350289</v>
      </c>
      <c r="H38" s="34">
        <v>-732.27055177521595</v>
      </c>
      <c r="I38" s="34">
        <v>9.2651582362935549</v>
      </c>
      <c r="J38" s="34">
        <v>5088.3988147109012</v>
      </c>
      <c r="K38" s="50">
        <f t="shared" si="3"/>
        <v>6559.3186845432419</v>
      </c>
      <c r="L38" s="39">
        <v>5567.2824289672672</v>
      </c>
      <c r="M38" s="38">
        <v>992.03625557597479</v>
      </c>
      <c r="N38" s="24"/>
    </row>
    <row r="39" spans="1:14" ht="14.25" customHeight="1" x14ac:dyDescent="0.2">
      <c r="B39" s="43" t="s">
        <v>205</v>
      </c>
      <c r="C39" s="50">
        <f t="shared" si="1"/>
        <v>31146.006388506787</v>
      </c>
      <c r="D39" s="50">
        <f t="shared" si="2"/>
        <v>22127.550497897446</v>
      </c>
      <c r="E39" s="34">
        <v>11741.65564652445</v>
      </c>
      <c r="F39" s="34">
        <v>4.6620851891726627</v>
      </c>
      <c r="G39" s="34">
        <v>537.47488592858201</v>
      </c>
      <c r="H39" s="34">
        <v>209.25389308022665</v>
      </c>
      <c r="I39" s="34">
        <v>0</v>
      </c>
      <c r="J39" s="34">
        <v>9634.5039871750123</v>
      </c>
      <c r="K39" s="50">
        <f t="shared" si="3"/>
        <v>9018.4558906093389</v>
      </c>
      <c r="L39" s="39">
        <v>8735.6687563038304</v>
      </c>
      <c r="M39" s="38">
        <v>282.78713430550852</v>
      </c>
      <c r="N39" s="24"/>
    </row>
    <row r="40" spans="1:14" ht="14.25" customHeight="1" x14ac:dyDescent="0.2">
      <c r="B40" s="43" t="s">
        <v>61</v>
      </c>
      <c r="C40" s="50">
        <f t="shared" si="1"/>
        <v>55211.576234721724</v>
      </c>
      <c r="D40" s="50">
        <f t="shared" si="2"/>
        <v>45774.956453113162</v>
      </c>
      <c r="E40" s="34">
        <v>2080.9177681414535</v>
      </c>
      <c r="F40" s="34">
        <v>8.1678915044821601</v>
      </c>
      <c r="G40" s="34">
        <v>2200.5737200124231</v>
      </c>
      <c r="H40" s="34">
        <v>3383.4501356892692</v>
      </c>
      <c r="I40" s="34">
        <v>45.027409454487682</v>
      </c>
      <c r="J40" s="34">
        <v>38056.819528311047</v>
      </c>
      <c r="K40" s="50">
        <f t="shared" si="3"/>
        <v>9436.6197816085623</v>
      </c>
      <c r="L40" s="39">
        <v>0</v>
      </c>
      <c r="M40" s="38">
        <v>9436.6197816085623</v>
      </c>
      <c r="N40" s="24"/>
    </row>
    <row r="41" spans="1:14" ht="14.25" customHeight="1" x14ac:dyDescent="0.2">
      <c r="B41" s="43" t="s">
        <v>85</v>
      </c>
      <c r="C41" s="50">
        <f t="shared" si="1"/>
        <v>1537.4335278325104</v>
      </c>
      <c r="D41" s="50">
        <f t="shared" si="2"/>
        <v>1473.2650093428642</v>
      </c>
      <c r="E41" s="34">
        <v>61.264790593573771</v>
      </c>
      <c r="F41" s="34">
        <v>-1.9907452305176425E-2</v>
      </c>
      <c r="G41" s="34">
        <v>0</v>
      </c>
      <c r="H41" s="34">
        <v>0</v>
      </c>
      <c r="I41" s="34">
        <v>11.699414270835703</v>
      </c>
      <c r="J41" s="34">
        <v>1400.3207119307599</v>
      </c>
      <c r="K41" s="50">
        <f t="shared" si="3"/>
        <v>64.168518489646203</v>
      </c>
      <c r="L41" s="39">
        <v>0</v>
      </c>
      <c r="M41" s="38">
        <v>64.168518489646203</v>
      </c>
      <c r="N41" s="24"/>
    </row>
    <row r="42" spans="1:14" ht="14.25" customHeight="1" x14ac:dyDescent="0.2">
      <c r="B42" s="43" t="s">
        <v>70</v>
      </c>
      <c r="C42" s="50">
        <f t="shared" si="1"/>
        <v>178911.81455327503</v>
      </c>
      <c r="D42" s="50">
        <f t="shared" si="2"/>
        <v>127425.76276870121</v>
      </c>
      <c r="E42" s="34">
        <v>-7215.0931222393356</v>
      </c>
      <c r="F42" s="34">
        <v>966.97625512017873</v>
      </c>
      <c r="G42" s="34">
        <v>9845.1054887291903</v>
      </c>
      <c r="H42" s="34">
        <v>29627.559175909941</v>
      </c>
      <c r="I42" s="34">
        <v>125.68868391817556</v>
      </c>
      <c r="J42" s="34">
        <v>94075.52628726307</v>
      </c>
      <c r="K42" s="50">
        <f t="shared" si="3"/>
        <v>51486.051784573821</v>
      </c>
      <c r="L42" s="39">
        <v>27117.231554607602</v>
      </c>
      <c r="M42" s="38">
        <v>24368.820229966223</v>
      </c>
      <c r="N42" s="24"/>
    </row>
    <row r="43" spans="1:14" ht="14.25" customHeight="1" x14ac:dyDescent="0.2">
      <c r="B43" s="43" t="s">
        <v>67</v>
      </c>
      <c r="C43" s="50">
        <f t="shared" si="1"/>
        <v>1003153.5983449486</v>
      </c>
      <c r="D43" s="50">
        <f t="shared" si="2"/>
        <v>563743.02633283485</v>
      </c>
      <c r="E43" s="34">
        <v>-35888.639431204974</v>
      </c>
      <c r="F43" s="34">
        <v>0</v>
      </c>
      <c r="G43" s="34">
        <v>237552.46052707723</v>
      </c>
      <c r="H43" s="34">
        <v>106511.34819416545</v>
      </c>
      <c r="I43" s="34">
        <v>9.1785563993794046</v>
      </c>
      <c r="J43" s="34">
        <v>255558.67848639775</v>
      </c>
      <c r="K43" s="50">
        <f t="shared" si="3"/>
        <v>439410.57201211381</v>
      </c>
      <c r="L43" s="39">
        <v>266355.21562039707</v>
      </c>
      <c r="M43" s="38">
        <v>173055.35639171675</v>
      </c>
      <c r="N43" s="24"/>
    </row>
    <row r="44" spans="1:14" ht="40" customHeight="1" x14ac:dyDescent="0.2">
      <c r="B44" s="49" t="s">
        <v>925</v>
      </c>
      <c r="C44" s="47">
        <f t="shared" ref="C44:M44" si="4">+SUM(C45:C51)</f>
        <v>207789.78846278359</v>
      </c>
      <c r="D44" s="47">
        <f t="shared" si="4"/>
        <v>22170.092096658031</v>
      </c>
      <c r="E44" s="26">
        <f t="shared" si="4"/>
        <v>12356.026878230501</v>
      </c>
      <c r="F44" s="26">
        <f t="shared" si="4"/>
        <v>4051.7033510616852</v>
      </c>
      <c r="G44" s="26">
        <f t="shared" si="4"/>
        <v>-221.49061857383253</v>
      </c>
      <c r="H44" s="26">
        <f t="shared" si="4"/>
        <v>-605.76330637259639</v>
      </c>
      <c r="I44" s="26">
        <f t="shared" si="4"/>
        <v>0</v>
      </c>
      <c r="J44" s="26">
        <f t="shared" si="4"/>
        <v>6589.6157923122691</v>
      </c>
      <c r="K44" s="47">
        <f t="shared" si="4"/>
        <v>185619.69636612563</v>
      </c>
      <c r="L44" s="26">
        <f t="shared" si="4"/>
        <v>0</v>
      </c>
      <c r="M44" s="25">
        <f t="shared" si="4"/>
        <v>185619.69636612563</v>
      </c>
      <c r="N44" s="24"/>
    </row>
    <row r="45" spans="1:14" x14ac:dyDescent="0.2">
      <c r="B45" s="51" t="s">
        <v>83</v>
      </c>
      <c r="C45" s="50">
        <f t="shared" ref="C45:C88" si="5">+D45+K45</f>
        <v>22255.332501510988</v>
      </c>
      <c r="D45" s="50">
        <f t="shared" ref="D45:D51" si="6">SUM(E45:J45)</f>
        <v>21280.177618859641</v>
      </c>
      <c r="E45" s="34">
        <v>17705.220291142199</v>
      </c>
      <c r="F45" s="34">
        <v>1.9262341254779852E-2</v>
      </c>
      <c r="G45" s="34">
        <v>-166.6414552863763</v>
      </c>
      <c r="H45" s="34">
        <v>1601.6293248446195</v>
      </c>
      <c r="I45" s="34">
        <v>0</v>
      </c>
      <c r="J45" s="34">
        <v>2139.950195817943</v>
      </c>
      <c r="K45" s="50">
        <f t="shared" ref="K45:K51" si="7">+SUM(L45:M45)</f>
        <v>975.15488265134627</v>
      </c>
      <c r="L45" s="39">
        <v>0</v>
      </c>
      <c r="M45" s="38">
        <v>975.15488265134627</v>
      </c>
      <c r="N45" s="24"/>
    </row>
    <row r="46" spans="1:14" x14ac:dyDescent="0.2">
      <c r="A46" s="57" t="s">
        <v>208</v>
      </c>
      <c r="B46" s="43" t="s">
        <v>88</v>
      </c>
      <c r="C46" s="50">
        <f t="shared" si="5"/>
        <v>149504.8853445545</v>
      </c>
      <c r="D46" s="50">
        <f t="shared" si="6"/>
        <v>21.119639583179378</v>
      </c>
      <c r="E46" s="34">
        <v>-3233.462590341649</v>
      </c>
      <c r="F46" s="34">
        <v>43.26140806395388</v>
      </c>
      <c r="G46" s="34">
        <v>-47.743435304795341</v>
      </c>
      <c r="H46" s="34">
        <v>310.64859227388001</v>
      </c>
      <c r="I46" s="34">
        <v>0</v>
      </c>
      <c r="J46" s="34">
        <v>2948.4156648917897</v>
      </c>
      <c r="K46" s="50">
        <f t="shared" si="7"/>
        <v>149483.76570497133</v>
      </c>
      <c r="L46" s="39">
        <v>0</v>
      </c>
      <c r="M46" s="38">
        <v>149483.76570497133</v>
      </c>
      <c r="N46" s="24"/>
    </row>
    <row r="47" spans="1:14" x14ac:dyDescent="0.2">
      <c r="B47" s="43" t="s">
        <v>209</v>
      </c>
      <c r="C47" s="50">
        <f t="shared" si="5"/>
        <v>3281.1683549992799</v>
      </c>
      <c r="D47" s="50">
        <f t="shared" si="6"/>
        <v>-9.6820721270468759</v>
      </c>
      <c r="E47" s="34">
        <v>-9.7127999951406991</v>
      </c>
      <c r="F47" s="34">
        <v>3.0727868093823073E-2</v>
      </c>
      <c r="G47" s="34">
        <v>0</v>
      </c>
      <c r="H47" s="34">
        <v>0</v>
      </c>
      <c r="I47" s="34">
        <v>0</v>
      </c>
      <c r="J47" s="34">
        <v>0</v>
      </c>
      <c r="K47" s="50">
        <f t="shared" si="7"/>
        <v>3290.8504271263268</v>
      </c>
      <c r="L47" s="39">
        <v>0</v>
      </c>
      <c r="M47" s="38">
        <v>3290.8504271263268</v>
      </c>
      <c r="N47" s="24"/>
    </row>
    <row r="48" spans="1:14" x14ac:dyDescent="0.2">
      <c r="B48" s="43" t="s">
        <v>210</v>
      </c>
      <c r="C48" s="50">
        <f t="shared" si="5"/>
        <v>391.54700629603752</v>
      </c>
      <c r="D48" s="50">
        <f t="shared" si="6"/>
        <v>-4.8489462310344802</v>
      </c>
      <c r="E48" s="39">
        <v>-4.8563999975702998</v>
      </c>
      <c r="F48" s="39">
        <v>7.4537665358196262E-3</v>
      </c>
      <c r="G48" s="39">
        <v>0</v>
      </c>
      <c r="H48" s="39">
        <v>0</v>
      </c>
      <c r="I48" s="39">
        <v>0</v>
      </c>
      <c r="J48" s="39">
        <v>0</v>
      </c>
      <c r="K48" s="50">
        <f t="shared" si="7"/>
        <v>396.39595252707198</v>
      </c>
      <c r="L48" s="39">
        <v>0</v>
      </c>
      <c r="M48" s="38">
        <v>396.39595252707198</v>
      </c>
      <c r="N48" s="24"/>
    </row>
    <row r="49" spans="1:14" ht="14.25" customHeight="1" x14ac:dyDescent="0.2">
      <c r="B49" s="43" t="s">
        <v>84</v>
      </c>
      <c r="C49" s="50">
        <f t="shared" si="5"/>
        <v>15361.297585290473</v>
      </c>
      <c r="D49" s="50">
        <f t="shared" si="6"/>
        <v>94.674979832904555</v>
      </c>
      <c r="E49" s="34">
        <v>92.109593166567365</v>
      </c>
      <c r="F49" s="34">
        <v>2.5653866663371852</v>
      </c>
      <c r="G49" s="34">
        <v>0</v>
      </c>
      <c r="H49" s="34">
        <v>0</v>
      </c>
      <c r="I49" s="34">
        <v>0</v>
      </c>
      <c r="J49" s="34">
        <v>0</v>
      </c>
      <c r="K49" s="50">
        <f t="shared" si="7"/>
        <v>15266.622605457569</v>
      </c>
      <c r="L49" s="39">
        <v>0</v>
      </c>
      <c r="M49" s="38">
        <v>15266.622605457569</v>
      </c>
      <c r="N49" s="24"/>
    </row>
    <row r="50" spans="1:14" ht="14.25" customHeight="1" x14ac:dyDescent="0.2">
      <c r="A50" s="57" t="s">
        <v>211</v>
      </c>
      <c r="B50" s="43" t="s">
        <v>87</v>
      </c>
      <c r="C50" s="50">
        <f t="shared" si="5"/>
        <v>2479.6631017541658</v>
      </c>
      <c r="D50" s="50">
        <f t="shared" si="6"/>
        <v>2357.9721290491707</v>
      </c>
      <c r="E50" s="34">
        <v>-612.51301653476582</v>
      </c>
      <c r="F50" s="34">
        <v>3992.3077904930865</v>
      </c>
      <c r="G50" s="34">
        <v>-5.0313530205898207</v>
      </c>
      <c r="H50" s="34">
        <v>-2518.0412234910959</v>
      </c>
      <c r="I50" s="34">
        <v>0</v>
      </c>
      <c r="J50" s="34">
        <v>1501.2499316025358</v>
      </c>
      <c r="K50" s="50">
        <f t="shared" si="7"/>
        <v>121.69097270499515</v>
      </c>
      <c r="L50" s="39">
        <v>0</v>
      </c>
      <c r="M50" s="38">
        <v>121.69097270499515</v>
      </c>
      <c r="N50" s="24"/>
    </row>
    <row r="51" spans="1:14" ht="14.25" customHeight="1" x14ac:dyDescent="0.2">
      <c r="B51" s="43" t="s">
        <v>86</v>
      </c>
      <c r="C51" s="50">
        <f t="shared" si="5"/>
        <v>14515.894568378182</v>
      </c>
      <c r="D51" s="50">
        <f t="shared" si="6"/>
        <v>-1569.3212523087877</v>
      </c>
      <c r="E51" s="34">
        <v>-1580.75819920914</v>
      </c>
      <c r="F51" s="34">
        <v>13.511321862423356</v>
      </c>
      <c r="G51" s="34">
        <v>-2.0743749620710741</v>
      </c>
      <c r="H51" s="34">
        <v>0</v>
      </c>
      <c r="I51" s="34">
        <v>0</v>
      </c>
      <c r="J51" s="34">
        <v>0</v>
      </c>
      <c r="K51" s="50">
        <f t="shared" si="7"/>
        <v>16085.21582068697</v>
      </c>
      <c r="L51" s="39">
        <v>0</v>
      </c>
      <c r="M51" s="38">
        <v>16085.21582068697</v>
      </c>
      <c r="N51" s="24"/>
    </row>
    <row r="52" spans="1:14" ht="40" customHeight="1" x14ac:dyDescent="0.2">
      <c r="B52" s="49" t="s">
        <v>926</v>
      </c>
      <c r="C52" s="48">
        <f t="shared" si="5"/>
        <v>386836.76953536895</v>
      </c>
      <c r="D52" s="41">
        <f t="shared" ref="D52:M52" si="8">+SUM(D53:D88)</f>
        <v>93746.188854985419</v>
      </c>
      <c r="E52" s="26">
        <f t="shared" si="8"/>
        <v>5117.7426292332102</v>
      </c>
      <c r="F52" s="26">
        <f t="shared" si="8"/>
        <v>2760.3769895008863</v>
      </c>
      <c r="G52" s="26">
        <f t="shared" si="8"/>
        <v>15204.420168688473</v>
      </c>
      <c r="H52" s="46">
        <f t="shared" si="8"/>
        <v>26842.336063761708</v>
      </c>
      <c r="I52" s="46">
        <f t="shared" si="8"/>
        <v>1156.0654949586703</v>
      </c>
      <c r="J52" s="46">
        <f t="shared" si="8"/>
        <v>42665.247508842469</v>
      </c>
      <c r="K52" s="47">
        <f t="shared" si="8"/>
        <v>293090.58068038354</v>
      </c>
      <c r="L52" s="46">
        <f t="shared" si="8"/>
        <v>0</v>
      </c>
      <c r="M52" s="45">
        <f t="shared" si="8"/>
        <v>293090.58068038354</v>
      </c>
      <c r="N52" s="24"/>
    </row>
    <row r="53" spans="1:14" ht="14.25" customHeight="1" x14ac:dyDescent="0.2">
      <c r="B53" s="43" t="s">
        <v>927</v>
      </c>
      <c r="C53" s="50">
        <f t="shared" si="5"/>
        <v>2.4230958874476558</v>
      </c>
      <c r="D53" s="41">
        <f t="shared" ref="D53:D90" si="9">SUM(E53:J53)</f>
        <v>7.2045163267565493E-2</v>
      </c>
      <c r="E53" s="40">
        <v>0</v>
      </c>
      <c r="F53" s="40">
        <v>7.2045163267565493E-2</v>
      </c>
      <c r="G53" s="40">
        <v>0</v>
      </c>
      <c r="H53" s="39">
        <v>0</v>
      </c>
      <c r="I53" s="39">
        <v>0</v>
      </c>
      <c r="J53" s="39">
        <v>0</v>
      </c>
      <c r="K53" s="42">
        <f t="shared" ref="K53:K88" si="10">+SUM(L53:M53)</f>
        <v>2.3510507241800904</v>
      </c>
      <c r="L53" s="39">
        <v>0</v>
      </c>
      <c r="M53" s="38">
        <v>2.3510507241800904</v>
      </c>
      <c r="N53" s="24"/>
    </row>
    <row r="54" spans="1:14" ht="14.25" customHeight="1" x14ac:dyDescent="0.2">
      <c r="B54" s="43" t="s">
        <v>302</v>
      </c>
      <c r="C54" s="50">
        <f t="shared" si="5"/>
        <v>213.58223370985496</v>
      </c>
      <c r="D54" s="41">
        <f t="shared" si="9"/>
        <v>9.0370808639742266E-3</v>
      </c>
      <c r="E54" s="40">
        <v>0</v>
      </c>
      <c r="F54" s="40">
        <v>9.0370808639742266E-3</v>
      </c>
      <c r="G54" s="40">
        <v>0</v>
      </c>
      <c r="H54" s="39">
        <v>0</v>
      </c>
      <c r="I54" s="39">
        <v>0</v>
      </c>
      <c r="J54" s="39">
        <v>0</v>
      </c>
      <c r="K54" s="42">
        <f t="shared" si="10"/>
        <v>213.57319662899098</v>
      </c>
      <c r="L54" s="39">
        <v>0</v>
      </c>
      <c r="M54" s="38">
        <v>213.57319662899098</v>
      </c>
      <c r="N54" s="24"/>
    </row>
    <row r="55" spans="1:14" ht="14.25" customHeight="1" x14ac:dyDescent="0.2">
      <c r="B55" s="43" t="s">
        <v>303</v>
      </c>
      <c r="C55" s="50">
        <f t="shared" si="5"/>
        <v>13.266053840261437</v>
      </c>
      <c r="D55" s="41">
        <f t="shared" si="9"/>
        <v>2.7753790269925284E-2</v>
      </c>
      <c r="E55" s="40">
        <v>0</v>
      </c>
      <c r="F55" s="40">
        <v>2.7753790269925284E-2</v>
      </c>
      <c r="G55" s="40">
        <v>0</v>
      </c>
      <c r="H55" s="39">
        <v>0</v>
      </c>
      <c r="I55" s="39">
        <v>0</v>
      </c>
      <c r="J55" s="39">
        <v>0</v>
      </c>
      <c r="K55" s="42">
        <f t="shared" si="10"/>
        <v>13.238300049991512</v>
      </c>
      <c r="L55" s="39">
        <v>0</v>
      </c>
      <c r="M55" s="38">
        <v>13.238300049991512</v>
      </c>
      <c r="N55" s="24"/>
    </row>
    <row r="56" spans="1:14" ht="14.25" customHeight="1" x14ac:dyDescent="0.2">
      <c r="B56" s="43" t="s">
        <v>545</v>
      </c>
      <c r="C56" s="50">
        <f t="shared" si="5"/>
        <v>123.33728275211953</v>
      </c>
      <c r="D56" s="41">
        <f t="shared" si="9"/>
        <v>0</v>
      </c>
      <c r="E56" s="40">
        <v>0</v>
      </c>
      <c r="F56" s="40">
        <v>0</v>
      </c>
      <c r="G56" s="40">
        <v>0</v>
      </c>
      <c r="H56" s="39">
        <v>0</v>
      </c>
      <c r="I56" s="39">
        <v>0</v>
      </c>
      <c r="J56" s="39">
        <v>0</v>
      </c>
      <c r="K56" s="42">
        <f t="shared" si="10"/>
        <v>123.33728275211953</v>
      </c>
      <c r="L56" s="39">
        <v>0</v>
      </c>
      <c r="M56" s="38">
        <v>123.33728275211953</v>
      </c>
      <c r="N56" s="24"/>
    </row>
    <row r="57" spans="1:14" ht="14.25" customHeight="1" x14ac:dyDescent="0.2">
      <c r="A57" s="57" t="s">
        <v>307</v>
      </c>
      <c r="B57" s="43" t="s">
        <v>546</v>
      </c>
      <c r="C57" s="50">
        <f t="shared" si="5"/>
        <v>1544.8356546338973</v>
      </c>
      <c r="D57" s="41">
        <f t="shared" si="9"/>
        <v>390.86531552018306</v>
      </c>
      <c r="E57" s="40">
        <v>0</v>
      </c>
      <c r="F57" s="40">
        <v>0</v>
      </c>
      <c r="G57" s="40">
        <v>0</v>
      </c>
      <c r="H57" s="39">
        <v>390.86531552018306</v>
      </c>
      <c r="I57" s="39">
        <v>0</v>
      </c>
      <c r="J57" s="39">
        <v>0</v>
      </c>
      <c r="K57" s="42">
        <f t="shared" si="10"/>
        <v>1153.9703391137143</v>
      </c>
      <c r="L57" s="39">
        <v>0</v>
      </c>
      <c r="M57" s="38">
        <v>1153.9703391137143</v>
      </c>
      <c r="N57" s="24"/>
    </row>
    <row r="58" spans="1:14" ht="14.25" customHeight="1" x14ac:dyDescent="0.2">
      <c r="A58" s="57" t="s">
        <v>308</v>
      </c>
      <c r="B58" s="43" t="s">
        <v>557</v>
      </c>
      <c r="C58" s="50">
        <f t="shared" si="5"/>
        <v>811.20778638926799</v>
      </c>
      <c r="D58" s="41">
        <f t="shared" si="9"/>
        <v>-192.90087561766276</v>
      </c>
      <c r="E58" s="40">
        <v>-199.11239990038001</v>
      </c>
      <c r="F58" s="40">
        <v>6.6724964965108207</v>
      </c>
      <c r="G58" s="40">
        <v>-0.46097221379357206</v>
      </c>
      <c r="H58" s="39">
        <v>0</v>
      </c>
      <c r="I58" s="39">
        <v>0</v>
      </c>
      <c r="J58" s="39">
        <v>0</v>
      </c>
      <c r="K58" s="42">
        <f t="shared" si="10"/>
        <v>1004.1086620069308</v>
      </c>
      <c r="L58" s="39">
        <v>0</v>
      </c>
      <c r="M58" s="38">
        <v>1004.1086620069308</v>
      </c>
      <c r="N58" s="24"/>
    </row>
    <row r="59" spans="1:14" ht="14.25" customHeight="1" x14ac:dyDescent="0.2">
      <c r="B59" s="43" t="s">
        <v>310</v>
      </c>
      <c r="C59" s="50">
        <f t="shared" si="5"/>
        <v>216.25147493540092</v>
      </c>
      <c r="D59" s="41">
        <f t="shared" si="9"/>
        <v>23.79012539556178</v>
      </c>
      <c r="E59" s="40">
        <v>0</v>
      </c>
      <c r="F59" s="40">
        <v>13.372153363827056</v>
      </c>
      <c r="G59" s="40">
        <v>10.417972031734726</v>
      </c>
      <c r="H59" s="39">
        <v>0</v>
      </c>
      <c r="I59" s="39">
        <v>0</v>
      </c>
      <c r="J59" s="39">
        <v>0</v>
      </c>
      <c r="K59" s="42">
        <f t="shared" si="10"/>
        <v>192.46134953983915</v>
      </c>
      <c r="L59" s="39">
        <v>0</v>
      </c>
      <c r="M59" s="38">
        <v>192.46134953983915</v>
      </c>
      <c r="N59" s="24"/>
    </row>
    <row r="60" spans="1:14" ht="14.25" customHeight="1" x14ac:dyDescent="0.2">
      <c r="B60" s="43" t="s">
        <v>313</v>
      </c>
      <c r="C60" s="50">
        <f t="shared" si="5"/>
        <v>5.266852257878341</v>
      </c>
      <c r="D60" s="41">
        <f t="shared" si="9"/>
        <v>8.065746991227575E-2</v>
      </c>
      <c r="E60" s="40">
        <v>0</v>
      </c>
      <c r="F60" s="40">
        <v>0</v>
      </c>
      <c r="G60" s="40">
        <v>0</v>
      </c>
      <c r="H60" s="39">
        <v>0</v>
      </c>
      <c r="I60" s="39">
        <v>8.065746991227575E-2</v>
      </c>
      <c r="J60" s="39">
        <v>0</v>
      </c>
      <c r="K60" s="42">
        <f t="shared" si="10"/>
        <v>5.1861947879660653</v>
      </c>
      <c r="L60" s="39">
        <v>0</v>
      </c>
      <c r="M60" s="38">
        <v>5.1861947879660653</v>
      </c>
      <c r="N60" s="24"/>
    </row>
    <row r="61" spans="1:14" ht="14.25" customHeight="1" x14ac:dyDescent="0.2">
      <c r="B61" s="43" t="s">
        <v>224</v>
      </c>
      <c r="C61" s="50">
        <f t="shared" si="5"/>
        <v>69457.285062833456</v>
      </c>
      <c r="D61" s="41">
        <f t="shared" si="9"/>
        <v>45189.249403021218</v>
      </c>
      <c r="E61" s="40">
        <v>0</v>
      </c>
      <c r="F61" s="40">
        <v>0</v>
      </c>
      <c r="G61" s="40">
        <v>12238.812276219338</v>
      </c>
      <c r="H61" s="39">
        <v>7295.2314096845521</v>
      </c>
      <c r="I61" s="39">
        <v>0</v>
      </c>
      <c r="J61" s="39">
        <v>25655.205717117329</v>
      </c>
      <c r="K61" s="42">
        <f t="shared" si="10"/>
        <v>24268.035659812238</v>
      </c>
      <c r="L61" s="39">
        <v>0</v>
      </c>
      <c r="M61" s="38">
        <v>24268.035659812238</v>
      </c>
      <c r="N61" s="24"/>
    </row>
    <row r="62" spans="1:14" ht="14.25" customHeight="1" x14ac:dyDescent="0.2">
      <c r="A62" s="57" t="s">
        <v>928</v>
      </c>
      <c r="B62" s="43" t="s">
        <v>679</v>
      </c>
      <c r="C62" s="50">
        <f t="shared" si="5"/>
        <v>-5.3465463947633669</v>
      </c>
      <c r="D62" s="41">
        <f t="shared" si="9"/>
        <v>0</v>
      </c>
      <c r="E62" s="40">
        <v>0</v>
      </c>
      <c r="F62" s="40">
        <v>0</v>
      </c>
      <c r="G62" s="40">
        <v>0</v>
      </c>
      <c r="H62" s="39">
        <v>0</v>
      </c>
      <c r="I62" s="39">
        <v>0</v>
      </c>
      <c r="J62" s="39">
        <v>0</v>
      </c>
      <c r="K62" s="42">
        <f t="shared" si="10"/>
        <v>-5.3465463947633669</v>
      </c>
      <c r="L62" s="39">
        <v>0</v>
      </c>
      <c r="M62" s="38">
        <v>-5.3465463947633669</v>
      </c>
      <c r="N62" s="24"/>
    </row>
    <row r="63" spans="1:14" ht="14.25" customHeight="1" x14ac:dyDescent="0.2">
      <c r="A63" s="57" t="s">
        <v>929</v>
      </c>
      <c r="B63" s="43" t="s">
        <v>930</v>
      </c>
      <c r="C63" s="50">
        <f t="shared" si="5"/>
        <v>155035.98067250533</v>
      </c>
      <c r="D63" s="41">
        <f t="shared" si="9"/>
        <v>5269.6923767666385</v>
      </c>
      <c r="E63" s="40">
        <v>44.921699977526004</v>
      </c>
      <c r="F63" s="40">
        <v>947.17370135434703</v>
      </c>
      <c r="G63" s="40">
        <v>0</v>
      </c>
      <c r="H63" s="39">
        <v>4206.9428079563804</v>
      </c>
      <c r="I63" s="39">
        <v>0</v>
      </c>
      <c r="J63" s="39">
        <v>70.654167478384963</v>
      </c>
      <c r="K63" s="42">
        <f t="shared" si="10"/>
        <v>149766.28829573869</v>
      </c>
      <c r="L63" s="39">
        <v>0</v>
      </c>
      <c r="M63" s="38">
        <v>149766.28829573869</v>
      </c>
      <c r="N63" s="24"/>
    </row>
    <row r="64" spans="1:14" ht="14.25" customHeight="1" x14ac:dyDescent="0.2">
      <c r="B64" s="44" t="s">
        <v>326</v>
      </c>
      <c r="C64" s="50">
        <f t="shared" si="5"/>
        <v>56964.833106419734</v>
      </c>
      <c r="D64" s="41">
        <f t="shared" si="9"/>
        <v>13256.949435024355</v>
      </c>
      <c r="E64" s="40">
        <v>116.55359994169</v>
      </c>
      <c r="F64" s="40">
        <v>0</v>
      </c>
      <c r="G64" s="40">
        <v>1975.9573944261465</v>
      </c>
      <c r="H64" s="39">
        <v>5047.5296945826385</v>
      </c>
      <c r="I64" s="39">
        <v>0</v>
      </c>
      <c r="J64" s="39">
        <v>6116.9087460738792</v>
      </c>
      <c r="K64" s="42">
        <f t="shared" si="10"/>
        <v>43707.883671395379</v>
      </c>
      <c r="L64" s="39">
        <v>0</v>
      </c>
      <c r="M64" s="38">
        <v>43707.883671395379</v>
      </c>
      <c r="N64" s="24"/>
    </row>
    <row r="65" spans="1:14" ht="14.25" customHeight="1" x14ac:dyDescent="0.2">
      <c r="B65" s="43" t="s">
        <v>548</v>
      </c>
      <c r="C65" s="50">
        <f t="shared" si="5"/>
        <v>115.53068522180237</v>
      </c>
      <c r="D65" s="41">
        <f t="shared" si="9"/>
        <v>-15.625466992182631</v>
      </c>
      <c r="E65" s="40">
        <v>-15.625466992182631</v>
      </c>
      <c r="F65" s="40">
        <v>0</v>
      </c>
      <c r="G65" s="40">
        <v>0</v>
      </c>
      <c r="H65" s="39">
        <v>0</v>
      </c>
      <c r="I65" s="39">
        <v>0</v>
      </c>
      <c r="J65" s="39">
        <v>0</v>
      </c>
      <c r="K65" s="42">
        <f t="shared" si="10"/>
        <v>131.156152213985</v>
      </c>
      <c r="L65" s="39">
        <v>0</v>
      </c>
      <c r="M65" s="38">
        <v>131.156152213985</v>
      </c>
      <c r="N65" s="24"/>
    </row>
    <row r="66" spans="1:14" ht="14.25" customHeight="1" x14ac:dyDescent="0.2">
      <c r="B66" s="43" t="s">
        <v>338</v>
      </c>
      <c r="C66" s="50">
        <f t="shared" si="5"/>
        <v>7272.0437159187277</v>
      </c>
      <c r="D66" s="41">
        <f t="shared" si="9"/>
        <v>6685.621793657202</v>
      </c>
      <c r="E66" s="40">
        <v>511.86027526694767</v>
      </c>
      <c r="F66" s="40">
        <v>1703.0350937789067</v>
      </c>
      <c r="G66" s="40">
        <v>42.526332755038055</v>
      </c>
      <c r="H66" s="39">
        <v>413.60010672989881</v>
      </c>
      <c r="I66" s="39">
        <v>9.9983183989815156</v>
      </c>
      <c r="J66" s="39">
        <v>4004.6016667274293</v>
      </c>
      <c r="K66" s="42">
        <f t="shared" si="10"/>
        <v>586.42192226152565</v>
      </c>
      <c r="L66" s="39">
        <v>0</v>
      </c>
      <c r="M66" s="38">
        <v>586.42192226152565</v>
      </c>
      <c r="N66" s="24"/>
    </row>
    <row r="67" spans="1:14" ht="14.25" customHeight="1" x14ac:dyDescent="0.2">
      <c r="B67" s="43" t="s">
        <v>577</v>
      </c>
      <c r="C67" s="50">
        <f t="shared" si="5"/>
        <v>3383.267548608057</v>
      </c>
      <c r="D67" s="41">
        <f t="shared" si="9"/>
        <v>2893.9692759729851</v>
      </c>
      <c r="E67" s="40">
        <v>-15.518602577421515</v>
      </c>
      <c r="F67" s="40">
        <v>2.9005118065748583</v>
      </c>
      <c r="G67" s="40">
        <v>664.33854490831129</v>
      </c>
      <c r="H67" s="39">
        <v>2242.2488218355206</v>
      </c>
      <c r="I67" s="39">
        <v>0</v>
      </c>
      <c r="J67" s="39">
        <v>0</v>
      </c>
      <c r="K67" s="42">
        <f t="shared" si="10"/>
        <v>489.29827263507195</v>
      </c>
      <c r="L67" s="39">
        <v>0</v>
      </c>
      <c r="M67" s="38">
        <v>489.29827263507195</v>
      </c>
      <c r="N67" s="24"/>
    </row>
    <row r="68" spans="1:14" ht="14.25" customHeight="1" x14ac:dyDescent="0.2">
      <c r="B68" s="43" t="s">
        <v>359</v>
      </c>
      <c r="C68" s="50">
        <f t="shared" si="5"/>
        <v>4.1725997786207163</v>
      </c>
      <c r="D68" s="41">
        <f t="shared" si="9"/>
        <v>0.17023905159586764</v>
      </c>
      <c r="E68" s="40">
        <v>0</v>
      </c>
      <c r="F68" s="40">
        <v>0.17023905159586764</v>
      </c>
      <c r="G68" s="40">
        <v>0</v>
      </c>
      <c r="H68" s="39">
        <v>0</v>
      </c>
      <c r="I68" s="39">
        <v>0</v>
      </c>
      <c r="J68" s="39">
        <v>0</v>
      </c>
      <c r="K68" s="42">
        <f t="shared" si="10"/>
        <v>4.0023607270248487</v>
      </c>
      <c r="L68" s="39">
        <v>0</v>
      </c>
      <c r="M68" s="38">
        <v>4.0023607270248487</v>
      </c>
      <c r="N68" s="24"/>
    </row>
    <row r="69" spans="1:14" ht="14.25" customHeight="1" x14ac:dyDescent="0.2">
      <c r="B69" s="43" t="s">
        <v>575</v>
      </c>
      <c r="C69" s="50">
        <f t="shared" si="5"/>
        <v>956.28691439342447</v>
      </c>
      <c r="D69" s="41">
        <f t="shared" si="9"/>
        <v>772.20380508388087</v>
      </c>
      <c r="E69" s="40">
        <v>-47.349899976311001</v>
      </c>
      <c r="F69" s="40">
        <v>36.061658076690634</v>
      </c>
      <c r="G69" s="40">
        <v>0</v>
      </c>
      <c r="H69" s="39">
        <v>783.49204698350127</v>
      </c>
      <c r="I69" s="39">
        <v>0</v>
      </c>
      <c r="J69" s="39">
        <v>0</v>
      </c>
      <c r="K69" s="42">
        <f t="shared" si="10"/>
        <v>184.0831093095436</v>
      </c>
      <c r="L69" s="39">
        <v>0</v>
      </c>
      <c r="M69" s="38">
        <v>184.0831093095436</v>
      </c>
      <c r="N69" s="24"/>
    </row>
    <row r="70" spans="1:14" ht="14.25" customHeight="1" x14ac:dyDescent="0.2">
      <c r="A70" s="57" t="s">
        <v>574</v>
      </c>
      <c r="B70" s="43" t="s">
        <v>931</v>
      </c>
      <c r="C70" s="50">
        <f t="shared" si="5"/>
        <v>3266.3938197704301</v>
      </c>
      <c r="D70" s="41">
        <f t="shared" si="9"/>
        <v>3039.5056282634091</v>
      </c>
      <c r="E70" s="40">
        <v>1.8990497800651365</v>
      </c>
      <c r="F70" s="40">
        <v>4.4517843408043891</v>
      </c>
      <c r="G70" s="40">
        <v>0</v>
      </c>
      <c r="H70" s="39">
        <v>2756.1113336412345</v>
      </c>
      <c r="I70" s="39">
        <v>0</v>
      </c>
      <c r="J70" s="39">
        <v>277.04346050130516</v>
      </c>
      <c r="K70" s="42">
        <f t="shared" si="10"/>
        <v>226.88819150702102</v>
      </c>
      <c r="L70" s="39">
        <v>0</v>
      </c>
      <c r="M70" s="38">
        <v>226.88819150702102</v>
      </c>
      <c r="N70" s="24"/>
    </row>
    <row r="71" spans="1:14" ht="14.25" customHeight="1" x14ac:dyDescent="0.2">
      <c r="A71" s="57" t="s">
        <v>329</v>
      </c>
      <c r="B71" s="43" t="s">
        <v>63</v>
      </c>
      <c r="C71" s="50">
        <f t="shared" si="5"/>
        <v>44685.10692140615</v>
      </c>
      <c r="D71" s="41">
        <f t="shared" si="9"/>
        <v>10281.541351931135</v>
      </c>
      <c r="E71" s="40">
        <v>4273.6319978619003</v>
      </c>
      <c r="F71" s="40">
        <v>10.313566947786425</v>
      </c>
      <c r="G71" s="40">
        <v>59.234929472474008</v>
      </c>
      <c r="H71" s="39">
        <v>1681.6892334032877</v>
      </c>
      <c r="I71" s="39">
        <v>0</v>
      </c>
      <c r="J71" s="39">
        <v>4256.6716242456878</v>
      </c>
      <c r="K71" s="42">
        <f t="shared" si="10"/>
        <v>34403.565569475017</v>
      </c>
      <c r="L71" s="39">
        <v>0</v>
      </c>
      <c r="M71" s="38">
        <v>34403.565569475017</v>
      </c>
      <c r="N71" s="24"/>
    </row>
    <row r="72" spans="1:14" ht="14.25" customHeight="1" x14ac:dyDescent="0.2">
      <c r="B72" s="43" t="s">
        <v>932</v>
      </c>
      <c r="C72" s="50">
        <f t="shared" si="5"/>
        <v>154.23105587659745</v>
      </c>
      <c r="D72" s="41">
        <f t="shared" si="9"/>
        <v>5.1282404161474346</v>
      </c>
      <c r="E72" s="40">
        <v>0</v>
      </c>
      <c r="F72" s="40">
        <v>4.7011768660379651</v>
      </c>
      <c r="G72" s="40">
        <v>0</v>
      </c>
      <c r="H72" s="39">
        <v>0</v>
      </c>
      <c r="I72" s="39">
        <v>0.42706355010946995</v>
      </c>
      <c r="J72" s="39">
        <v>0</v>
      </c>
      <c r="K72" s="42">
        <f t="shared" si="10"/>
        <v>149.10281546045002</v>
      </c>
      <c r="L72" s="39">
        <v>0</v>
      </c>
      <c r="M72" s="38">
        <v>149.10281546045002</v>
      </c>
      <c r="N72" s="24"/>
    </row>
    <row r="73" spans="1:14" ht="14.25" customHeight="1" x14ac:dyDescent="0.2">
      <c r="B73" s="43" t="s">
        <v>378</v>
      </c>
      <c r="C73" s="50">
        <f t="shared" si="5"/>
        <v>216.85439044033095</v>
      </c>
      <c r="D73" s="41">
        <f t="shared" si="9"/>
        <v>116.7561119437278</v>
      </c>
      <c r="E73" s="40">
        <v>94.699799952622001</v>
      </c>
      <c r="F73" s="40">
        <v>22.056311991105794</v>
      </c>
      <c r="G73" s="40">
        <v>0</v>
      </c>
      <c r="H73" s="39">
        <v>0</v>
      </c>
      <c r="I73" s="39">
        <v>0</v>
      </c>
      <c r="J73" s="39">
        <v>0</v>
      </c>
      <c r="K73" s="42">
        <f t="shared" si="10"/>
        <v>100.09827849660314</v>
      </c>
      <c r="L73" s="39">
        <v>0</v>
      </c>
      <c r="M73" s="38">
        <v>100.09827849660314</v>
      </c>
      <c r="N73" s="24"/>
    </row>
    <row r="74" spans="1:14" ht="14.25" customHeight="1" x14ac:dyDescent="0.2">
      <c r="B74" s="43" t="s">
        <v>698</v>
      </c>
      <c r="C74" s="50">
        <f t="shared" si="5"/>
        <v>968.79224367855647</v>
      </c>
      <c r="D74" s="41">
        <f t="shared" si="9"/>
        <v>600.95805395320735</v>
      </c>
      <c r="E74" s="40">
        <v>0</v>
      </c>
      <c r="F74" s="40">
        <v>0</v>
      </c>
      <c r="G74" s="40">
        <v>0</v>
      </c>
      <c r="H74" s="39">
        <v>600.95805395320735</v>
      </c>
      <c r="I74" s="39">
        <v>0</v>
      </c>
      <c r="J74" s="39">
        <v>0</v>
      </c>
      <c r="K74" s="42">
        <f t="shared" si="10"/>
        <v>367.83418972534912</v>
      </c>
      <c r="L74" s="39">
        <v>0</v>
      </c>
      <c r="M74" s="38">
        <v>367.83418972534912</v>
      </c>
      <c r="N74" s="24"/>
    </row>
    <row r="75" spans="1:14" ht="14.25" customHeight="1" x14ac:dyDescent="0.2">
      <c r="A75" s="57" t="s">
        <v>330</v>
      </c>
      <c r="B75" s="43" t="s">
        <v>564</v>
      </c>
      <c r="C75" s="50">
        <f t="shared" si="5"/>
        <v>2669.583642106104</v>
      </c>
      <c r="D75" s="41">
        <f t="shared" si="9"/>
        <v>0.44800131878256805</v>
      </c>
      <c r="E75" s="40">
        <v>0</v>
      </c>
      <c r="F75" s="40">
        <v>0.44800131878256805</v>
      </c>
      <c r="G75" s="40">
        <v>0</v>
      </c>
      <c r="H75" s="39">
        <v>0</v>
      </c>
      <c r="I75" s="39">
        <v>0</v>
      </c>
      <c r="J75" s="39">
        <v>0</v>
      </c>
      <c r="K75" s="42">
        <f t="shared" si="10"/>
        <v>2669.1356407873213</v>
      </c>
      <c r="L75" s="39">
        <v>0</v>
      </c>
      <c r="M75" s="38">
        <v>2669.1356407873213</v>
      </c>
      <c r="N75" s="24"/>
    </row>
    <row r="76" spans="1:14" ht="14.25" customHeight="1" x14ac:dyDescent="0.2">
      <c r="B76" s="43" t="s">
        <v>222</v>
      </c>
      <c r="C76" s="50">
        <f t="shared" si="5"/>
        <v>2106.4968673421495</v>
      </c>
      <c r="D76" s="41">
        <f t="shared" si="9"/>
        <v>2099.4714887082591</v>
      </c>
      <c r="E76" s="40">
        <v>415.5509993243021</v>
      </c>
      <c r="F76" s="40">
        <v>6.0878081894871046E-2</v>
      </c>
      <c r="G76" s="40">
        <v>213.59369108922525</v>
      </c>
      <c r="H76" s="39">
        <v>324.70646467316948</v>
      </c>
      <c r="I76" s="39">
        <v>1145.5594555396672</v>
      </c>
      <c r="J76" s="39">
        <v>0</v>
      </c>
      <c r="K76" s="42">
        <f t="shared" si="10"/>
        <v>7.025378633890341</v>
      </c>
      <c r="L76" s="39">
        <v>0</v>
      </c>
      <c r="M76" s="58">
        <v>7.025378633890341</v>
      </c>
      <c r="N76" s="24"/>
    </row>
    <row r="77" spans="1:14" ht="14.25" customHeight="1" x14ac:dyDescent="0.2">
      <c r="A77" s="57" t="s">
        <v>933</v>
      </c>
      <c r="B77" s="43" t="s">
        <v>934</v>
      </c>
      <c r="C77" s="50">
        <f t="shared" si="5"/>
        <v>1071.704268069549</v>
      </c>
      <c r="D77" s="41">
        <f t="shared" si="9"/>
        <v>322.6688292329535</v>
      </c>
      <c r="E77" s="40">
        <v>322.95059983842998</v>
      </c>
      <c r="F77" s="40">
        <v>-0.28177060547647398</v>
      </c>
      <c r="G77" s="40">
        <v>0</v>
      </c>
      <c r="H77" s="39">
        <v>0</v>
      </c>
      <c r="I77" s="39">
        <v>0</v>
      </c>
      <c r="J77" s="39">
        <v>0</v>
      </c>
      <c r="K77" s="42">
        <f t="shared" si="10"/>
        <v>749.03543883659552</v>
      </c>
      <c r="L77" s="39">
        <v>0</v>
      </c>
      <c r="M77" s="38">
        <v>749.03543883659552</v>
      </c>
      <c r="N77" s="24"/>
    </row>
    <row r="78" spans="1:14" ht="14.25" customHeight="1" x14ac:dyDescent="0.2">
      <c r="B78" s="43" t="s">
        <v>579</v>
      </c>
      <c r="C78" s="50">
        <f t="shared" si="5"/>
        <v>2.2011967451673256</v>
      </c>
      <c r="D78" s="41">
        <f t="shared" si="9"/>
        <v>0</v>
      </c>
      <c r="E78" s="40">
        <v>0</v>
      </c>
      <c r="F78" s="40">
        <v>0</v>
      </c>
      <c r="G78" s="40">
        <v>0</v>
      </c>
      <c r="H78" s="39">
        <v>0</v>
      </c>
      <c r="I78" s="39">
        <v>0</v>
      </c>
      <c r="J78" s="39">
        <v>0</v>
      </c>
      <c r="K78" s="42">
        <f t="shared" si="10"/>
        <v>2.2011967451673256</v>
      </c>
      <c r="L78" s="39">
        <v>0</v>
      </c>
      <c r="M78" s="38">
        <v>2.2011967451673256</v>
      </c>
      <c r="N78" s="24"/>
    </row>
    <row r="79" spans="1:14" ht="14.25" customHeight="1" x14ac:dyDescent="0.2">
      <c r="B79" s="43" t="s">
        <v>935</v>
      </c>
      <c r="C79" s="50">
        <f t="shared" si="5"/>
        <v>31.796067267748899</v>
      </c>
      <c r="D79" s="41">
        <f t="shared" si="9"/>
        <v>0</v>
      </c>
      <c r="E79" s="40">
        <v>0</v>
      </c>
      <c r="F79" s="40">
        <v>0</v>
      </c>
      <c r="G79" s="40">
        <v>0</v>
      </c>
      <c r="H79" s="39">
        <v>0</v>
      </c>
      <c r="I79" s="39">
        <v>0</v>
      </c>
      <c r="J79" s="39">
        <v>0</v>
      </c>
      <c r="K79" s="42">
        <f t="shared" si="10"/>
        <v>31.796067267748899</v>
      </c>
      <c r="L79" s="39">
        <v>0</v>
      </c>
      <c r="M79" s="38">
        <v>31.796067267748899</v>
      </c>
      <c r="N79" s="24"/>
    </row>
    <row r="80" spans="1:14" ht="14.25" customHeight="1" x14ac:dyDescent="0.2">
      <c r="B80" s="43" t="s">
        <v>389</v>
      </c>
      <c r="C80" s="50">
        <f t="shared" si="5"/>
        <v>3155.0149882749065</v>
      </c>
      <c r="D80" s="41">
        <f t="shared" si="9"/>
        <v>6.0673393508282949</v>
      </c>
      <c r="E80" s="40">
        <v>-0.80130599959911608</v>
      </c>
      <c r="F80" s="40">
        <v>6.8686453504274105</v>
      </c>
      <c r="G80" s="40">
        <v>0</v>
      </c>
      <c r="H80" s="39">
        <v>0</v>
      </c>
      <c r="I80" s="39">
        <v>0</v>
      </c>
      <c r="J80" s="39">
        <v>0</v>
      </c>
      <c r="K80" s="42">
        <f t="shared" si="10"/>
        <v>3148.9476489240783</v>
      </c>
      <c r="L80" s="39">
        <v>0</v>
      </c>
      <c r="M80" s="38">
        <v>3148.9476489240783</v>
      </c>
      <c r="N80" s="24"/>
    </row>
    <row r="81" spans="1:14" ht="14.25" customHeight="1" x14ac:dyDescent="0.2">
      <c r="B81" s="43" t="s">
        <v>423</v>
      </c>
      <c r="C81" s="50">
        <f t="shared" si="5"/>
        <v>149.47889266090402</v>
      </c>
      <c r="D81" s="41">
        <f t="shared" si="9"/>
        <v>0.28278646073447922</v>
      </c>
      <c r="E81" s="40">
        <v>0</v>
      </c>
      <c r="F81" s="40">
        <v>0.28278646073447922</v>
      </c>
      <c r="G81" s="40">
        <v>0</v>
      </c>
      <c r="H81" s="39">
        <v>0</v>
      </c>
      <c r="I81" s="39">
        <v>0</v>
      </c>
      <c r="J81" s="39">
        <v>0</v>
      </c>
      <c r="K81" s="42">
        <f t="shared" si="10"/>
        <v>149.19610620016954</v>
      </c>
      <c r="L81" s="39">
        <v>0</v>
      </c>
      <c r="M81" s="38">
        <v>149.19610620016954</v>
      </c>
      <c r="N81" s="24"/>
    </row>
    <row r="82" spans="1:14" x14ac:dyDescent="0.2">
      <c r="B82" s="43" t="s">
        <v>62</v>
      </c>
      <c r="C82" s="50">
        <f t="shared" si="5"/>
        <v>30328.204654972891</v>
      </c>
      <c r="D82" s="41">
        <f t="shared" si="9"/>
        <v>3019.45065550662</v>
      </c>
      <c r="E82" s="40">
        <v>-365.44409981717001</v>
      </c>
      <c r="F82" s="40">
        <v>1.7718538272047677</v>
      </c>
      <c r="G82" s="40">
        <v>0</v>
      </c>
      <c r="H82" s="39">
        <v>1098.9607747981333</v>
      </c>
      <c r="I82" s="39">
        <v>0</v>
      </c>
      <c r="J82" s="39">
        <v>2284.1621266984521</v>
      </c>
      <c r="K82" s="42">
        <f t="shared" si="10"/>
        <v>27308.753999466273</v>
      </c>
      <c r="L82" s="39">
        <v>0</v>
      </c>
      <c r="M82" s="38">
        <v>27308.753999466273</v>
      </c>
      <c r="N82" s="24"/>
    </row>
    <row r="83" spans="1:14" x14ac:dyDescent="0.2">
      <c r="B83" s="43" t="s">
        <v>430</v>
      </c>
      <c r="C83" s="50">
        <f t="shared" si="5"/>
        <v>-0.10058821358700398</v>
      </c>
      <c r="D83" s="41">
        <f t="shared" si="9"/>
        <v>8.0949907943786027E-3</v>
      </c>
      <c r="E83" s="40">
        <v>0</v>
      </c>
      <c r="F83" s="40">
        <v>8.0949907943786027E-3</v>
      </c>
      <c r="G83" s="40">
        <v>0</v>
      </c>
      <c r="H83" s="39">
        <v>0</v>
      </c>
      <c r="I83" s="39">
        <v>0</v>
      </c>
      <c r="J83" s="39">
        <v>0</v>
      </c>
      <c r="K83" s="42">
        <f t="shared" si="10"/>
        <v>-0.10868320438138258</v>
      </c>
      <c r="L83" s="39">
        <v>0</v>
      </c>
      <c r="M83" s="38">
        <v>-0.10868320438138258</v>
      </c>
      <c r="N83" s="24"/>
    </row>
    <row r="84" spans="1:14" x14ac:dyDescent="0.2">
      <c r="B84" s="43" t="s">
        <v>431</v>
      </c>
      <c r="C84" s="50">
        <f t="shared" si="5"/>
        <v>-39.267764691463398</v>
      </c>
      <c r="D84" s="41">
        <f t="shared" si="9"/>
        <v>-1.1054972739637652</v>
      </c>
      <c r="E84" s="40">
        <v>-1.2140999993926</v>
      </c>
      <c r="F84" s="40">
        <v>0.10860272542883488</v>
      </c>
      <c r="G84" s="40">
        <v>0</v>
      </c>
      <c r="H84" s="39">
        <v>0</v>
      </c>
      <c r="I84" s="39">
        <v>0</v>
      </c>
      <c r="J84" s="39">
        <v>0</v>
      </c>
      <c r="K84" s="42">
        <f t="shared" si="10"/>
        <v>-38.162267417499635</v>
      </c>
      <c r="L84" s="39">
        <v>0</v>
      </c>
      <c r="M84" s="38">
        <v>-38.162267417499635</v>
      </c>
      <c r="N84" s="24"/>
    </row>
    <row r="85" spans="1:14" x14ac:dyDescent="0.2">
      <c r="B85" s="43" t="s">
        <v>432</v>
      </c>
      <c r="C85" s="50">
        <f t="shared" si="5"/>
        <v>9.3345135764596208</v>
      </c>
      <c r="D85" s="41">
        <f t="shared" si="9"/>
        <v>3.2920241160652609E-3</v>
      </c>
      <c r="E85" s="40">
        <v>0</v>
      </c>
      <c r="F85" s="40">
        <v>3.2920241160652609E-3</v>
      </c>
      <c r="G85" s="40">
        <v>0</v>
      </c>
      <c r="H85" s="39">
        <v>0</v>
      </c>
      <c r="I85" s="39">
        <v>0</v>
      </c>
      <c r="J85" s="39">
        <v>0</v>
      </c>
      <c r="K85" s="42">
        <f t="shared" si="10"/>
        <v>9.3312215523435551</v>
      </c>
      <c r="L85" s="39">
        <v>0</v>
      </c>
      <c r="M85" s="38">
        <v>9.3312215523435551</v>
      </c>
      <c r="N85" s="24"/>
    </row>
    <row r="86" spans="1:14" ht="26" x14ac:dyDescent="0.2">
      <c r="A86" s="57" t="s">
        <v>445</v>
      </c>
      <c r="B86" s="43" t="s">
        <v>936</v>
      </c>
      <c r="C86" s="50">
        <f t="shared" si="5"/>
        <v>1.3098229245816537</v>
      </c>
      <c r="D86" s="41">
        <f t="shared" si="9"/>
        <v>1.2875289252840306E-2</v>
      </c>
      <c r="E86" s="40">
        <v>0</v>
      </c>
      <c r="F86" s="40">
        <v>1.2875289252840306E-2</v>
      </c>
      <c r="G86" s="40">
        <v>0</v>
      </c>
      <c r="H86" s="39">
        <v>0</v>
      </c>
      <c r="I86" s="39">
        <v>0</v>
      </c>
      <c r="J86" s="39">
        <v>0</v>
      </c>
      <c r="K86" s="42">
        <f t="shared" si="10"/>
        <v>1.2969476353288134</v>
      </c>
      <c r="L86" s="39">
        <v>0</v>
      </c>
      <c r="M86" s="38">
        <v>1.2969476353288134</v>
      </c>
      <c r="N86" s="24"/>
    </row>
    <row r="87" spans="1:14" x14ac:dyDescent="0.2">
      <c r="B87" s="43" t="s">
        <v>409</v>
      </c>
      <c r="C87" s="50">
        <f t="shared" si="5"/>
        <v>1877.8346026243687</v>
      </c>
      <c r="D87" s="41">
        <f t="shared" si="9"/>
        <v>-19.183317518677327</v>
      </c>
      <c r="E87" s="40">
        <v>-19.259517447815881</v>
      </c>
      <c r="F87" s="40">
        <v>7.6199929138552142E-2</v>
      </c>
      <c r="G87" s="40">
        <v>0</v>
      </c>
      <c r="H87" s="39">
        <v>0</v>
      </c>
      <c r="I87" s="39">
        <v>0</v>
      </c>
      <c r="J87" s="39">
        <v>0</v>
      </c>
      <c r="K87" s="42">
        <f t="shared" si="10"/>
        <v>1897.017920143046</v>
      </c>
      <c r="L87" s="39">
        <v>0</v>
      </c>
      <c r="M87" s="38">
        <v>1897.017920143046</v>
      </c>
      <c r="N87" s="24"/>
    </row>
    <row r="88" spans="1:14" x14ac:dyDescent="0.2">
      <c r="B88" s="43" t="s">
        <v>58</v>
      </c>
      <c r="C88" s="50">
        <f t="shared" si="5"/>
        <v>67.575746846713315</v>
      </c>
      <c r="D88" s="41">
        <f t="shared" si="9"/>
        <v>0</v>
      </c>
      <c r="E88" s="40">
        <v>0</v>
      </c>
      <c r="F88" s="40">
        <v>0</v>
      </c>
      <c r="G88" s="40">
        <v>0</v>
      </c>
      <c r="H88" s="39">
        <v>0</v>
      </c>
      <c r="I88" s="39">
        <v>0</v>
      </c>
      <c r="J88" s="39">
        <v>0</v>
      </c>
      <c r="K88" s="42">
        <f t="shared" si="10"/>
        <v>67.575746846713315</v>
      </c>
      <c r="L88" s="39">
        <v>0</v>
      </c>
      <c r="M88" s="38">
        <v>67.575746846713315</v>
      </c>
      <c r="N88" s="24"/>
    </row>
    <row r="89" spans="1:14" ht="40" customHeight="1" x14ac:dyDescent="0.2">
      <c r="B89" s="37" t="s">
        <v>937</v>
      </c>
      <c r="C89" s="36">
        <f>+C90-C52-C44-SUM(C9:C43)</f>
        <v>65442.279878934845</v>
      </c>
      <c r="D89" s="35">
        <f t="shared" si="9"/>
        <v>8149.1365600186236</v>
      </c>
      <c r="E89" s="173">
        <f t="shared" ref="E89:M89" si="11">+E90-SUM(E53:E88,E45:E51,E9:E43)</f>
        <v>1695.0643598457973</v>
      </c>
      <c r="F89" s="173">
        <f t="shared" si="11"/>
        <v>157.77461322254021</v>
      </c>
      <c r="G89" s="173">
        <f t="shared" si="11"/>
        <v>52.206651127664372</v>
      </c>
      <c r="H89" s="174">
        <f t="shared" si="11"/>
        <v>4894.8933912306093</v>
      </c>
      <c r="I89" s="174">
        <f t="shared" si="11"/>
        <v>50.851350316125036</v>
      </c>
      <c r="J89" s="174">
        <f t="shared" si="11"/>
        <v>1298.3461942758877</v>
      </c>
      <c r="K89" s="33">
        <f t="shared" si="11"/>
        <v>57293.143318916205</v>
      </c>
      <c r="L89" s="32">
        <f t="shared" si="11"/>
        <v>0</v>
      </c>
      <c r="M89" s="31">
        <f t="shared" si="11"/>
        <v>57293.143318916089</v>
      </c>
      <c r="N89" s="24"/>
    </row>
    <row r="90" spans="1:14" ht="40" customHeight="1" x14ac:dyDescent="0.2">
      <c r="B90" s="30" t="s">
        <v>938</v>
      </c>
      <c r="C90" s="28">
        <f>+D90+K90</f>
        <v>2851009.3673273819</v>
      </c>
      <c r="D90" s="27">
        <f t="shared" si="9"/>
        <v>1508592.7338534682</v>
      </c>
      <c r="E90" s="29">
        <v>234847.47600848484</v>
      </c>
      <c r="F90" s="26">
        <v>11626.120558307652</v>
      </c>
      <c r="G90" s="26">
        <v>307047.26370273624</v>
      </c>
      <c r="H90" s="26">
        <v>227073.42761395685</v>
      </c>
      <c r="I90" s="26">
        <v>1619.5673635627952</v>
      </c>
      <c r="J90" s="26">
        <v>726378.87860641989</v>
      </c>
      <c r="K90" s="27">
        <f>+SUM(L90:M90)</f>
        <v>1342416.6334739137</v>
      </c>
      <c r="L90" s="29">
        <v>515979.979471258</v>
      </c>
      <c r="M90" s="25">
        <v>826436.65400265553</v>
      </c>
      <c r="N90" s="24"/>
    </row>
    <row r="91" spans="1:14" ht="39.75" customHeight="1" thickBot="1" x14ac:dyDescent="0.25">
      <c r="B91" s="56" t="s">
        <v>218</v>
      </c>
      <c r="C91" s="23">
        <f>+D91+K91</f>
        <v>2024807.3204262606</v>
      </c>
      <c r="D91" s="22">
        <f t="shared" ref="D91:M91" si="12">+D89+D44+D8</f>
        <v>1084941.8761010394</v>
      </c>
      <c r="E91" s="20">
        <f t="shared" si="12"/>
        <v>143012.44968484723</v>
      </c>
      <c r="F91" s="21">
        <f t="shared" si="12"/>
        <v>7871.4393288054962</v>
      </c>
      <c r="G91" s="21">
        <f t="shared" si="12"/>
        <v>259143.73748279287</v>
      </c>
      <c r="H91" s="21">
        <f t="shared" si="12"/>
        <v>154868.78284388396</v>
      </c>
      <c r="I91" s="21">
        <f t="shared" si="12"/>
        <v>374.30759298960123</v>
      </c>
      <c r="J91" s="21">
        <f t="shared" si="12"/>
        <v>519671.1591677203</v>
      </c>
      <c r="K91" s="22">
        <f t="shared" si="12"/>
        <v>939865.44432522124</v>
      </c>
      <c r="L91" s="20">
        <f t="shared" si="12"/>
        <v>430943.28515948798</v>
      </c>
      <c r="M91" s="19">
        <f t="shared" si="12"/>
        <v>508922.15916573314</v>
      </c>
    </row>
    <row r="92" spans="1:14" s="18" customFormat="1" ht="17" thickTop="1" x14ac:dyDescent="0.2">
      <c r="D92" s="17"/>
      <c r="E92" s="17"/>
      <c r="F92" s="17"/>
      <c r="G92" s="17"/>
      <c r="H92" s="17"/>
      <c r="I92" s="17"/>
      <c r="J92" s="17"/>
      <c r="K92" s="17"/>
      <c r="L92" s="17"/>
      <c r="M92" s="17"/>
    </row>
    <row r="94" spans="1:14" s="18" customFormat="1" x14ac:dyDescent="0.2">
      <c r="B94" s="1" t="s">
        <v>939</v>
      </c>
      <c r="C94" s="1"/>
      <c r="D94" s="1">
        <v>0.90165899999999999</v>
      </c>
      <c r="E94" s="17"/>
      <c r="F94" s="17"/>
      <c r="G94" s="17"/>
      <c r="H94" s="17"/>
      <c r="I94" s="17"/>
      <c r="J94" s="17"/>
      <c r="K94" s="17"/>
      <c r="L94" s="17"/>
      <c r="M94" s="17"/>
    </row>
  </sheetData>
  <mergeCells count="5">
    <mergeCell ref="D6:D7"/>
    <mergeCell ref="K6:K7"/>
    <mergeCell ref="B3:M3"/>
    <mergeCell ref="C6:C7"/>
    <mergeCell ref="C5:M5"/>
  </mergeCells>
  <pageMargins left="0.7" right="0.7" top="0.75" bottom="0.75" header="0.3" footer="0.3"/>
  <pageSetup scale="47" orientation="portrait" horizontalDpi="4294967292" verticalDpi="429496729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9" tint="0.39997558519241921"/>
    <pageSetUpPr fitToPage="1"/>
  </sheetPr>
  <dimension ref="A1:W100"/>
  <sheetViews>
    <sheetView zoomScale="43" zoomScaleNormal="70" zoomScalePageLayoutView="70" workbookViewId="0">
      <pane xSplit="2" ySplit="11" topLeftCell="C44" activePane="bottomRight" state="frozen"/>
      <selection pane="topRight" activeCell="B5" sqref="B5"/>
      <selection pane="bottomLeft" activeCell="B5" sqref="B5"/>
      <selection pane="bottomRight" activeCell="O48" sqref="O48"/>
    </sheetView>
  </sheetViews>
  <sheetFormatPr baseColWidth="10" defaultColWidth="8.83203125" defaultRowHeight="16" x14ac:dyDescent="0.2"/>
  <cols>
    <col min="1" max="15" width="22.1640625" customWidth="1"/>
  </cols>
  <sheetData>
    <row r="1" spans="1:23" ht="29" thickTop="1" x14ac:dyDescent="0.2">
      <c r="A1" s="623" t="s">
        <v>940</v>
      </c>
      <c r="B1" s="624"/>
      <c r="C1" s="624"/>
      <c r="D1" s="624"/>
      <c r="E1" s="624"/>
      <c r="F1" s="624"/>
      <c r="G1" s="624"/>
      <c r="H1" s="624"/>
      <c r="I1" s="624"/>
      <c r="J1" s="624"/>
      <c r="K1" s="624"/>
      <c r="L1" s="624"/>
      <c r="M1" s="624"/>
      <c r="N1" s="624"/>
      <c r="O1" s="625"/>
      <c r="P1" s="395"/>
      <c r="Q1" s="395"/>
      <c r="R1" s="395"/>
      <c r="S1" s="395"/>
      <c r="T1" s="395"/>
      <c r="U1" s="395"/>
      <c r="V1" s="395"/>
      <c r="W1" s="396"/>
    </row>
    <row r="2" spans="1:23" s="363" customFormat="1" ht="60" x14ac:dyDescent="0.2">
      <c r="A2" s="386" t="s">
        <v>718</v>
      </c>
      <c r="B2" s="387" t="s">
        <v>719</v>
      </c>
      <c r="C2" s="387" t="s">
        <v>889</v>
      </c>
      <c r="D2" s="387" t="s">
        <v>720</v>
      </c>
      <c r="E2" s="387" t="s">
        <v>65</v>
      </c>
      <c r="F2" s="387" t="s">
        <v>338</v>
      </c>
      <c r="G2" s="387" t="s">
        <v>59</v>
      </c>
      <c r="H2" s="387" t="s">
        <v>60</v>
      </c>
      <c r="I2" s="387" t="s">
        <v>222</v>
      </c>
      <c r="J2" s="387" t="s">
        <v>64</v>
      </c>
      <c r="K2" s="387" t="s">
        <v>61</v>
      </c>
      <c r="L2" s="387" t="s">
        <v>922</v>
      </c>
      <c r="M2" s="387" t="s">
        <v>919</v>
      </c>
      <c r="N2" s="387" t="s">
        <v>920</v>
      </c>
      <c r="O2" s="388" t="s">
        <v>941</v>
      </c>
    </row>
    <row r="3" spans="1:23" s="363" customFormat="1" ht="34" x14ac:dyDescent="0.2">
      <c r="A3" s="391" t="s">
        <v>626</v>
      </c>
      <c r="B3" s="385"/>
      <c r="C3" s="385"/>
      <c r="D3" s="385"/>
      <c r="E3" s="385"/>
      <c r="F3" s="385"/>
      <c r="G3" s="385"/>
      <c r="H3" s="385"/>
      <c r="I3" s="385"/>
      <c r="J3" s="385"/>
      <c r="K3" s="385"/>
      <c r="L3" s="385"/>
      <c r="M3" s="385"/>
      <c r="N3" s="385"/>
      <c r="O3" s="385"/>
    </row>
    <row r="4" spans="1:23" ht="29" x14ac:dyDescent="0.35">
      <c r="A4" s="384" t="s">
        <v>68</v>
      </c>
      <c r="B4" s="384" t="s">
        <v>627</v>
      </c>
      <c r="C4" s="384">
        <v>0</v>
      </c>
      <c r="D4" s="384" t="s">
        <v>628</v>
      </c>
      <c r="E4" s="384">
        <v>211.62686157226562</v>
      </c>
      <c r="F4" s="384">
        <v>39.688045501708984</v>
      </c>
      <c r="G4" s="384">
        <v>4488.1142578125</v>
      </c>
      <c r="H4" s="384">
        <v>439.76364135742188</v>
      </c>
      <c r="I4" s="384">
        <v>84.689125061035156</v>
      </c>
      <c r="J4" s="384">
        <v>1462.4481201171875</v>
      </c>
      <c r="K4" s="384">
        <v>822.21783447265625</v>
      </c>
      <c r="L4" s="384">
        <v>14266.87890625</v>
      </c>
      <c r="M4" s="384">
        <v>21815.427734375</v>
      </c>
      <c r="N4" s="384">
        <v>6726.330078125</v>
      </c>
      <c r="O4" s="384">
        <v>15089.0966796875</v>
      </c>
    </row>
    <row r="5" spans="1:23" ht="29" x14ac:dyDescent="0.35">
      <c r="A5" s="384" t="s">
        <v>187</v>
      </c>
      <c r="B5" s="384" t="s">
        <v>629</v>
      </c>
      <c r="C5" s="384">
        <v>1</v>
      </c>
      <c r="D5" s="384" t="s">
        <v>628</v>
      </c>
      <c r="E5" s="384">
        <v>755.64251708984375</v>
      </c>
      <c r="F5" s="384">
        <v>57.601016998291016</v>
      </c>
      <c r="G5" s="384">
        <v>1487.201904296875</v>
      </c>
      <c r="H5" s="384">
        <v>849.1571044921875</v>
      </c>
      <c r="I5" s="384">
        <v>1431.7760009765625</v>
      </c>
      <c r="J5" s="384">
        <v>1369.5233154296875</v>
      </c>
      <c r="K5" s="384">
        <v>658.2205810546875</v>
      </c>
      <c r="L5" s="384">
        <v>1017.0756225585938</v>
      </c>
      <c r="M5" s="384">
        <v>7626.1982421875</v>
      </c>
      <c r="N5" s="384">
        <v>5950.90185546875</v>
      </c>
      <c r="O5" s="384">
        <v>1675.296142578125</v>
      </c>
    </row>
    <row r="6" spans="1:23" ht="29" x14ac:dyDescent="0.35">
      <c r="A6" s="384" t="s">
        <v>82</v>
      </c>
      <c r="B6" s="384" t="s">
        <v>630</v>
      </c>
      <c r="C6" s="384">
        <v>0</v>
      </c>
      <c r="D6" s="384" t="s">
        <v>628</v>
      </c>
      <c r="E6" s="384">
        <v>450.52081298828125</v>
      </c>
      <c r="F6" s="384">
        <v>44.076625823974609</v>
      </c>
      <c r="G6" s="384">
        <v>1687.680908203125</v>
      </c>
      <c r="H6" s="384">
        <v>1121.133056640625</v>
      </c>
      <c r="I6" s="384">
        <v>160.58770751953125</v>
      </c>
      <c r="J6" s="384">
        <v>1766.4205322265625</v>
      </c>
      <c r="K6" s="384">
        <v>806.31842041015625</v>
      </c>
      <c r="L6" s="384">
        <v>16647.3203125</v>
      </c>
      <c r="M6" s="384">
        <v>22684.060546875</v>
      </c>
      <c r="N6" s="384">
        <v>5230.419921875</v>
      </c>
      <c r="O6" s="384">
        <v>17453.638671875</v>
      </c>
    </row>
    <row r="7" spans="1:23" ht="29" x14ac:dyDescent="0.35">
      <c r="A7" s="384" t="s">
        <v>188</v>
      </c>
      <c r="B7" s="384" t="s">
        <v>631</v>
      </c>
      <c r="C7" s="384">
        <v>0</v>
      </c>
      <c r="D7" s="384" t="s">
        <v>628</v>
      </c>
      <c r="E7" s="384">
        <v>78.4114990234375</v>
      </c>
      <c r="F7" s="384">
        <v>16.791095733642578</v>
      </c>
      <c r="G7" s="384">
        <v>0</v>
      </c>
      <c r="H7" s="384">
        <v>113.56145477294922</v>
      </c>
      <c r="I7" s="384">
        <v>3.5730290412902832</v>
      </c>
      <c r="J7" s="384">
        <v>229.83589172363281</v>
      </c>
      <c r="K7" s="384">
        <v>179.98544311523438</v>
      </c>
      <c r="L7" s="384">
        <v>4827.884765625</v>
      </c>
      <c r="M7" s="384">
        <v>5450.04296875</v>
      </c>
      <c r="N7" s="384">
        <v>442.17294311523438</v>
      </c>
      <c r="O7" s="384">
        <v>5007.8701171875</v>
      </c>
    </row>
    <row r="8" spans="1:23" ht="29" x14ac:dyDescent="0.35">
      <c r="A8" s="384" t="s">
        <v>189</v>
      </c>
      <c r="B8" s="384" t="s">
        <v>632</v>
      </c>
      <c r="C8" s="384">
        <v>1</v>
      </c>
      <c r="D8" s="384" t="s">
        <v>628</v>
      </c>
      <c r="E8" s="384">
        <v>505.03433227539062</v>
      </c>
      <c r="F8" s="384">
        <v>53.663558959960938</v>
      </c>
      <c r="G8" s="384">
        <v>962.71234130859375</v>
      </c>
      <c r="H8" s="384">
        <v>763.82757568359375</v>
      </c>
      <c r="I8" s="384">
        <v>79.731910705566406</v>
      </c>
      <c r="J8" s="384">
        <v>1162.0035400390625</v>
      </c>
      <c r="K8" s="384">
        <v>239.37924194335938</v>
      </c>
      <c r="L8" s="384">
        <v>184.28999328613281</v>
      </c>
      <c r="M8" s="384">
        <v>3950.642333984375</v>
      </c>
      <c r="N8" s="384">
        <v>3526.97314453125</v>
      </c>
      <c r="O8" s="384">
        <v>423.66925048828125</v>
      </c>
    </row>
    <row r="9" spans="1:23" ht="29" x14ac:dyDescent="0.35">
      <c r="A9" s="384" t="s">
        <v>75</v>
      </c>
      <c r="B9" s="384" t="s">
        <v>633</v>
      </c>
      <c r="C9" s="384">
        <v>1</v>
      </c>
      <c r="D9" s="384" t="s">
        <v>628</v>
      </c>
      <c r="E9" s="384">
        <v>5630.3349609375</v>
      </c>
      <c r="F9" s="384">
        <v>1274.135009765625</v>
      </c>
      <c r="G9" s="384">
        <v>18126.212890625</v>
      </c>
      <c r="H9" s="384">
        <v>26433.759765625</v>
      </c>
      <c r="I9" s="384">
        <v>6184.80224609375</v>
      </c>
      <c r="J9" s="384">
        <v>26586.490234375</v>
      </c>
      <c r="K9" s="384">
        <v>5097.134765625</v>
      </c>
      <c r="L9" s="384">
        <v>14483.7138671875</v>
      </c>
      <c r="M9" s="384">
        <v>103816.578125</v>
      </c>
      <c r="N9" s="384">
        <v>84235.734375</v>
      </c>
      <c r="O9" s="384">
        <v>19580.849609375</v>
      </c>
    </row>
    <row r="10" spans="1:23" ht="29" x14ac:dyDescent="0.35">
      <c r="A10" s="384" t="s">
        <v>190</v>
      </c>
      <c r="B10" s="384" t="s">
        <v>634</v>
      </c>
      <c r="C10" s="384">
        <v>1</v>
      </c>
      <c r="D10" s="384" t="s">
        <v>628</v>
      </c>
      <c r="E10" s="384">
        <v>785.290771484375</v>
      </c>
      <c r="F10" s="384">
        <v>129.88034057617188</v>
      </c>
      <c r="G10" s="384">
        <v>2172.9345703125</v>
      </c>
      <c r="H10" s="384">
        <v>765.37542724609375</v>
      </c>
      <c r="I10" s="384">
        <v>326.22540283203125</v>
      </c>
      <c r="J10" s="384">
        <v>2771.66748046875</v>
      </c>
      <c r="K10" s="384">
        <v>137.82075500488281</v>
      </c>
      <c r="L10" s="384">
        <v>6574.1123046875</v>
      </c>
      <c r="M10" s="384">
        <v>13663.3076171875</v>
      </c>
      <c r="N10" s="384">
        <v>6951.3740234375</v>
      </c>
      <c r="O10" s="384">
        <v>6711.93310546875</v>
      </c>
    </row>
    <row r="11" spans="1:23" ht="29" x14ac:dyDescent="0.35">
      <c r="A11" s="384" t="s">
        <v>72</v>
      </c>
      <c r="B11" s="384" t="s">
        <v>635</v>
      </c>
      <c r="C11" s="384">
        <v>1</v>
      </c>
      <c r="D11" s="384" t="s">
        <v>628</v>
      </c>
      <c r="E11" s="384">
        <v>1162.70947265625</v>
      </c>
      <c r="F11" s="384">
        <v>81.943763732910156</v>
      </c>
      <c r="G11" s="384">
        <v>3895.04443359375</v>
      </c>
      <c r="H11" s="384">
        <v>6646.94970703125</v>
      </c>
      <c r="I11" s="384">
        <v>216.99765014648438</v>
      </c>
      <c r="J11" s="384">
        <v>5180.10986328125</v>
      </c>
      <c r="K11" s="384">
        <v>917.15484619140625</v>
      </c>
      <c r="L11" s="384">
        <v>2138.853271484375</v>
      </c>
      <c r="M11" s="384">
        <v>20239.76171875</v>
      </c>
      <c r="N11" s="384">
        <v>17183.75390625</v>
      </c>
      <c r="O11" s="384">
        <v>3056.008056640625</v>
      </c>
    </row>
    <row r="12" spans="1:23" ht="29" x14ac:dyDescent="0.35">
      <c r="A12" s="384" t="s">
        <v>191</v>
      </c>
      <c r="B12" s="384" t="s">
        <v>636</v>
      </c>
      <c r="C12" s="384">
        <v>1</v>
      </c>
      <c r="D12" s="384" t="s">
        <v>628</v>
      </c>
      <c r="E12" s="384">
        <v>63.105068206787109</v>
      </c>
      <c r="F12" s="384">
        <v>9.2182130813598633</v>
      </c>
      <c r="G12" s="384">
        <v>202.58229064941406</v>
      </c>
      <c r="H12" s="384">
        <v>117.53624725341797</v>
      </c>
      <c r="I12" s="384">
        <v>57.538200378417969</v>
      </c>
      <c r="J12" s="384">
        <v>204.79081726074219</v>
      </c>
      <c r="K12" s="384">
        <v>87.122390747070312</v>
      </c>
      <c r="L12" s="384">
        <v>107.22316741943359</v>
      </c>
      <c r="M12" s="384">
        <v>849.11639404296875</v>
      </c>
      <c r="N12" s="384">
        <v>654.7708740234375</v>
      </c>
      <c r="O12" s="384">
        <v>194.34555053710938</v>
      </c>
    </row>
    <row r="13" spans="1:23" ht="29" x14ac:dyDescent="0.35">
      <c r="A13" s="384" t="s">
        <v>192</v>
      </c>
      <c r="B13" s="384" t="s">
        <v>637</v>
      </c>
      <c r="C13" s="384">
        <v>1</v>
      </c>
      <c r="D13" s="384" t="s">
        <v>628</v>
      </c>
      <c r="E13" s="384">
        <v>463.52041625976562</v>
      </c>
      <c r="F13" s="384">
        <v>22.571617126464844</v>
      </c>
      <c r="G13" s="384">
        <v>1540.3013916015625</v>
      </c>
      <c r="H13" s="384">
        <v>626.81536865234375</v>
      </c>
      <c r="I13" s="384">
        <v>838.1397705078125</v>
      </c>
      <c r="J13" s="384">
        <v>1664.4215087890625</v>
      </c>
      <c r="K13" s="384">
        <v>182.93988037109375</v>
      </c>
      <c r="L13" s="384">
        <v>636.85845947265625</v>
      </c>
      <c r="M13" s="384">
        <v>5975.568359375</v>
      </c>
      <c r="N13" s="384">
        <v>5155.77001953125</v>
      </c>
      <c r="O13" s="384">
        <v>819.79827880859375</v>
      </c>
    </row>
    <row r="14" spans="1:23" ht="29" x14ac:dyDescent="0.35">
      <c r="A14" s="384" t="s">
        <v>71</v>
      </c>
      <c r="B14" s="384" t="s">
        <v>638</v>
      </c>
      <c r="C14" s="384">
        <v>1</v>
      </c>
      <c r="D14" s="384" t="s">
        <v>628</v>
      </c>
      <c r="E14" s="384">
        <v>7818.3486328125</v>
      </c>
      <c r="F14" s="384">
        <v>126.40826416015625</v>
      </c>
      <c r="G14" s="384">
        <v>10005.7451171875</v>
      </c>
      <c r="H14" s="384">
        <v>15440.3447265625</v>
      </c>
      <c r="I14" s="384">
        <v>989.0068359375</v>
      </c>
      <c r="J14" s="384">
        <v>10332.65234375</v>
      </c>
      <c r="K14" s="384">
        <v>2955.748779296875</v>
      </c>
      <c r="L14" s="384">
        <v>7960.85009765625</v>
      </c>
      <c r="M14" s="384">
        <v>55629.10546875</v>
      </c>
      <c r="N14" s="384">
        <v>44712.5078125</v>
      </c>
      <c r="O14" s="384">
        <v>10916.599609375</v>
      </c>
    </row>
    <row r="15" spans="1:23" ht="29" x14ac:dyDescent="0.35">
      <c r="A15" s="384" t="s">
        <v>70</v>
      </c>
      <c r="B15" s="384" t="s">
        <v>639</v>
      </c>
      <c r="C15" s="384">
        <v>1</v>
      </c>
      <c r="D15" s="384" t="s">
        <v>628</v>
      </c>
      <c r="E15" s="384">
        <v>5347.5849609375</v>
      </c>
      <c r="F15" s="384">
        <v>1162.8548583984375</v>
      </c>
      <c r="G15" s="384">
        <v>31174.880859375</v>
      </c>
      <c r="H15" s="384">
        <v>26390.69140625</v>
      </c>
      <c r="I15" s="384">
        <v>3089.760498046875</v>
      </c>
      <c r="J15" s="384">
        <v>18486.65234375</v>
      </c>
      <c r="K15" s="384">
        <v>4920.07177734375</v>
      </c>
      <c r="L15" s="384">
        <v>963.04351806640625</v>
      </c>
      <c r="M15" s="384">
        <v>91535.5390625</v>
      </c>
      <c r="N15" s="384">
        <v>85652.421875</v>
      </c>
      <c r="O15" s="384">
        <v>5883.115234375</v>
      </c>
    </row>
    <row r="16" spans="1:23" ht="29" x14ac:dyDescent="0.35">
      <c r="A16" s="384" t="s">
        <v>193</v>
      </c>
      <c r="B16" s="384" t="s">
        <v>640</v>
      </c>
      <c r="C16" s="384">
        <v>1</v>
      </c>
      <c r="D16" s="384" t="s">
        <v>628</v>
      </c>
      <c r="E16" s="384">
        <v>222.32264709472656</v>
      </c>
      <c r="F16" s="384">
        <v>494.94473266601562</v>
      </c>
      <c r="G16" s="384">
        <v>1204.8414306640625</v>
      </c>
      <c r="H16" s="384">
        <v>208.261962890625</v>
      </c>
      <c r="I16" s="384">
        <v>705.12628173828125</v>
      </c>
      <c r="J16" s="384">
        <v>716.955322265625</v>
      </c>
      <c r="K16" s="384">
        <v>223.97099304199219</v>
      </c>
      <c r="L16" s="384">
        <v>8422.6064453125</v>
      </c>
      <c r="M16" s="384">
        <v>12199.029296875</v>
      </c>
      <c r="N16" s="384">
        <v>3552.452392578125</v>
      </c>
      <c r="O16" s="384">
        <v>8646.5771484375</v>
      </c>
    </row>
    <row r="17" spans="1:15" ht="29" x14ac:dyDescent="0.35">
      <c r="A17" s="384" t="s">
        <v>194</v>
      </c>
      <c r="B17" s="384" t="s">
        <v>641</v>
      </c>
      <c r="C17" s="384">
        <v>1</v>
      </c>
      <c r="D17" s="384" t="s">
        <v>628</v>
      </c>
      <c r="E17" s="384">
        <v>251.91879272460938</v>
      </c>
      <c r="F17" s="384">
        <v>33.107120513916016</v>
      </c>
      <c r="G17" s="384">
        <v>3514.033935546875</v>
      </c>
      <c r="H17" s="384">
        <v>646.54339599609375</v>
      </c>
      <c r="I17" s="384">
        <v>45.626224517822266</v>
      </c>
      <c r="J17" s="384">
        <v>831.423095703125</v>
      </c>
      <c r="K17" s="384">
        <v>28.002803802490234</v>
      </c>
      <c r="L17" s="384">
        <v>300.42706298828125</v>
      </c>
      <c r="M17" s="384">
        <v>5651.08251953125</v>
      </c>
      <c r="N17" s="384">
        <v>5322.65234375</v>
      </c>
      <c r="O17" s="384">
        <v>328.42987060546875</v>
      </c>
    </row>
    <row r="18" spans="1:15" ht="29" x14ac:dyDescent="0.35">
      <c r="A18" s="384" t="s">
        <v>195</v>
      </c>
      <c r="B18" s="384" t="s">
        <v>642</v>
      </c>
      <c r="C18" s="384">
        <v>1</v>
      </c>
      <c r="D18" s="384" t="s">
        <v>628</v>
      </c>
      <c r="E18" s="384">
        <v>25.12559700012207</v>
      </c>
      <c r="F18" s="384">
        <v>0.44521844387054443</v>
      </c>
      <c r="G18" s="384">
        <v>87.802970886230469</v>
      </c>
      <c r="H18" s="384">
        <v>56.984832763671875</v>
      </c>
      <c r="I18" s="384">
        <v>1.1575405597686768</v>
      </c>
      <c r="J18" s="384">
        <v>153.50662231445312</v>
      </c>
      <c r="K18" s="384">
        <v>18.90339469909668</v>
      </c>
      <c r="L18" s="384">
        <v>509.03610229492188</v>
      </c>
      <c r="M18" s="384">
        <v>529.824951171875</v>
      </c>
      <c r="N18" s="384">
        <v>1.8854367733001709</v>
      </c>
      <c r="O18" s="384">
        <v>527.93951416015625</v>
      </c>
    </row>
    <row r="19" spans="1:15" ht="29" x14ac:dyDescent="0.35">
      <c r="A19" s="384" t="s">
        <v>196</v>
      </c>
      <c r="B19" s="384" t="s">
        <v>643</v>
      </c>
      <c r="C19" s="384">
        <v>0</v>
      </c>
      <c r="D19" s="384" t="s">
        <v>628</v>
      </c>
      <c r="E19" s="384">
        <v>224.48388671875</v>
      </c>
      <c r="F19" s="384">
        <v>69.053237915039062</v>
      </c>
      <c r="G19" s="384">
        <v>141.68223571777344</v>
      </c>
      <c r="H19" s="384">
        <v>0.6585843563079834</v>
      </c>
      <c r="I19" s="384">
        <v>0.76827812194824219</v>
      </c>
      <c r="J19" s="384">
        <v>246.89762878417969</v>
      </c>
      <c r="K19" s="384">
        <v>372.36062622070312</v>
      </c>
      <c r="L19" s="384">
        <v>4326.537109375</v>
      </c>
      <c r="M19" s="384">
        <v>5382.44140625</v>
      </c>
      <c r="N19" s="384">
        <v>683.5438232421875</v>
      </c>
      <c r="O19" s="384">
        <v>4698.8974609375</v>
      </c>
    </row>
    <row r="20" spans="1:15" ht="29" x14ac:dyDescent="0.35">
      <c r="A20" s="384" t="s">
        <v>74</v>
      </c>
      <c r="B20" s="384" t="s">
        <v>644</v>
      </c>
      <c r="C20" s="384">
        <v>1</v>
      </c>
      <c r="D20" s="384" t="s">
        <v>628</v>
      </c>
      <c r="E20" s="384">
        <v>1712.9493408203125</v>
      </c>
      <c r="F20" s="384">
        <v>177.87599182128906</v>
      </c>
      <c r="G20" s="384">
        <v>7400.65771484375</v>
      </c>
      <c r="H20" s="384">
        <v>11146.4716796875</v>
      </c>
      <c r="I20" s="384">
        <v>592.880615234375</v>
      </c>
      <c r="J20" s="384">
        <v>4980.77685546875</v>
      </c>
      <c r="K20" s="384">
        <v>1545.49951171875</v>
      </c>
      <c r="L20" s="384">
        <v>1431.7744140625</v>
      </c>
      <c r="M20" s="384">
        <v>28988.88671875</v>
      </c>
      <c r="N20" s="384">
        <v>26011.61328125</v>
      </c>
      <c r="O20" s="384">
        <v>2977.27392578125</v>
      </c>
    </row>
    <row r="21" spans="1:15" ht="29" x14ac:dyDescent="0.35">
      <c r="A21" s="384" t="s">
        <v>73</v>
      </c>
      <c r="B21" s="384" t="s">
        <v>645</v>
      </c>
      <c r="C21" s="384">
        <v>0</v>
      </c>
      <c r="D21" s="384" t="s">
        <v>628</v>
      </c>
      <c r="E21" s="384">
        <v>600.98828125</v>
      </c>
      <c r="F21" s="384">
        <v>63.157421112060547</v>
      </c>
      <c r="G21" s="384">
        <v>6537.24267578125</v>
      </c>
      <c r="H21" s="384">
        <v>782.2156982421875</v>
      </c>
      <c r="I21" s="384">
        <v>247.86381530761719</v>
      </c>
      <c r="J21" s="384">
        <v>1711.22216796875</v>
      </c>
      <c r="K21" s="384">
        <v>1084.720947265625</v>
      </c>
      <c r="L21" s="384">
        <v>4241.62060546875</v>
      </c>
      <c r="M21" s="384">
        <v>15269.03125</v>
      </c>
      <c r="N21" s="384">
        <v>9942.689453125</v>
      </c>
      <c r="O21" s="384">
        <v>5326.341796875</v>
      </c>
    </row>
    <row r="22" spans="1:15" ht="29" x14ac:dyDescent="0.35">
      <c r="A22" s="384" t="s">
        <v>197</v>
      </c>
      <c r="B22" s="384" t="s">
        <v>646</v>
      </c>
      <c r="C22" s="384">
        <v>0</v>
      </c>
      <c r="D22" s="384" t="s">
        <v>628</v>
      </c>
      <c r="E22" s="384">
        <v>148.56358337402344</v>
      </c>
      <c r="F22" s="384">
        <v>2.8154664039611816</v>
      </c>
      <c r="G22" s="384">
        <v>1507.04443359375</v>
      </c>
      <c r="H22" s="384">
        <v>196.89091491699219</v>
      </c>
      <c r="I22" s="384">
        <v>15.218413352966309</v>
      </c>
      <c r="J22" s="384">
        <v>1190.612548828125</v>
      </c>
      <c r="K22" s="384">
        <v>405.85061645507812</v>
      </c>
      <c r="L22" s="384">
        <v>4612.5732421875</v>
      </c>
      <c r="M22" s="384">
        <v>8079.56884765625</v>
      </c>
      <c r="N22" s="384">
        <v>3061.145263671875</v>
      </c>
      <c r="O22" s="384">
        <v>5018.423828125</v>
      </c>
    </row>
    <row r="23" spans="1:15" ht="29" x14ac:dyDescent="0.35">
      <c r="A23" s="384" t="s">
        <v>198</v>
      </c>
      <c r="B23" s="384" t="s">
        <v>647</v>
      </c>
      <c r="C23" s="384">
        <v>1</v>
      </c>
      <c r="D23" s="384" t="s">
        <v>628</v>
      </c>
      <c r="E23" s="384">
        <v>55.002681732177734</v>
      </c>
      <c r="F23" s="384">
        <v>8.9391727447509766</v>
      </c>
      <c r="G23" s="384">
        <v>287.17166137695312</v>
      </c>
      <c r="H23" s="384">
        <v>45.730300903320312</v>
      </c>
      <c r="I23" s="384">
        <v>25.296905517578125</v>
      </c>
      <c r="J23" s="384">
        <v>129.53732299804688</v>
      </c>
      <c r="K23" s="384">
        <v>59.231315612792969</v>
      </c>
      <c r="L23" s="384">
        <v>85.5194091796875</v>
      </c>
      <c r="M23" s="384">
        <v>696.42877197265625</v>
      </c>
      <c r="N23" s="384">
        <v>551.67803955078125</v>
      </c>
      <c r="O23" s="384">
        <v>144.75071716308594</v>
      </c>
    </row>
    <row r="24" spans="1:15" ht="29" x14ac:dyDescent="0.35">
      <c r="A24" s="384" t="s">
        <v>81</v>
      </c>
      <c r="B24" s="384" t="s">
        <v>648</v>
      </c>
      <c r="C24" s="384">
        <v>0</v>
      </c>
      <c r="D24" s="384" t="s">
        <v>628</v>
      </c>
      <c r="E24" s="384">
        <v>299.58944702148438</v>
      </c>
      <c r="F24" s="384">
        <v>6.2455244064331055</v>
      </c>
      <c r="G24" s="384">
        <v>765.757080078125</v>
      </c>
      <c r="H24" s="384">
        <v>488.615234375</v>
      </c>
      <c r="I24" s="384">
        <v>8.0790557861328125</v>
      </c>
      <c r="J24" s="384">
        <v>2001.086669921875</v>
      </c>
      <c r="K24" s="384">
        <v>691.5289306640625</v>
      </c>
      <c r="L24" s="384">
        <v>12472.9794921875</v>
      </c>
      <c r="M24" s="384">
        <v>16733.880859375</v>
      </c>
      <c r="N24" s="384">
        <v>3569.373046875</v>
      </c>
      <c r="O24" s="384">
        <v>13164.5078125</v>
      </c>
    </row>
    <row r="25" spans="1:15" ht="29" x14ac:dyDescent="0.35">
      <c r="A25" s="384" t="s">
        <v>200</v>
      </c>
      <c r="B25" s="384" t="s">
        <v>649</v>
      </c>
      <c r="C25" s="384">
        <v>0</v>
      </c>
      <c r="D25" s="384" t="s">
        <v>628</v>
      </c>
      <c r="E25" s="384">
        <v>291.11209106445312</v>
      </c>
      <c r="F25" s="384">
        <v>68.585700988769531</v>
      </c>
      <c r="G25" s="384">
        <v>1928.869140625</v>
      </c>
      <c r="H25" s="384">
        <v>370.0040283203125</v>
      </c>
      <c r="I25" s="384">
        <v>757.665771484375</v>
      </c>
      <c r="J25" s="384">
        <v>1010.4512939453125</v>
      </c>
      <c r="K25" s="384">
        <v>259.73507690429688</v>
      </c>
      <c r="L25" s="384">
        <v>2593.855224609375</v>
      </c>
      <c r="M25" s="384">
        <v>7280.27880859375</v>
      </c>
      <c r="N25" s="384">
        <v>4426.68798828125</v>
      </c>
      <c r="O25" s="384">
        <v>2853.59033203125</v>
      </c>
    </row>
    <row r="26" spans="1:15" ht="29" x14ac:dyDescent="0.35">
      <c r="A26" s="384" t="s">
        <v>199</v>
      </c>
      <c r="B26" s="384" t="s">
        <v>650</v>
      </c>
      <c r="C26" s="384">
        <v>0</v>
      </c>
      <c r="D26" s="384" t="s">
        <v>628</v>
      </c>
      <c r="E26" s="384">
        <v>68.506668090820312</v>
      </c>
      <c r="F26" s="384">
        <v>1.3356552124023438</v>
      </c>
      <c r="G26" s="384">
        <v>303.42294311523438</v>
      </c>
      <c r="H26" s="384">
        <v>42.118846893310547</v>
      </c>
      <c r="I26" s="384">
        <v>326.91326904296875</v>
      </c>
      <c r="J26" s="384">
        <v>120.84691619873047</v>
      </c>
      <c r="K26" s="384">
        <v>156.1920166015625</v>
      </c>
      <c r="L26" s="384">
        <v>1775.1534423828125</v>
      </c>
      <c r="M26" s="384">
        <v>2794.489501953125</v>
      </c>
      <c r="N26" s="384">
        <v>863.144287109375</v>
      </c>
      <c r="O26" s="384">
        <v>1931.345458984375</v>
      </c>
    </row>
    <row r="27" spans="1:15" ht="29" x14ac:dyDescent="0.35">
      <c r="A27" s="384" t="s">
        <v>201</v>
      </c>
      <c r="B27" s="384" t="s">
        <v>651</v>
      </c>
      <c r="C27" s="384">
        <v>1</v>
      </c>
      <c r="D27" s="384" t="s">
        <v>628</v>
      </c>
      <c r="E27" s="384">
        <v>871.8544921875</v>
      </c>
      <c r="F27" s="384">
        <v>163.97933959960938</v>
      </c>
      <c r="G27" s="384">
        <v>2644.75439453125</v>
      </c>
      <c r="H27" s="384">
        <v>748.05322265625</v>
      </c>
      <c r="I27" s="384">
        <v>259.74551391601562</v>
      </c>
      <c r="J27" s="384">
        <v>2782.625</v>
      </c>
      <c r="K27" s="384">
        <v>418.7828369140625</v>
      </c>
      <c r="L27" s="384">
        <v>608.95068359375</v>
      </c>
      <c r="M27" s="384">
        <v>8498.74609375</v>
      </c>
      <c r="N27" s="384">
        <v>7471.01171875</v>
      </c>
      <c r="O27" s="384">
        <v>1027.7335205078125</v>
      </c>
    </row>
    <row r="28" spans="1:15" ht="29" x14ac:dyDescent="0.35">
      <c r="A28" s="384" t="s">
        <v>202</v>
      </c>
      <c r="B28" s="384" t="s">
        <v>652</v>
      </c>
      <c r="C28" s="384">
        <v>1</v>
      </c>
      <c r="D28" s="384" t="s">
        <v>628</v>
      </c>
      <c r="E28" s="384">
        <v>339.43341064453125</v>
      </c>
      <c r="F28" s="384">
        <v>19.702926635742188</v>
      </c>
      <c r="G28" s="384">
        <v>1508.30126953125</v>
      </c>
      <c r="H28" s="384">
        <v>639.2703857421875</v>
      </c>
      <c r="I28" s="384">
        <v>107.20217132568359</v>
      </c>
      <c r="J28" s="384">
        <v>960.55450439453125</v>
      </c>
      <c r="K28" s="384">
        <v>148.46224975585938</v>
      </c>
      <c r="L28" s="384">
        <v>216.34013366699219</v>
      </c>
      <c r="M28" s="384">
        <v>3939.267333984375</v>
      </c>
      <c r="N28" s="384">
        <v>3574.464599609375</v>
      </c>
      <c r="O28" s="384">
        <v>364.8023681640625</v>
      </c>
    </row>
    <row r="29" spans="1:15" ht="29" x14ac:dyDescent="0.35">
      <c r="A29" s="384" t="s">
        <v>203</v>
      </c>
      <c r="B29" s="384" t="s">
        <v>653</v>
      </c>
      <c r="C29" s="384">
        <v>1</v>
      </c>
      <c r="D29" s="384" t="s">
        <v>628</v>
      </c>
      <c r="E29" s="384">
        <v>187.09024047851562</v>
      </c>
      <c r="F29" s="384">
        <v>39.962478637695312</v>
      </c>
      <c r="G29" s="384">
        <v>167.66987609863281</v>
      </c>
      <c r="H29" s="384">
        <v>161.93287658691406</v>
      </c>
      <c r="I29" s="384">
        <v>32.06256103515625</v>
      </c>
      <c r="J29" s="384">
        <v>314.0745849609375</v>
      </c>
      <c r="K29" s="384">
        <v>168.43443298339844</v>
      </c>
      <c r="L29" s="384">
        <v>65.224014282226562</v>
      </c>
      <c r="M29" s="384">
        <v>1136.4510498046875</v>
      </c>
      <c r="N29" s="384">
        <v>902.7926025390625</v>
      </c>
      <c r="O29" s="384">
        <v>233.658447265625</v>
      </c>
    </row>
    <row r="30" spans="1:15" ht="29" x14ac:dyDescent="0.35">
      <c r="A30" s="384" t="s">
        <v>204</v>
      </c>
      <c r="B30" s="384" t="s">
        <v>654</v>
      </c>
      <c r="C30" s="384">
        <v>1</v>
      </c>
      <c r="D30" s="384" t="s">
        <v>628</v>
      </c>
      <c r="E30" s="384">
        <v>71.028755187988281</v>
      </c>
      <c r="F30" s="384">
        <v>6.8120040893554688</v>
      </c>
      <c r="G30" s="384">
        <v>341.55123901367188</v>
      </c>
      <c r="H30" s="384">
        <v>44.887737274169922</v>
      </c>
      <c r="I30" s="384">
        <v>20.689481735229492</v>
      </c>
      <c r="J30" s="384">
        <v>131.60787963867188</v>
      </c>
      <c r="K30" s="384">
        <v>40.298187255859375</v>
      </c>
      <c r="L30" s="384">
        <v>123.55152130126953</v>
      </c>
      <c r="M30" s="384">
        <v>780.42681884765625</v>
      </c>
      <c r="N30" s="384">
        <v>616.57708740234375</v>
      </c>
      <c r="O30" s="384">
        <v>163.84970092773438</v>
      </c>
    </row>
    <row r="31" spans="1:15" ht="29" x14ac:dyDescent="0.35">
      <c r="A31" s="384" t="s">
        <v>205</v>
      </c>
      <c r="B31" s="384" t="s">
        <v>655</v>
      </c>
      <c r="C31" s="384">
        <v>1</v>
      </c>
      <c r="D31" s="384" t="s">
        <v>628</v>
      </c>
      <c r="E31" s="384">
        <v>1243.2066650390625</v>
      </c>
      <c r="F31" s="384">
        <v>83.226852416992188</v>
      </c>
      <c r="G31" s="384">
        <v>4357.02197265625</v>
      </c>
      <c r="H31" s="384">
        <v>2915.618896484375</v>
      </c>
      <c r="I31" s="384">
        <v>795.09613037109375</v>
      </c>
      <c r="J31" s="384">
        <v>3848.992431640625</v>
      </c>
      <c r="K31" s="384">
        <v>409.67892456054688</v>
      </c>
      <c r="L31" s="384">
        <v>1298.399169921875</v>
      </c>
      <c r="M31" s="384">
        <v>14951.2412109375</v>
      </c>
      <c r="N31" s="384">
        <v>13243.1630859375</v>
      </c>
      <c r="O31" s="384">
        <v>1708.078125</v>
      </c>
    </row>
    <row r="32" spans="1:15" ht="29" x14ac:dyDescent="0.35">
      <c r="A32" s="384" t="s">
        <v>206</v>
      </c>
      <c r="B32" s="384" t="s">
        <v>656</v>
      </c>
      <c r="C32" s="384">
        <v>0</v>
      </c>
      <c r="D32" s="384" t="s">
        <v>628</v>
      </c>
      <c r="E32" s="384">
        <v>356.27951049804688</v>
      </c>
      <c r="F32" s="384">
        <v>4.4521842002868652</v>
      </c>
      <c r="G32" s="384">
        <v>1117.7982177734375</v>
      </c>
      <c r="H32" s="384">
        <v>168.95970153808594</v>
      </c>
      <c r="I32" s="384">
        <v>60.045085906982422</v>
      </c>
      <c r="J32" s="384">
        <v>666.33758544921875</v>
      </c>
      <c r="K32" s="384">
        <v>262.36566162109375</v>
      </c>
      <c r="L32" s="384">
        <v>1603.6944580078125</v>
      </c>
      <c r="M32" s="384">
        <v>4239.93212890625</v>
      </c>
      <c r="N32" s="384">
        <v>2373.8720703125</v>
      </c>
      <c r="O32" s="384">
        <v>1866.06005859375</v>
      </c>
    </row>
    <row r="33" spans="1:15" ht="29" x14ac:dyDescent="0.35">
      <c r="A33" s="384" t="s">
        <v>67</v>
      </c>
      <c r="B33" s="384" t="s">
        <v>80</v>
      </c>
      <c r="C33" s="384">
        <v>0</v>
      </c>
      <c r="D33" s="384" t="s">
        <v>628</v>
      </c>
      <c r="E33" s="384">
        <v>6852.19287109375</v>
      </c>
      <c r="F33" s="384">
        <v>2288.103759765625</v>
      </c>
      <c r="G33" s="384">
        <v>20516.6953125</v>
      </c>
      <c r="H33" s="384">
        <v>9017.728515625</v>
      </c>
      <c r="I33" s="384">
        <v>528.40234375</v>
      </c>
      <c r="J33" s="384">
        <v>15059.9287109375</v>
      </c>
      <c r="K33" s="384">
        <v>11848.9443359375</v>
      </c>
      <c r="L33" s="384">
        <v>98900.5546875</v>
      </c>
      <c r="M33" s="384">
        <v>165012.546875</v>
      </c>
      <c r="N33" s="384">
        <v>54263.05078125</v>
      </c>
      <c r="O33" s="384">
        <v>110749.5</v>
      </c>
    </row>
    <row r="34" spans="1:15" ht="34" x14ac:dyDescent="0.4">
      <c r="A34" s="392" t="s">
        <v>913</v>
      </c>
      <c r="B34" s="384"/>
      <c r="C34" s="384"/>
      <c r="D34" s="384"/>
    </row>
    <row r="35" spans="1:15" ht="29" x14ac:dyDescent="0.35">
      <c r="A35" s="384" t="s">
        <v>83</v>
      </c>
      <c r="B35" s="384" t="s">
        <v>665</v>
      </c>
      <c r="C35" s="384">
        <v>0</v>
      </c>
      <c r="D35" s="384" t="s">
        <v>666</v>
      </c>
      <c r="E35" s="384">
        <v>248.53207397460938</v>
      </c>
      <c r="F35" s="384">
        <v>12.529719352722168</v>
      </c>
      <c r="G35" s="384">
        <v>598.302734375</v>
      </c>
      <c r="H35" s="384">
        <v>1167.3695068359375</v>
      </c>
      <c r="I35" s="384">
        <v>27.538444519042969</v>
      </c>
      <c r="J35" s="384">
        <v>6676.779296875</v>
      </c>
      <c r="K35" s="384">
        <v>460.3402099609375</v>
      </c>
      <c r="L35" s="384">
        <v>11624.7158203125</v>
      </c>
      <c r="M35" s="384">
        <v>20816.107421875</v>
      </c>
      <c r="N35" s="384">
        <v>8731.0517578125</v>
      </c>
      <c r="O35" s="384">
        <v>12085.0556640625</v>
      </c>
    </row>
    <row r="36" spans="1:15" ht="29" x14ac:dyDescent="0.35">
      <c r="A36" s="384" t="s">
        <v>208</v>
      </c>
      <c r="B36" s="384" t="s">
        <v>667</v>
      </c>
      <c r="C36" s="384">
        <v>0</v>
      </c>
      <c r="D36" s="384" t="s">
        <v>666</v>
      </c>
      <c r="E36" s="384">
        <v>788.20941162109375</v>
      </c>
      <c r="F36" s="384">
        <v>37.84356689453125</v>
      </c>
      <c r="G36" s="384">
        <v>4733.01708984375</v>
      </c>
      <c r="H36" s="384">
        <v>1162.8270263671875</v>
      </c>
      <c r="I36" s="384">
        <v>35.726409912109375</v>
      </c>
      <c r="J36" s="384">
        <v>1674.5526123046875</v>
      </c>
      <c r="K36" s="384">
        <v>2143.501953125</v>
      </c>
      <c r="L36" s="384">
        <v>67174.671875</v>
      </c>
      <c r="M36" s="384">
        <v>77750.34375</v>
      </c>
      <c r="N36" s="384">
        <v>8432.1767578125</v>
      </c>
      <c r="O36" s="384">
        <v>69318.171875</v>
      </c>
    </row>
    <row r="37" spans="1:15" ht="29" x14ac:dyDescent="0.35">
      <c r="A37" s="384" t="s">
        <v>209</v>
      </c>
      <c r="B37" s="384" t="s">
        <v>668</v>
      </c>
      <c r="C37" s="384">
        <v>0</v>
      </c>
      <c r="D37" s="384" t="s">
        <v>666</v>
      </c>
      <c r="E37" s="384">
        <v>45.455734252929688</v>
      </c>
      <c r="F37" s="384">
        <v>13.982587814331055</v>
      </c>
      <c r="G37" s="384">
        <v>28.689229965209961</v>
      </c>
      <c r="H37" s="384">
        <v>0.1333567202091217</v>
      </c>
      <c r="I37" s="384">
        <v>0.15556859970092773</v>
      </c>
      <c r="J37" s="384">
        <v>49.994289398193359</v>
      </c>
      <c r="K37" s="384">
        <v>77.084449768066406</v>
      </c>
      <c r="L37" s="384">
        <v>876.08026123046875</v>
      </c>
      <c r="M37" s="384">
        <v>1091.5755615234375</v>
      </c>
      <c r="N37" s="384">
        <v>138.4107666015625</v>
      </c>
      <c r="O37" s="384">
        <v>953.16473388671875</v>
      </c>
    </row>
    <row r="38" spans="1:15" ht="29" x14ac:dyDescent="0.35">
      <c r="A38" s="384" t="s">
        <v>210</v>
      </c>
      <c r="B38" s="384" t="s">
        <v>669</v>
      </c>
      <c r="C38" s="384">
        <v>0</v>
      </c>
      <c r="D38" s="384" t="s">
        <v>666</v>
      </c>
      <c r="E38" s="384">
        <v>51.3699951171875</v>
      </c>
      <c r="F38" s="384">
        <v>15.801867485046387</v>
      </c>
      <c r="G38" s="384">
        <v>32.421993255615234</v>
      </c>
      <c r="H38" s="384">
        <v>0.15070781111717224</v>
      </c>
      <c r="I38" s="384">
        <v>0.17580969631671906</v>
      </c>
      <c r="J38" s="384">
        <v>56.499069213867188</v>
      </c>
      <c r="K38" s="384">
        <v>87.113945007324219</v>
      </c>
      <c r="L38" s="384">
        <v>990.06744384765625</v>
      </c>
      <c r="M38" s="384">
        <v>1233.6009521484375</v>
      </c>
      <c r="N38" s="384">
        <v>156.41944885253906</v>
      </c>
      <c r="O38" s="384">
        <v>1077.181396484375</v>
      </c>
    </row>
    <row r="39" spans="1:15" ht="29" x14ac:dyDescent="0.35">
      <c r="A39" s="384" t="s">
        <v>84</v>
      </c>
      <c r="B39" s="384" t="s">
        <v>670</v>
      </c>
      <c r="C39" s="384">
        <v>0</v>
      </c>
      <c r="D39" s="384" t="s">
        <v>666</v>
      </c>
      <c r="E39" s="384">
        <v>203.55274963378906</v>
      </c>
      <c r="F39" s="384">
        <v>20.35284423828125</v>
      </c>
      <c r="G39" s="384">
        <v>2164.846923828125</v>
      </c>
      <c r="H39" s="384">
        <v>177.16960144042969</v>
      </c>
      <c r="I39" s="384">
        <v>34.928321838378906</v>
      </c>
      <c r="J39" s="384">
        <v>1236.2451171875</v>
      </c>
      <c r="K39" s="384">
        <v>446.96731567382812</v>
      </c>
      <c r="L39" s="384">
        <v>11352.1220703125</v>
      </c>
      <c r="M39" s="384">
        <v>15636.1845703125</v>
      </c>
      <c r="N39" s="384">
        <v>3837.095458984375</v>
      </c>
      <c r="O39" s="384">
        <v>11799.08984375</v>
      </c>
    </row>
    <row r="40" spans="1:15" ht="29" x14ac:dyDescent="0.35">
      <c r="A40" s="384" t="s">
        <v>211</v>
      </c>
      <c r="B40" s="384" t="s">
        <v>671</v>
      </c>
      <c r="C40" s="384">
        <v>0</v>
      </c>
      <c r="D40" s="384" t="s">
        <v>666</v>
      </c>
      <c r="E40" s="384">
        <v>218.16716003417969</v>
      </c>
      <c r="F40" s="384">
        <v>771.24188232421875</v>
      </c>
      <c r="G40" s="384">
        <v>1239.6953125</v>
      </c>
      <c r="H40" s="384">
        <v>1312.4306640625</v>
      </c>
      <c r="I40" s="384">
        <v>58.238727569580078</v>
      </c>
      <c r="J40" s="384">
        <v>834.8690185546875</v>
      </c>
      <c r="K40" s="384">
        <v>455.04656982421875</v>
      </c>
      <c r="L40" s="384">
        <v>0</v>
      </c>
      <c r="M40" s="384">
        <v>4889.689453125</v>
      </c>
      <c r="N40" s="384">
        <v>4434.642578125</v>
      </c>
      <c r="O40" s="384">
        <v>455.04656982421875</v>
      </c>
    </row>
    <row r="41" spans="1:15" ht="29" x14ac:dyDescent="0.35">
      <c r="A41" s="384" t="s">
        <v>86</v>
      </c>
      <c r="B41" s="384" t="s">
        <v>672</v>
      </c>
      <c r="C41" s="384">
        <v>0</v>
      </c>
      <c r="D41" s="384" t="s">
        <v>666</v>
      </c>
      <c r="E41" s="384">
        <v>222.11550903320312</v>
      </c>
      <c r="F41" s="384">
        <v>28.065923690795898</v>
      </c>
      <c r="G41" s="384">
        <v>1721.0341796875</v>
      </c>
      <c r="H41" s="384">
        <v>290.07711791992188</v>
      </c>
      <c r="I41" s="384">
        <v>10.982394218444824</v>
      </c>
      <c r="J41" s="384">
        <v>525.96551513671875</v>
      </c>
      <c r="K41" s="384">
        <v>293.54946899414062</v>
      </c>
      <c r="L41" s="384">
        <v>3241.01953125</v>
      </c>
      <c r="M41" s="384">
        <v>6332.8095703125</v>
      </c>
      <c r="N41" s="384">
        <v>2798.24072265625</v>
      </c>
      <c r="O41" s="384">
        <v>3534.569091796875</v>
      </c>
    </row>
    <row r="42" spans="1:15" ht="29" x14ac:dyDescent="0.35">
      <c r="A42" s="384" t="s">
        <v>212</v>
      </c>
      <c r="B42" s="384" t="s">
        <v>738</v>
      </c>
      <c r="C42" s="384">
        <v>0</v>
      </c>
      <c r="D42" s="384" t="s">
        <v>914</v>
      </c>
      <c r="E42" s="384">
        <v>49.841190338134766</v>
      </c>
      <c r="F42" s="384">
        <v>0.14092192053794861</v>
      </c>
      <c r="G42" s="384">
        <v>180.40391540527344</v>
      </c>
      <c r="H42" s="384">
        <v>34.074478149414062</v>
      </c>
      <c r="I42" s="384">
        <v>5.4227728843688965</v>
      </c>
      <c r="J42" s="384">
        <v>371.96804809570312</v>
      </c>
      <c r="K42" s="384">
        <v>193.25495910644531</v>
      </c>
      <c r="L42" s="384">
        <v>2196.38134765625</v>
      </c>
      <c r="M42" s="384">
        <v>3031.487548828125</v>
      </c>
      <c r="N42" s="384">
        <v>641.851318359375</v>
      </c>
      <c r="O42" s="384">
        <v>2389.63623046875</v>
      </c>
    </row>
    <row r="43" spans="1:15" ht="29" x14ac:dyDescent="0.35">
      <c r="A43" s="384" t="s">
        <v>213</v>
      </c>
      <c r="B43" s="384" t="s">
        <v>767</v>
      </c>
      <c r="C43" s="384">
        <v>0</v>
      </c>
      <c r="D43" s="384" t="s">
        <v>914</v>
      </c>
      <c r="E43" s="384">
        <v>103.65009307861328</v>
      </c>
      <c r="F43" s="384">
        <v>3.7314989566802979</v>
      </c>
      <c r="G43" s="384">
        <v>458.20675659179688</v>
      </c>
      <c r="H43" s="384">
        <v>61.032951354980469</v>
      </c>
      <c r="I43" s="384">
        <v>7.5771465301513672</v>
      </c>
      <c r="J43" s="384">
        <v>174.71725463867188</v>
      </c>
      <c r="K43" s="384">
        <v>0</v>
      </c>
      <c r="L43" s="384">
        <v>0</v>
      </c>
      <c r="M43" s="384">
        <v>808.91571044921875</v>
      </c>
      <c r="N43" s="384">
        <v>808.91571044921875</v>
      </c>
      <c r="O43" s="384">
        <v>0</v>
      </c>
    </row>
    <row r="44" spans="1:15" ht="29" x14ac:dyDescent="0.35">
      <c r="A44" s="384" t="s">
        <v>214</v>
      </c>
      <c r="B44" s="384" t="s">
        <v>816</v>
      </c>
      <c r="C44" s="384">
        <v>0</v>
      </c>
      <c r="D44" s="384" t="s">
        <v>914</v>
      </c>
      <c r="E44" s="384">
        <v>65.823463439941406</v>
      </c>
      <c r="F44" s="384">
        <v>5.2790188789367676</v>
      </c>
      <c r="G44" s="384">
        <v>0</v>
      </c>
      <c r="H44" s="384">
        <v>100.06804656982422</v>
      </c>
      <c r="I44" s="384">
        <v>7.4940986633300781</v>
      </c>
      <c r="J44" s="384">
        <v>407.46762084960938</v>
      </c>
      <c r="K44" s="384">
        <v>337.19192504882812</v>
      </c>
      <c r="L44" s="384">
        <v>3749.2412109375</v>
      </c>
      <c r="M44" s="384">
        <v>4672.5654296875</v>
      </c>
      <c r="N44" s="384">
        <v>586.13226318359375</v>
      </c>
      <c r="O44" s="384">
        <v>4086.432861328125</v>
      </c>
    </row>
    <row r="45" spans="1:15" ht="29" x14ac:dyDescent="0.35">
      <c r="A45" s="384" t="s">
        <v>215</v>
      </c>
      <c r="B45" s="384" t="s">
        <v>820</v>
      </c>
      <c r="C45" s="384">
        <v>0</v>
      </c>
      <c r="D45" s="384" t="s">
        <v>914</v>
      </c>
      <c r="E45" s="384">
        <v>114.2479248046875</v>
      </c>
      <c r="F45" s="384">
        <v>24.621059417724609</v>
      </c>
      <c r="G45" s="384">
        <v>0</v>
      </c>
      <c r="H45" s="384">
        <v>63.309505462646484</v>
      </c>
      <c r="I45" s="384">
        <v>3.8469915390014648</v>
      </c>
      <c r="J45" s="384">
        <v>289.85861206054688</v>
      </c>
      <c r="K45" s="384">
        <v>107.75749206542969</v>
      </c>
      <c r="L45" s="384">
        <v>1224.685546875</v>
      </c>
      <c r="M45" s="384">
        <v>1828.3271484375</v>
      </c>
      <c r="N45" s="384">
        <v>495.88406372070312</v>
      </c>
      <c r="O45" s="384">
        <v>1332.443115234375</v>
      </c>
    </row>
    <row r="46" spans="1:15" ht="29" x14ac:dyDescent="0.35">
      <c r="A46" s="384" t="s">
        <v>216</v>
      </c>
      <c r="B46" s="384" t="s">
        <v>852</v>
      </c>
      <c r="C46" s="384">
        <v>0</v>
      </c>
      <c r="D46" s="384" t="s">
        <v>914</v>
      </c>
      <c r="E46" s="384">
        <v>68.257247924804688</v>
      </c>
      <c r="F46" s="384">
        <v>0.19080790877342224</v>
      </c>
      <c r="G46" s="384">
        <v>1153.978271484375</v>
      </c>
      <c r="H46" s="384">
        <v>122.87720489501953</v>
      </c>
      <c r="I46" s="384">
        <v>75.794891357421875</v>
      </c>
      <c r="J46" s="384">
        <v>312.39337158203125</v>
      </c>
      <c r="K46" s="384">
        <v>483.89630126953125</v>
      </c>
      <c r="L46" s="384">
        <v>5499.57861328125</v>
      </c>
      <c r="M46" s="384">
        <v>7716.96630859375</v>
      </c>
      <c r="N46" s="384">
        <v>1733.4918212890625</v>
      </c>
      <c r="O46" s="384">
        <v>5983.474609375</v>
      </c>
    </row>
    <row r="47" spans="1:15" ht="29" x14ac:dyDescent="0.35">
      <c r="A47" s="384" t="s">
        <v>217</v>
      </c>
      <c r="B47" s="384" t="s">
        <v>862</v>
      </c>
      <c r="C47" s="384">
        <v>0</v>
      </c>
      <c r="D47" s="384" t="s">
        <v>914</v>
      </c>
      <c r="E47" s="384">
        <v>21.867937088012695</v>
      </c>
      <c r="F47" s="384">
        <v>0.12720528244972229</v>
      </c>
      <c r="G47" s="384">
        <v>0</v>
      </c>
      <c r="H47" s="384">
        <v>81.924964904785156</v>
      </c>
      <c r="I47" s="384">
        <v>6.1690959930419922</v>
      </c>
      <c r="J47" s="384">
        <v>57.358631134033203</v>
      </c>
      <c r="K47" s="384">
        <v>57.779098510742188</v>
      </c>
      <c r="L47" s="384">
        <v>656.67108154296875</v>
      </c>
      <c r="M47" s="384">
        <v>881.89801025390625</v>
      </c>
      <c r="N47" s="384">
        <v>167.44783020019531</v>
      </c>
      <c r="O47" s="384">
        <v>714.4501953125</v>
      </c>
    </row>
    <row r="48" spans="1:15" ht="29" x14ac:dyDescent="0.35">
      <c r="A48" s="384" t="s">
        <v>218</v>
      </c>
      <c r="B48" s="384" t="s">
        <v>916</v>
      </c>
      <c r="C48" s="384">
        <v>0</v>
      </c>
      <c r="D48" s="384" t="s">
        <v>714</v>
      </c>
      <c r="E48" s="384">
        <v>45706.140625</v>
      </c>
      <c r="F48" s="384">
        <v>9457.6494140625</v>
      </c>
      <c r="G48" s="384">
        <v>146432.78125</v>
      </c>
      <c r="H48" s="384">
        <v>111982.1171875</v>
      </c>
      <c r="I48" s="384">
        <v>18288.66015625</v>
      </c>
      <c r="J48" s="384">
        <v>127794.53125</v>
      </c>
      <c r="K48" s="384">
        <v>51162.87890625</v>
      </c>
      <c r="L48" s="384">
        <v>445548.21875</v>
      </c>
      <c r="M48" s="384">
        <v>956049.8125</v>
      </c>
      <c r="N48" s="384">
        <v>459338.71875</v>
      </c>
      <c r="O48" s="384">
        <v>496711.0625</v>
      </c>
    </row>
    <row r="49" spans="1:15" ht="29" x14ac:dyDescent="0.35">
      <c r="A49" s="384" t="s">
        <v>219</v>
      </c>
      <c r="B49" s="384" t="s">
        <v>713</v>
      </c>
      <c r="C49" s="384">
        <v>0</v>
      </c>
      <c r="D49" s="384" t="s">
        <v>714</v>
      </c>
      <c r="E49" s="384">
        <v>6411.26904296875</v>
      </c>
      <c r="F49" s="384">
        <v>1972.1634521484375</v>
      </c>
      <c r="G49" s="384">
        <v>4046.4501953125</v>
      </c>
      <c r="H49" s="384">
        <v>18.809194564819336</v>
      </c>
      <c r="I49" s="384">
        <v>21.942054748535156</v>
      </c>
      <c r="J49" s="384">
        <v>7051.4072265625</v>
      </c>
      <c r="K49" s="384">
        <v>10872.3173828125</v>
      </c>
      <c r="L49" s="384">
        <v>123566.0703125</v>
      </c>
      <c r="M49" s="384">
        <v>153960.4375</v>
      </c>
      <c r="N49" s="384">
        <v>19522.041015625</v>
      </c>
      <c r="O49" s="384">
        <v>134438.375</v>
      </c>
    </row>
    <row r="50" spans="1:15" ht="29" x14ac:dyDescent="0.35">
      <c r="A50" s="384" t="s">
        <v>715</v>
      </c>
      <c r="B50" s="384" t="s">
        <v>716</v>
      </c>
      <c r="C50" s="384">
        <v>0</v>
      </c>
      <c r="D50" s="384" t="s">
        <v>714</v>
      </c>
      <c r="E50" s="384">
        <v>66163.0625</v>
      </c>
      <c r="F50" s="384">
        <v>11249.0615234375</v>
      </c>
      <c r="G50" s="384">
        <v>167997.25</v>
      </c>
      <c r="H50" s="384">
        <v>136933.890625</v>
      </c>
      <c r="I50" s="384">
        <v>21829.154296875</v>
      </c>
      <c r="J50" s="384">
        <v>165753.140625</v>
      </c>
      <c r="K50" s="384">
        <v>66523.1640625</v>
      </c>
      <c r="L50" s="384">
        <v>563398.3125</v>
      </c>
      <c r="M50" s="384">
        <v>1199847</v>
      </c>
      <c r="N50" s="384">
        <v>569925.5625</v>
      </c>
      <c r="O50" s="384">
        <v>629921.4375</v>
      </c>
    </row>
    <row r="89" ht="40"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40" customHeight="1" x14ac:dyDescent="0.2"/>
    <row r="99" ht="14.5" hidden="1" customHeight="1" x14ac:dyDescent="0.2"/>
    <row r="100" ht="40" customHeight="1" x14ac:dyDescent="0.2"/>
  </sheetData>
  <mergeCells count="1">
    <mergeCell ref="A1:O1"/>
  </mergeCells>
  <pageMargins left="0.7" right="0.7" top="0.75" bottom="0.75" header="0.3" footer="0.3"/>
  <pageSetup scale="35" orientation="landscape" horizontalDpi="4294967292" verticalDpi="429496729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9" tint="0.39997558519241921"/>
    <pageSetUpPr fitToPage="1"/>
  </sheetPr>
  <dimension ref="A1:O49"/>
  <sheetViews>
    <sheetView zoomScale="35" workbookViewId="0">
      <pane xSplit="2" ySplit="12" topLeftCell="K24" activePane="bottomRight" state="frozen"/>
      <selection pane="topRight" activeCell="B5" sqref="B5"/>
      <selection pane="bottomLeft" activeCell="B5" sqref="B5"/>
      <selection pane="bottomRight" activeCell="K24" sqref="K24"/>
    </sheetView>
  </sheetViews>
  <sheetFormatPr baseColWidth="10" defaultColWidth="8.83203125" defaultRowHeight="16" x14ac:dyDescent="0.2"/>
  <cols>
    <col min="1" max="7" width="14.83203125" customWidth="1"/>
    <col min="8" max="8" width="21.83203125" customWidth="1"/>
    <col min="9" max="9" width="14.83203125" customWidth="1"/>
    <col min="10" max="10" width="20.6640625" customWidth="1"/>
    <col min="11" max="11" width="21.1640625" customWidth="1"/>
    <col min="12" max="15" width="14.83203125" customWidth="1"/>
  </cols>
  <sheetData>
    <row r="1" spans="1:15" ht="28" x14ac:dyDescent="0.2">
      <c r="A1" s="623" t="s">
        <v>942</v>
      </c>
      <c r="B1" s="624"/>
      <c r="C1" s="624"/>
      <c r="D1" s="624"/>
      <c r="E1" s="624"/>
      <c r="F1" s="624"/>
      <c r="G1" s="624"/>
      <c r="H1" s="624"/>
      <c r="I1" s="624"/>
      <c r="J1" s="624"/>
      <c r="K1" s="624"/>
      <c r="L1" s="624"/>
      <c r="M1" s="624"/>
      <c r="N1" s="624"/>
      <c r="O1" s="625"/>
    </row>
    <row r="2" spans="1:15" s="401" customFormat="1" ht="54" x14ac:dyDescent="0.2">
      <c r="A2" s="398" t="s">
        <v>718</v>
      </c>
      <c r="B2" s="399" t="s">
        <v>719</v>
      </c>
      <c r="C2" s="399" t="s">
        <v>889</v>
      </c>
      <c r="D2" s="399" t="s">
        <v>720</v>
      </c>
      <c r="E2" s="399" t="s">
        <v>65</v>
      </c>
      <c r="F2" s="399" t="s">
        <v>338</v>
      </c>
      <c r="G2" s="399" t="s">
        <v>59</v>
      </c>
      <c r="H2" s="399" t="s">
        <v>60</v>
      </c>
      <c r="I2" s="399" t="s">
        <v>222</v>
      </c>
      <c r="J2" s="399" t="s">
        <v>64</v>
      </c>
      <c r="K2" s="399" t="s">
        <v>61</v>
      </c>
      <c r="L2" s="399" t="s">
        <v>922</v>
      </c>
      <c r="M2" s="399" t="s">
        <v>919</v>
      </c>
      <c r="N2" s="399" t="s">
        <v>920</v>
      </c>
      <c r="O2" s="400" t="s">
        <v>941</v>
      </c>
    </row>
    <row r="3" spans="1:15" ht="34" x14ac:dyDescent="0.3">
      <c r="A3" s="391" t="s">
        <v>186</v>
      </c>
      <c r="B3" s="397"/>
      <c r="C3" s="397"/>
      <c r="D3" s="397"/>
      <c r="E3" s="397"/>
      <c r="F3" s="397"/>
      <c r="G3" s="397"/>
      <c r="H3" s="397"/>
      <c r="I3" s="397"/>
      <c r="J3" s="397"/>
      <c r="K3" s="397"/>
      <c r="L3" s="397"/>
      <c r="M3" s="397"/>
      <c r="N3" s="397"/>
      <c r="O3" s="397"/>
    </row>
    <row r="4" spans="1:15" ht="26" x14ac:dyDescent="0.3">
      <c r="A4" s="394" t="s">
        <v>68</v>
      </c>
      <c r="B4" s="394" t="s">
        <v>627</v>
      </c>
      <c r="C4" s="394">
        <v>0</v>
      </c>
      <c r="D4" s="394" t="s">
        <v>628</v>
      </c>
      <c r="E4" s="402">
        <v>4.6301623806357384E-3</v>
      </c>
      <c r="F4" s="402">
        <v>4.1963965632021427E-3</v>
      </c>
      <c r="G4" s="402">
        <v>3.0649654567241669E-2</v>
      </c>
      <c r="H4" s="402">
        <v>3.9270883426070213E-3</v>
      </c>
      <c r="I4" s="402">
        <v>4.6306904405355453E-3</v>
      </c>
      <c r="J4" s="402">
        <v>1.1443745344877243E-2</v>
      </c>
      <c r="K4" s="402">
        <v>1.6070593148469925E-2</v>
      </c>
      <c r="L4" s="402">
        <v>3.2020952552556992E-2</v>
      </c>
      <c r="M4" s="402">
        <v>2.2818295285105705E-2</v>
      </c>
      <c r="N4" s="402">
        <v>1.464350800961256E-2</v>
      </c>
      <c r="O4" s="402">
        <v>3.0378015711903572E-2</v>
      </c>
    </row>
    <row r="5" spans="1:15" ht="26" x14ac:dyDescent="0.3">
      <c r="A5" s="394" t="s">
        <v>187</v>
      </c>
      <c r="B5" s="394" t="s">
        <v>629</v>
      </c>
      <c r="C5" s="394">
        <v>1</v>
      </c>
      <c r="D5" s="394" t="s">
        <v>628</v>
      </c>
      <c r="E5" s="402">
        <v>1.6532626003026962E-2</v>
      </c>
      <c r="F5" s="402">
        <v>6.0904156416654587E-3</v>
      </c>
      <c r="G5" s="402">
        <v>1.0156208649277687E-2</v>
      </c>
      <c r="H5" s="402">
        <v>7.5829704292118549E-3</v>
      </c>
      <c r="I5" s="402">
        <v>7.828763872385025E-2</v>
      </c>
      <c r="J5" s="402">
        <v>1.0716603137552738E-2</v>
      </c>
      <c r="K5" s="402">
        <v>1.2865197844803333E-2</v>
      </c>
      <c r="L5" s="402">
        <v>2.2827510256320238E-3</v>
      </c>
      <c r="M5" s="402">
        <v>7.9767787829041481E-3</v>
      </c>
      <c r="N5" s="402">
        <v>1.2955367565155029E-2</v>
      </c>
      <c r="O5" s="402">
        <v>3.3727779518812895E-3</v>
      </c>
    </row>
    <row r="6" spans="1:15" ht="26" x14ac:dyDescent="0.3">
      <c r="A6" s="394" t="s">
        <v>82</v>
      </c>
      <c r="B6" s="394" t="s">
        <v>630</v>
      </c>
      <c r="C6" s="394">
        <v>0</v>
      </c>
      <c r="D6" s="394" t="s">
        <v>628</v>
      </c>
      <c r="E6" s="402">
        <v>9.85689926892519E-3</v>
      </c>
      <c r="F6" s="402">
        <v>4.660420585423708E-3</v>
      </c>
      <c r="G6" s="402">
        <v>1.1525294743478298E-2</v>
      </c>
      <c r="H6" s="402">
        <v>1.001171488314867E-2</v>
      </c>
      <c r="I6" s="402">
        <v>8.7807253003120422E-3</v>
      </c>
      <c r="J6" s="402">
        <v>1.3822348788380623E-2</v>
      </c>
      <c r="K6" s="402">
        <v>1.5759833157062531E-2</v>
      </c>
      <c r="L6" s="402">
        <v>3.7363678216934204E-2</v>
      </c>
      <c r="M6" s="402">
        <v>2.372686006128788E-2</v>
      </c>
      <c r="N6" s="402">
        <v>1.1386847123503685E-2</v>
      </c>
      <c r="O6" s="402">
        <v>3.5138413310050964E-2</v>
      </c>
    </row>
    <row r="7" spans="1:15" ht="26" x14ac:dyDescent="0.3">
      <c r="A7" s="394" t="s">
        <v>188</v>
      </c>
      <c r="B7" s="394" t="s">
        <v>631</v>
      </c>
      <c r="C7" s="394">
        <v>0</v>
      </c>
      <c r="D7" s="394" t="s">
        <v>628</v>
      </c>
      <c r="E7" s="402">
        <v>1.7155571840703487E-3</v>
      </c>
      <c r="F7" s="402">
        <v>1.7753983847796917E-3</v>
      </c>
      <c r="G7" s="402">
        <v>0</v>
      </c>
      <c r="H7" s="402">
        <v>1.0141035309061408E-3</v>
      </c>
      <c r="I7" s="402">
        <v>1.9536855688784271E-4</v>
      </c>
      <c r="J7" s="402">
        <v>1.7984798178076744E-3</v>
      </c>
      <c r="K7" s="402">
        <v>3.5178912803530693E-3</v>
      </c>
      <c r="L7" s="402">
        <v>1.0835830122232437E-2</v>
      </c>
      <c r="M7" s="402">
        <v>5.7005849666893482E-3</v>
      </c>
      <c r="N7" s="402">
        <v>9.6262939041480422E-4</v>
      </c>
      <c r="O7" s="402">
        <v>1.0082058608531952E-2</v>
      </c>
    </row>
    <row r="8" spans="1:15" ht="26" x14ac:dyDescent="0.3">
      <c r="A8" s="394" t="s">
        <v>189</v>
      </c>
      <c r="B8" s="394" t="s">
        <v>632</v>
      </c>
      <c r="C8" s="394">
        <v>1</v>
      </c>
      <c r="D8" s="394" t="s">
        <v>628</v>
      </c>
      <c r="E8" s="402">
        <v>1.1049594730138779E-2</v>
      </c>
      <c r="F8" s="402">
        <v>5.6740907020866871E-3</v>
      </c>
      <c r="G8" s="402">
        <v>6.5744318999350071E-3</v>
      </c>
      <c r="H8" s="402">
        <v>6.8209781311452389E-3</v>
      </c>
      <c r="I8" s="402">
        <v>4.3596364557743073E-3</v>
      </c>
      <c r="J8" s="402">
        <v>9.0927481651306152E-3</v>
      </c>
      <c r="K8" s="402">
        <v>4.6787681058049202E-3</v>
      </c>
      <c r="L8" s="402">
        <v>4.1362523916177452E-4</v>
      </c>
      <c r="M8" s="402">
        <v>4.1322559118270874E-3</v>
      </c>
      <c r="N8" s="402">
        <v>7.6783709228038788E-3</v>
      </c>
      <c r="O8" s="402">
        <v>8.5294910240918398E-4</v>
      </c>
    </row>
    <row r="9" spans="1:15" ht="26" x14ac:dyDescent="0.3">
      <c r="A9" s="394" t="s">
        <v>75</v>
      </c>
      <c r="B9" s="394" t="s">
        <v>633</v>
      </c>
      <c r="C9" s="394">
        <v>1</v>
      </c>
      <c r="D9" s="394" t="s">
        <v>628</v>
      </c>
      <c r="E9" s="402">
        <v>0.12318552285432816</v>
      </c>
      <c r="F9" s="402">
        <v>0.13472005724906921</v>
      </c>
      <c r="G9" s="402">
        <v>0.12378521263599396</v>
      </c>
      <c r="H9" s="402">
        <v>0.23605340719223022</v>
      </c>
      <c r="I9" s="402">
        <v>0.3381769061088562</v>
      </c>
      <c r="J9" s="402">
        <v>0.20804090797901154</v>
      </c>
      <c r="K9" s="402">
        <v>9.9625647068023682E-2</v>
      </c>
      <c r="L9" s="402">
        <v>3.2507624477148056E-2</v>
      </c>
      <c r="M9" s="402">
        <v>0.10858909040689468</v>
      </c>
      <c r="N9" s="402">
        <v>0.18338479101657867</v>
      </c>
      <c r="O9" s="402">
        <v>3.9421007037162781E-2</v>
      </c>
    </row>
    <row r="10" spans="1:15" ht="26" x14ac:dyDescent="0.3">
      <c r="A10" s="394" t="s">
        <v>190</v>
      </c>
      <c r="B10" s="394" t="s">
        <v>634</v>
      </c>
      <c r="C10" s="394">
        <v>1</v>
      </c>
      <c r="D10" s="394" t="s">
        <v>628</v>
      </c>
      <c r="E10" s="402">
        <v>1.7181297764182091E-2</v>
      </c>
      <c r="F10" s="402">
        <v>1.3732834719121456E-2</v>
      </c>
      <c r="G10" s="402">
        <v>1.4839126728475094E-2</v>
      </c>
      <c r="H10" s="402">
        <v>6.8348003551363945E-3</v>
      </c>
      <c r="I10" s="402">
        <v>1.7837578430771828E-2</v>
      </c>
      <c r="J10" s="402">
        <v>2.1688466891646385E-2</v>
      </c>
      <c r="K10" s="402">
        <v>2.6937646325677633E-3</v>
      </c>
      <c r="L10" s="402">
        <v>1.4755108393728733E-2</v>
      </c>
      <c r="M10" s="402">
        <v>1.429141778498888E-2</v>
      </c>
      <c r="N10" s="402">
        <v>1.513343770056963E-2</v>
      </c>
      <c r="O10" s="402">
        <v>1.3512751087546349E-2</v>
      </c>
    </row>
    <row r="11" spans="1:15" ht="26" x14ac:dyDescent="0.3">
      <c r="A11" s="394" t="s">
        <v>72</v>
      </c>
      <c r="B11" s="394" t="s">
        <v>635</v>
      </c>
      <c r="C11" s="394">
        <v>1</v>
      </c>
      <c r="D11" s="394" t="s">
        <v>628</v>
      </c>
      <c r="E11" s="402">
        <v>2.5438802316784859E-2</v>
      </c>
      <c r="F11" s="402">
        <v>8.6642839014530182E-3</v>
      </c>
      <c r="G11" s="402">
        <v>2.6599539443850517E-2</v>
      </c>
      <c r="H11" s="402">
        <v>5.9357244521379471E-2</v>
      </c>
      <c r="I11" s="402">
        <v>1.1865147389471531E-2</v>
      </c>
      <c r="J11" s="402">
        <v>4.0534675121307373E-2</v>
      </c>
      <c r="K11" s="402">
        <v>1.7926177009940147E-2</v>
      </c>
      <c r="L11" s="402">
        <v>4.8004980199038982E-3</v>
      </c>
      <c r="M11" s="402">
        <v>2.1170195192098618E-2</v>
      </c>
      <c r="N11" s="402">
        <v>3.7409767508506775E-2</v>
      </c>
      <c r="O11" s="402">
        <v>6.1524864286184311E-3</v>
      </c>
    </row>
    <row r="12" spans="1:15" ht="26" x14ac:dyDescent="0.3">
      <c r="A12" s="394" t="s">
        <v>191</v>
      </c>
      <c r="B12" s="394" t="s">
        <v>636</v>
      </c>
      <c r="C12" s="394">
        <v>1</v>
      </c>
      <c r="D12" s="394" t="s">
        <v>628</v>
      </c>
      <c r="E12" s="402">
        <v>1.3806694187223911E-3</v>
      </c>
      <c r="F12" s="402">
        <v>9.7468332387506962E-4</v>
      </c>
      <c r="G12" s="402">
        <v>1.3834490673616529E-3</v>
      </c>
      <c r="H12" s="402">
        <v>1.0495983297005296E-3</v>
      </c>
      <c r="I12" s="402">
        <v>3.1461135949939489E-3</v>
      </c>
      <c r="J12" s="402">
        <v>1.6025006771087646E-3</v>
      </c>
      <c r="K12" s="402">
        <v>1.7028438160195947E-3</v>
      </c>
      <c r="L12" s="402">
        <v>2.4065446632448584E-4</v>
      </c>
      <c r="M12" s="402">
        <v>8.8815076742321253E-4</v>
      </c>
      <c r="N12" s="402">
        <v>1.4254641719162464E-3</v>
      </c>
      <c r="O12" s="402">
        <v>3.9126479532569647E-4</v>
      </c>
    </row>
    <row r="13" spans="1:15" ht="26" x14ac:dyDescent="0.3">
      <c r="A13" s="394" t="s">
        <v>192</v>
      </c>
      <c r="B13" s="394" t="s">
        <v>637</v>
      </c>
      <c r="C13" s="394">
        <v>1</v>
      </c>
      <c r="D13" s="394" t="s">
        <v>628</v>
      </c>
      <c r="E13" s="402">
        <v>1.0141315869987011E-2</v>
      </c>
      <c r="F13" s="402">
        <v>2.3865990806370974E-3</v>
      </c>
      <c r="G13" s="402">
        <v>1.0518829338252544E-2</v>
      </c>
      <c r="H13" s="402">
        <v>5.5974596180021763E-3</v>
      </c>
      <c r="I13" s="402">
        <v>4.5828387141227722E-2</v>
      </c>
      <c r="J13" s="402">
        <v>1.302419975399971E-2</v>
      </c>
      <c r="K13" s="402">
        <v>3.5756370052695274E-3</v>
      </c>
      <c r="L13" s="402">
        <v>1.4293816639110446E-3</v>
      </c>
      <c r="M13" s="402">
        <v>6.250268779695034E-3</v>
      </c>
      <c r="N13" s="402">
        <v>1.1224331334233284E-2</v>
      </c>
      <c r="O13" s="402">
        <v>1.6504530794918537E-3</v>
      </c>
    </row>
    <row r="14" spans="1:15" ht="26" x14ac:dyDescent="0.3">
      <c r="A14" s="394" t="s">
        <v>71</v>
      </c>
      <c r="B14" s="394" t="s">
        <v>638</v>
      </c>
      <c r="C14" s="394">
        <v>1</v>
      </c>
      <c r="D14" s="394" t="s">
        <v>628</v>
      </c>
      <c r="E14" s="402">
        <v>0.17105685174465179</v>
      </c>
      <c r="F14" s="402">
        <v>1.3365716673433781E-2</v>
      </c>
      <c r="G14" s="402">
        <v>6.8329952657222748E-2</v>
      </c>
      <c r="H14" s="402">
        <v>0.13788223266601562</v>
      </c>
      <c r="I14" s="402">
        <v>5.4077599197626114E-2</v>
      </c>
      <c r="J14" s="402">
        <v>8.085363358259201E-2</v>
      </c>
      <c r="K14" s="402">
        <v>5.7771354913711548E-2</v>
      </c>
      <c r="L14" s="402">
        <v>1.7867539077997208E-2</v>
      </c>
      <c r="M14" s="402">
        <v>5.8186408132314682E-2</v>
      </c>
      <c r="N14" s="402">
        <v>9.7341038286685944E-2</v>
      </c>
      <c r="O14" s="402">
        <v>2.1977765485644341E-2</v>
      </c>
    </row>
    <row r="15" spans="1:15" ht="26" x14ac:dyDescent="0.3">
      <c r="A15" s="394" t="s">
        <v>70</v>
      </c>
      <c r="B15" s="394" t="s">
        <v>639</v>
      </c>
      <c r="C15" s="394">
        <v>1</v>
      </c>
      <c r="D15" s="394" t="s">
        <v>628</v>
      </c>
      <c r="E15" s="402">
        <v>0.11699926853179932</v>
      </c>
      <c r="F15" s="402">
        <v>0.12295389920473099</v>
      </c>
      <c r="G15" s="402">
        <v>0.21289549767971039</v>
      </c>
      <c r="H15" s="402">
        <v>0.23566880822181702</v>
      </c>
      <c r="I15" s="402">
        <v>0.16894406080245972</v>
      </c>
      <c r="J15" s="402">
        <v>0.14465917646884918</v>
      </c>
      <c r="K15" s="402">
        <v>9.6164874732494354E-2</v>
      </c>
      <c r="L15" s="402">
        <v>2.1614797879010439E-3</v>
      </c>
      <c r="M15" s="402">
        <v>9.5743484795093536E-2</v>
      </c>
      <c r="N15" s="402">
        <v>0.18646897375583649</v>
      </c>
      <c r="O15" s="402">
        <v>1.184413954615593E-2</v>
      </c>
    </row>
    <row r="16" spans="1:15" ht="26" x14ac:dyDescent="0.3">
      <c r="A16" s="394" t="s">
        <v>193</v>
      </c>
      <c r="B16" s="394" t="s">
        <v>640</v>
      </c>
      <c r="C16" s="394">
        <v>1</v>
      </c>
      <c r="D16" s="394" t="s">
        <v>628</v>
      </c>
      <c r="E16" s="402">
        <v>4.8641744069755077E-3</v>
      </c>
      <c r="F16" s="402">
        <v>5.2332744002342224E-2</v>
      </c>
      <c r="G16" s="402">
        <v>8.2279490306973457E-3</v>
      </c>
      <c r="H16" s="402">
        <v>1.8597787711769342E-3</v>
      </c>
      <c r="I16" s="402">
        <v>3.8555383682250977E-2</v>
      </c>
      <c r="J16" s="402">
        <v>5.6102192029356956E-3</v>
      </c>
      <c r="K16" s="402">
        <v>4.3776072561740875E-3</v>
      </c>
      <c r="L16" s="402">
        <v>1.8903916701674461E-2</v>
      </c>
      <c r="M16" s="402">
        <v>1.2759826146066189E-2</v>
      </c>
      <c r="N16" s="402">
        <v>7.7338404953479767E-3</v>
      </c>
      <c r="O16" s="402">
        <v>1.7407659441232681E-2</v>
      </c>
    </row>
    <row r="17" spans="1:15" ht="26" x14ac:dyDescent="0.3">
      <c r="A17" s="394" t="s">
        <v>194</v>
      </c>
      <c r="B17" s="394" t="s">
        <v>641</v>
      </c>
      <c r="C17" s="394">
        <v>1</v>
      </c>
      <c r="D17" s="394" t="s">
        <v>628</v>
      </c>
      <c r="E17" s="402">
        <v>5.5117057636380196E-3</v>
      </c>
      <c r="F17" s="402">
        <v>3.5005654208362103E-3</v>
      </c>
      <c r="G17" s="402">
        <v>2.3997589945793152E-2</v>
      </c>
      <c r="H17" s="402">
        <v>5.7736309245228767E-3</v>
      </c>
      <c r="I17" s="402">
        <v>2.4947822093963623E-3</v>
      </c>
      <c r="J17" s="402">
        <v>6.5059363842010498E-3</v>
      </c>
      <c r="K17" s="402">
        <v>5.4732657736167312E-4</v>
      </c>
      <c r="L17" s="402">
        <v>6.7428633337840438E-4</v>
      </c>
      <c r="M17" s="402">
        <v>5.9108664281666279E-3</v>
      </c>
      <c r="N17" s="402">
        <v>1.1587641201913357E-2</v>
      </c>
      <c r="O17" s="402">
        <v>6.6120910923928022E-4</v>
      </c>
    </row>
    <row r="18" spans="1:15" ht="26" x14ac:dyDescent="0.3">
      <c r="A18" s="394" t="s">
        <v>195</v>
      </c>
      <c r="B18" s="394" t="s">
        <v>642</v>
      </c>
      <c r="C18" s="394">
        <v>1</v>
      </c>
      <c r="D18" s="394" t="s">
        <v>628</v>
      </c>
      <c r="E18" s="402">
        <v>5.4972036741673946E-4</v>
      </c>
      <c r="F18" s="402">
        <v>4.7074958274606615E-5</v>
      </c>
      <c r="G18" s="402">
        <v>5.996128311380744E-4</v>
      </c>
      <c r="H18" s="402">
        <v>5.0887442193925381E-4</v>
      </c>
      <c r="I18" s="402">
        <v>6.3292805862147361E-5</v>
      </c>
      <c r="J18" s="402">
        <v>1.2011986691504717E-3</v>
      </c>
      <c r="K18" s="402">
        <v>3.6947481567040086E-4</v>
      </c>
      <c r="L18" s="402">
        <v>1.1424937983974814E-3</v>
      </c>
      <c r="M18" s="402">
        <v>5.5418134434148669E-4</v>
      </c>
      <c r="N18" s="402">
        <v>4.1046764636121225E-6</v>
      </c>
      <c r="O18" s="402">
        <v>1.0628704912960529E-3</v>
      </c>
    </row>
    <row r="19" spans="1:15" ht="26" x14ac:dyDescent="0.3">
      <c r="A19" s="394" t="s">
        <v>196</v>
      </c>
      <c r="B19" s="394" t="s">
        <v>643</v>
      </c>
      <c r="C19" s="394">
        <v>0</v>
      </c>
      <c r="D19" s="394" t="s">
        <v>628</v>
      </c>
      <c r="E19" s="402">
        <v>4.9114599823951721E-3</v>
      </c>
      <c r="F19" s="402">
        <v>7.3013110086321831E-3</v>
      </c>
      <c r="G19" s="402">
        <v>9.6755818231031299E-4</v>
      </c>
      <c r="H19" s="402">
        <v>5.8811565395444632E-6</v>
      </c>
      <c r="I19" s="402">
        <v>4.2008443415397778E-5</v>
      </c>
      <c r="J19" s="402">
        <v>1.9319889834150672E-3</v>
      </c>
      <c r="K19" s="402">
        <v>7.2779450565576553E-3</v>
      </c>
      <c r="L19" s="402">
        <v>9.7105922177433968E-3</v>
      </c>
      <c r="M19" s="402">
        <v>5.6298756971955299E-3</v>
      </c>
      <c r="N19" s="402">
        <v>1.4881041133776307E-3</v>
      </c>
      <c r="O19" s="402">
        <v>9.4600217416882515E-3</v>
      </c>
    </row>
    <row r="20" spans="1:15" ht="26" x14ac:dyDescent="0.3">
      <c r="A20" s="394" t="s">
        <v>74</v>
      </c>
      <c r="B20" s="394" t="s">
        <v>644</v>
      </c>
      <c r="C20" s="394">
        <v>1</v>
      </c>
      <c r="D20" s="394" t="s">
        <v>628</v>
      </c>
      <c r="E20" s="402">
        <v>3.7477444857358932E-2</v>
      </c>
      <c r="F20" s="402">
        <v>1.8807632848620415E-2</v>
      </c>
      <c r="G20" s="402">
        <v>5.0539623945951462E-2</v>
      </c>
      <c r="H20" s="402">
        <v>9.9537961184978485E-2</v>
      </c>
      <c r="I20" s="402">
        <v>3.2417934387922287E-2</v>
      </c>
      <c r="J20" s="402">
        <v>3.8974881172180176E-2</v>
      </c>
      <c r="K20" s="402">
        <v>3.0207438394427299E-2</v>
      </c>
      <c r="L20" s="402">
        <v>3.2135117799043655E-3</v>
      </c>
      <c r="M20" s="402">
        <v>3.0321523547172546E-2</v>
      </c>
      <c r="N20" s="402">
        <v>5.6628391146659851E-2</v>
      </c>
      <c r="O20" s="402">
        <v>5.9939753264188766E-3</v>
      </c>
    </row>
    <row r="21" spans="1:15" ht="26" x14ac:dyDescent="0.3">
      <c r="A21" s="394" t="s">
        <v>73</v>
      </c>
      <c r="B21" s="394" t="s">
        <v>645</v>
      </c>
      <c r="C21" s="394">
        <v>0</v>
      </c>
      <c r="D21" s="394" t="s">
        <v>628</v>
      </c>
      <c r="E21" s="402">
        <v>1.3148961588740349E-2</v>
      </c>
      <c r="F21" s="402">
        <v>6.6779195331037045E-3</v>
      </c>
      <c r="G21" s="402">
        <v>4.4643301516771317E-2</v>
      </c>
      <c r="H21" s="402">
        <v>6.985184270888567E-3</v>
      </c>
      <c r="I21" s="402">
        <v>1.3552868738770485E-2</v>
      </c>
      <c r="J21" s="402">
        <v>1.3390418142080307E-2</v>
      </c>
      <c r="K21" s="402">
        <v>2.1201327443122864E-2</v>
      </c>
      <c r="L21" s="402">
        <v>9.5200035721063614E-3</v>
      </c>
      <c r="M21" s="402">
        <v>1.5970958396792412E-2</v>
      </c>
      <c r="N21" s="402">
        <v>2.1645659580826759E-2</v>
      </c>
      <c r="O21" s="402">
        <v>1.0723219253122807E-2</v>
      </c>
    </row>
    <row r="22" spans="1:15" ht="26" x14ac:dyDescent="0.3">
      <c r="A22" s="394" t="s">
        <v>197</v>
      </c>
      <c r="B22" s="394" t="s">
        <v>646</v>
      </c>
      <c r="C22" s="394">
        <v>0</v>
      </c>
      <c r="D22" s="394" t="s">
        <v>628</v>
      </c>
      <c r="E22" s="402">
        <v>3.2504075206816196E-3</v>
      </c>
      <c r="F22" s="402">
        <v>2.9769199318252504E-4</v>
      </c>
      <c r="G22" s="402">
        <v>1.0291715152561665E-2</v>
      </c>
      <c r="H22" s="402">
        <v>1.7582352738827467E-3</v>
      </c>
      <c r="I22" s="402">
        <v>8.3212292520329356E-4</v>
      </c>
      <c r="J22" s="402">
        <v>9.3166157603263855E-3</v>
      </c>
      <c r="K22" s="402">
        <v>7.9325214028358459E-3</v>
      </c>
      <c r="L22" s="402">
        <v>1.0352578945457935E-2</v>
      </c>
      <c r="M22" s="402">
        <v>8.4509914740920067E-3</v>
      </c>
      <c r="N22" s="402">
        <v>6.6642439924180508E-3</v>
      </c>
      <c r="O22" s="402">
        <v>1.0103305801749229E-2</v>
      </c>
    </row>
    <row r="23" spans="1:15" ht="26" x14ac:dyDescent="0.3">
      <c r="A23" s="394" t="s">
        <v>198</v>
      </c>
      <c r="B23" s="394" t="s">
        <v>647</v>
      </c>
      <c r="C23" s="394">
        <v>1</v>
      </c>
      <c r="D23" s="394" t="s">
        <v>628</v>
      </c>
      <c r="E23" s="402">
        <v>1.203398103825748E-3</v>
      </c>
      <c r="F23" s="402">
        <v>9.4517914112657309E-4</v>
      </c>
      <c r="G23" s="402">
        <v>1.9611159805208445E-3</v>
      </c>
      <c r="H23" s="402">
        <v>4.0837147389538586E-4</v>
      </c>
      <c r="I23" s="402">
        <v>1.3832016848027706E-3</v>
      </c>
      <c r="J23" s="402">
        <v>1.0136374039575458E-3</v>
      </c>
      <c r="K23" s="402">
        <v>1.1577010154724121E-3</v>
      </c>
      <c r="L23" s="402">
        <v>1.9194198830518872E-4</v>
      </c>
      <c r="M23" s="402">
        <v>7.2844402166083455E-4</v>
      </c>
      <c r="N23" s="402">
        <v>1.2010266073048115E-3</v>
      </c>
      <c r="O23" s="402">
        <v>2.9141834238544106E-4</v>
      </c>
    </row>
    <row r="24" spans="1:15" ht="26" x14ac:dyDescent="0.3">
      <c r="A24" s="394" t="s">
        <v>81</v>
      </c>
      <c r="B24" s="394" t="s">
        <v>648</v>
      </c>
      <c r="C24" s="394">
        <v>0</v>
      </c>
      <c r="D24" s="394" t="s">
        <v>628</v>
      </c>
      <c r="E24" s="402">
        <v>6.5546869300305843E-3</v>
      </c>
      <c r="F24" s="402">
        <v>6.603674846701324E-4</v>
      </c>
      <c r="G24" s="402">
        <v>5.2294102497398853E-3</v>
      </c>
      <c r="H24" s="402">
        <v>4.3633328750729561E-3</v>
      </c>
      <c r="I24" s="402">
        <v>4.4175219954922795E-4</v>
      </c>
      <c r="J24" s="402">
        <v>1.5658624470233917E-2</v>
      </c>
      <c r="K24" s="402">
        <v>1.351622398942709E-2</v>
      </c>
      <c r="L24" s="402">
        <v>2.7994679287075996E-2</v>
      </c>
      <c r="M24" s="402">
        <v>1.7503147944808006E-2</v>
      </c>
      <c r="N24" s="402">
        <v>7.77067756280303E-3</v>
      </c>
      <c r="O24" s="402">
        <v>2.6503350585699081E-2</v>
      </c>
    </row>
    <row r="25" spans="1:15" ht="26" x14ac:dyDescent="0.3">
      <c r="A25" s="394" t="s">
        <v>200</v>
      </c>
      <c r="B25" s="394" t="s">
        <v>649</v>
      </c>
      <c r="C25" s="394">
        <v>0</v>
      </c>
      <c r="D25" s="394" t="s">
        <v>628</v>
      </c>
      <c r="E25" s="402">
        <v>6.3692117109894753E-3</v>
      </c>
      <c r="F25" s="402">
        <v>7.2518759407103062E-3</v>
      </c>
      <c r="G25" s="402">
        <v>1.3172386214137077E-2</v>
      </c>
      <c r="H25" s="402">
        <v>3.3041350543498993E-3</v>
      </c>
      <c r="I25" s="402">
        <v>4.1428171098232269E-2</v>
      </c>
      <c r="J25" s="402">
        <v>7.906842976808548E-3</v>
      </c>
      <c r="K25" s="402">
        <v>5.0766314379870892E-3</v>
      </c>
      <c r="L25" s="402">
        <v>5.8217160403728485E-3</v>
      </c>
      <c r="M25" s="402">
        <v>7.6149576343595982E-3</v>
      </c>
      <c r="N25" s="402">
        <v>9.6370885148644447E-3</v>
      </c>
      <c r="O25" s="402">
        <v>5.74497040361166E-3</v>
      </c>
    </row>
    <row r="26" spans="1:15" ht="26" x14ac:dyDescent="0.3">
      <c r="A26" s="394" t="s">
        <v>199</v>
      </c>
      <c r="B26" s="394" t="s">
        <v>650</v>
      </c>
      <c r="C26" s="394">
        <v>0</v>
      </c>
      <c r="D26" s="394" t="s">
        <v>628</v>
      </c>
      <c r="E26" s="402">
        <v>1.4988504117354751E-3</v>
      </c>
      <c r="F26" s="402">
        <v>1.41224852995947E-4</v>
      </c>
      <c r="G26" s="402">
        <v>2.072097035124898E-3</v>
      </c>
      <c r="H26" s="402">
        <v>3.7612119922414422E-4</v>
      </c>
      <c r="I26" s="402">
        <v>1.7875188961625099E-2</v>
      </c>
      <c r="J26" s="402">
        <v>9.4563449965789914E-4</v>
      </c>
      <c r="K26" s="402">
        <v>3.0528386123478413E-3</v>
      </c>
      <c r="L26" s="402">
        <v>3.9842003025114536E-3</v>
      </c>
      <c r="M26" s="402">
        <v>2.9229538049548864E-3</v>
      </c>
      <c r="N26" s="402">
        <v>1.879101968370378E-3</v>
      </c>
      <c r="O26" s="402">
        <v>3.888267558068037E-3</v>
      </c>
    </row>
    <row r="27" spans="1:15" ht="26" x14ac:dyDescent="0.3">
      <c r="A27" s="394" t="s">
        <v>201</v>
      </c>
      <c r="B27" s="394" t="s">
        <v>651</v>
      </c>
      <c r="C27" s="394">
        <v>1</v>
      </c>
      <c r="D27" s="394" t="s">
        <v>628</v>
      </c>
      <c r="E27" s="402">
        <v>1.9075214862823486E-2</v>
      </c>
      <c r="F27" s="402">
        <v>1.7338275909423828E-2</v>
      </c>
      <c r="G27" s="402">
        <v>1.8061218783259392E-2</v>
      </c>
      <c r="H27" s="402">
        <v>6.6801132634282112E-3</v>
      </c>
      <c r="I27" s="402">
        <v>1.4202544465661049E-2</v>
      </c>
      <c r="J27" s="402">
        <v>2.1774210035800934E-2</v>
      </c>
      <c r="K27" s="402">
        <v>8.1852870061993599E-3</v>
      </c>
      <c r="L27" s="402">
        <v>1.3667447492480278E-3</v>
      </c>
      <c r="M27" s="402">
        <v>8.889438584446907E-3</v>
      </c>
      <c r="N27" s="402">
        <v>1.6264710575342178E-2</v>
      </c>
      <c r="O27" s="402">
        <v>2.0690772216767073E-3</v>
      </c>
    </row>
    <row r="28" spans="1:15" ht="26" x14ac:dyDescent="0.3">
      <c r="A28" s="394" t="s">
        <v>202</v>
      </c>
      <c r="B28" s="394" t="s">
        <v>652</v>
      </c>
      <c r="C28" s="394">
        <v>1</v>
      </c>
      <c r="D28" s="394" t="s">
        <v>628</v>
      </c>
      <c r="E28" s="402">
        <v>7.4264290742576122E-3</v>
      </c>
      <c r="F28" s="402">
        <v>2.083279425278306E-3</v>
      </c>
      <c r="G28" s="402">
        <v>1.0300298221409321E-2</v>
      </c>
      <c r="H28" s="402">
        <v>5.7086828164756298E-3</v>
      </c>
      <c r="I28" s="402">
        <v>5.8616744354367256E-3</v>
      </c>
      <c r="J28" s="402">
        <v>7.5163976289331913E-3</v>
      </c>
      <c r="K28" s="402">
        <v>2.9017571359872818E-3</v>
      </c>
      <c r="L28" s="402">
        <v>4.8555943067185581E-4</v>
      </c>
      <c r="M28" s="402">
        <v>4.1203578002750874E-3</v>
      </c>
      <c r="N28" s="402">
        <v>7.7817621640861034E-3</v>
      </c>
      <c r="O28" s="402">
        <v>7.3443574365228415E-4</v>
      </c>
    </row>
    <row r="29" spans="1:15" ht="26" x14ac:dyDescent="0.3">
      <c r="A29" s="394" t="s">
        <v>203</v>
      </c>
      <c r="B29" s="394" t="s">
        <v>653</v>
      </c>
      <c r="C29" s="394">
        <v>1</v>
      </c>
      <c r="D29" s="394" t="s">
        <v>628</v>
      </c>
      <c r="E29" s="402">
        <v>4.0933284908533096E-3</v>
      </c>
      <c r="F29" s="402">
        <v>4.2254133149981499E-3</v>
      </c>
      <c r="G29" s="402">
        <v>1.1450296733528376E-3</v>
      </c>
      <c r="H29" s="402">
        <v>1.4460601378232241E-3</v>
      </c>
      <c r="I29" s="402">
        <v>1.7531388439238071E-3</v>
      </c>
      <c r="J29" s="402">
        <v>2.4576527066528797E-3</v>
      </c>
      <c r="K29" s="402">
        <v>3.2921219244599342E-3</v>
      </c>
      <c r="L29" s="402">
        <v>1.4639047731179744E-4</v>
      </c>
      <c r="M29" s="402">
        <v>1.1886943830177188E-3</v>
      </c>
      <c r="N29" s="402">
        <v>1.965417992323637E-3</v>
      </c>
      <c r="O29" s="402">
        <v>4.7041120706126094E-4</v>
      </c>
    </row>
    <row r="30" spans="1:15" ht="26" x14ac:dyDescent="0.3">
      <c r="A30" s="394" t="s">
        <v>204</v>
      </c>
      <c r="B30" s="394" t="s">
        <v>654</v>
      </c>
      <c r="C30" s="394">
        <v>1</v>
      </c>
      <c r="D30" s="394" t="s">
        <v>628</v>
      </c>
      <c r="E30" s="402">
        <v>1.5540309250354767E-3</v>
      </c>
      <c r="F30" s="402">
        <v>7.2026398265734315E-4</v>
      </c>
      <c r="G30" s="402">
        <v>2.3324780631810427E-3</v>
      </c>
      <c r="H30" s="402">
        <v>4.0084737702272832E-4</v>
      </c>
      <c r="I30" s="402">
        <v>1.1312738060951233E-3</v>
      </c>
      <c r="J30" s="402">
        <v>1.0298397392034531E-3</v>
      </c>
      <c r="K30" s="402">
        <v>7.8764505451545119E-4</v>
      </c>
      <c r="L30" s="402">
        <v>2.773022570181638E-4</v>
      </c>
      <c r="M30" s="402">
        <v>8.1630353815853596E-4</v>
      </c>
      <c r="N30" s="402">
        <v>1.34231464471668E-3</v>
      </c>
      <c r="O30" s="402">
        <v>3.2986924634315073E-4</v>
      </c>
    </row>
    <row r="31" spans="1:15" ht="26" x14ac:dyDescent="0.3">
      <c r="A31" s="394" t="s">
        <v>205</v>
      </c>
      <c r="B31" s="394" t="s">
        <v>655</v>
      </c>
      <c r="C31" s="394">
        <v>1</v>
      </c>
      <c r="D31" s="394" t="s">
        <v>628</v>
      </c>
      <c r="E31" s="402">
        <v>2.7199992910027504E-2</v>
      </c>
      <c r="F31" s="402">
        <v>8.7999515235424042E-3</v>
      </c>
      <c r="G31" s="402">
        <v>2.9754417017102242E-2</v>
      </c>
      <c r="H31" s="402">
        <v>2.6036469265818596E-2</v>
      </c>
      <c r="I31" s="402">
        <v>4.3474815785884857E-2</v>
      </c>
      <c r="J31" s="402">
        <v>3.0118601396679878E-2</v>
      </c>
      <c r="K31" s="402">
        <v>8.0073466524481773E-3</v>
      </c>
      <c r="L31" s="402">
        <v>2.9141607228666544E-3</v>
      </c>
      <c r="M31" s="402">
        <v>1.5638558194041252E-2</v>
      </c>
      <c r="N31" s="402">
        <v>2.8830930590629578E-2</v>
      </c>
      <c r="O31" s="402">
        <v>3.4387761261314154E-3</v>
      </c>
    </row>
    <row r="32" spans="1:15" ht="26" x14ac:dyDescent="0.3">
      <c r="A32" s="394" t="s">
        <v>206</v>
      </c>
      <c r="B32" s="394" t="s">
        <v>656</v>
      </c>
      <c r="C32" s="394">
        <v>0</v>
      </c>
      <c r="D32" s="394" t="s">
        <v>628</v>
      </c>
      <c r="E32" s="402">
        <v>7.795003242790699E-3</v>
      </c>
      <c r="F32" s="402">
        <v>4.7074953909032047E-4</v>
      </c>
      <c r="G32" s="402">
        <v>7.6335244812071323E-3</v>
      </c>
      <c r="H32" s="402">
        <v>1.5088096261024475E-3</v>
      </c>
      <c r="I32" s="402">
        <v>3.2831868156790733E-3</v>
      </c>
      <c r="J32" s="402">
        <v>5.2141323685646057E-3</v>
      </c>
      <c r="K32" s="402">
        <v>5.1280474290251732E-3</v>
      </c>
      <c r="L32" s="402">
        <v>3.5993736237287521E-3</v>
      </c>
      <c r="M32" s="402">
        <v>4.4348444789648056E-3</v>
      </c>
      <c r="N32" s="402">
        <v>5.1680207252502441E-3</v>
      </c>
      <c r="O32" s="402">
        <v>3.7568320985883474E-3</v>
      </c>
    </row>
    <row r="33" spans="1:15" ht="26" x14ac:dyDescent="0.3">
      <c r="A33" s="394" t="s">
        <v>67</v>
      </c>
      <c r="B33" s="394" t="s">
        <v>80</v>
      </c>
      <c r="C33" s="394">
        <v>0</v>
      </c>
      <c r="D33" s="394" t="s">
        <v>628</v>
      </c>
      <c r="E33" s="402">
        <v>0.14991843700408936</v>
      </c>
      <c r="F33" s="402">
        <v>0.24193154275417328</v>
      </c>
      <c r="G33" s="402">
        <v>0.14010998606681824</v>
      </c>
      <c r="H33" s="402">
        <v>8.0528289079666138E-2</v>
      </c>
      <c r="I33" s="402">
        <v>2.8892349451780319E-2</v>
      </c>
      <c r="J33" s="402">
        <v>0.11784485727548599</v>
      </c>
      <c r="K33" s="402">
        <v>0.23159261047840118</v>
      </c>
      <c r="L33" s="402">
        <v>0.22197496891021729</v>
      </c>
      <c r="M33" s="402">
        <v>0.17259827256202698</v>
      </c>
      <c r="N33" s="402">
        <v>0.11813297867774963</v>
      </c>
      <c r="O33" s="402">
        <v>0.22296564280986786</v>
      </c>
    </row>
    <row r="34" spans="1:15" ht="34" x14ac:dyDescent="0.3">
      <c r="A34" s="391" t="s">
        <v>913</v>
      </c>
      <c r="B34" s="394"/>
      <c r="C34" s="394"/>
    </row>
    <row r="35" spans="1:15" ht="26" x14ac:dyDescent="0.3">
      <c r="A35" s="394" t="s">
        <v>83</v>
      </c>
      <c r="B35" s="394" t="s">
        <v>665</v>
      </c>
      <c r="C35" s="394">
        <v>0</v>
      </c>
      <c r="D35" s="394" t="s">
        <v>666</v>
      </c>
      <c r="E35" s="402">
        <v>5.4376078769564629E-3</v>
      </c>
      <c r="F35" s="402">
        <v>1.3248238246887922E-3</v>
      </c>
      <c r="G35" s="402">
        <v>4.0858522988855839E-3</v>
      </c>
      <c r="H35" s="402">
        <v>1.0424606502056122E-2</v>
      </c>
      <c r="I35" s="402">
        <v>1.5057660639286041E-3</v>
      </c>
      <c r="J35" s="402">
        <v>5.2246205508708954E-2</v>
      </c>
      <c r="K35" s="402">
        <v>8.9975427836179733E-3</v>
      </c>
      <c r="L35" s="402">
        <v>2.6090813800692558E-2</v>
      </c>
      <c r="M35" s="402">
        <v>2.1773036569356918E-2</v>
      </c>
      <c r="N35" s="402">
        <v>1.900787279009819E-2</v>
      </c>
      <c r="O35" s="402">
        <v>2.4330152198672295E-2</v>
      </c>
    </row>
    <row r="36" spans="1:15" ht="26" x14ac:dyDescent="0.3">
      <c r="A36" s="394" t="s">
        <v>208</v>
      </c>
      <c r="B36" s="394" t="s">
        <v>667</v>
      </c>
      <c r="C36" s="394">
        <v>0</v>
      </c>
      <c r="D36" s="394" t="s">
        <v>666</v>
      </c>
      <c r="E36" s="402">
        <v>1.7245152965188026E-2</v>
      </c>
      <c r="F36" s="402">
        <v>4.0013710968196392E-3</v>
      </c>
      <c r="G36" s="402">
        <v>3.232211247086525E-2</v>
      </c>
      <c r="H36" s="402">
        <v>1.038404181599617E-2</v>
      </c>
      <c r="I36" s="402">
        <v>1.9534733146429062E-3</v>
      </c>
      <c r="J36" s="402">
        <v>1.3103476725518703E-2</v>
      </c>
      <c r="K36" s="402">
        <v>4.1895646601915359E-2</v>
      </c>
      <c r="L36" s="402">
        <v>0.15076857805252075</v>
      </c>
      <c r="M36" s="402">
        <v>8.1324577331542969E-2</v>
      </c>
      <c r="N36" s="402">
        <v>1.8357207998633385E-2</v>
      </c>
      <c r="O36" s="402">
        <v>0.13955432176589966</v>
      </c>
    </row>
    <row r="37" spans="1:15" ht="26" x14ac:dyDescent="0.3">
      <c r="A37" s="394" t="s">
        <v>209</v>
      </c>
      <c r="B37" s="394" t="s">
        <v>668</v>
      </c>
      <c r="C37" s="394">
        <v>0</v>
      </c>
      <c r="D37" s="394" t="s">
        <v>666</v>
      </c>
      <c r="E37" s="402">
        <v>9.9452142603695393E-4</v>
      </c>
      <c r="F37" s="402">
        <v>1.4784422237426043E-3</v>
      </c>
      <c r="G37" s="402">
        <v>1.9592081662267447E-4</v>
      </c>
      <c r="H37" s="402">
        <v>1.1908751957889763E-6</v>
      </c>
      <c r="I37" s="402">
        <v>8.5062874859431759E-6</v>
      </c>
      <c r="J37" s="402">
        <v>3.9120836299844086E-4</v>
      </c>
      <c r="K37" s="402">
        <v>1.506648026406765E-3</v>
      </c>
      <c r="L37" s="402">
        <v>1.9662973936647177E-3</v>
      </c>
      <c r="M37" s="402">
        <v>1.1417559580877423E-3</v>
      </c>
      <c r="N37" s="402">
        <v>3.0132615938782692E-4</v>
      </c>
      <c r="O37" s="402">
        <v>1.9189520971849561E-3</v>
      </c>
    </row>
    <row r="38" spans="1:15" ht="26" x14ac:dyDescent="0.3">
      <c r="A38" s="394" t="s">
        <v>210</v>
      </c>
      <c r="B38" s="394" t="s">
        <v>669</v>
      </c>
      <c r="C38" s="394">
        <v>0</v>
      </c>
      <c r="D38" s="394" t="s">
        <v>666</v>
      </c>
      <c r="E38" s="402">
        <v>1.1239189188927412E-3</v>
      </c>
      <c r="F38" s="402">
        <v>1.6708028269931674E-3</v>
      </c>
      <c r="G38" s="402">
        <v>2.2141211957205087E-4</v>
      </c>
      <c r="H38" s="402">
        <v>1.3458203511618194E-6</v>
      </c>
      <c r="I38" s="402">
        <v>9.613044312573038E-6</v>
      </c>
      <c r="J38" s="402">
        <v>4.4210866326466203E-4</v>
      </c>
      <c r="K38" s="402">
        <v>1.7026787390932441E-3</v>
      </c>
      <c r="L38" s="402">
        <v>2.2221331018954515E-3</v>
      </c>
      <c r="M38" s="402">
        <v>1.2903102906420827E-3</v>
      </c>
      <c r="N38" s="402">
        <v>3.4053181298077106E-4</v>
      </c>
      <c r="O38" s="402">
        <v>2.1686276886612177E-3</v>
      </c>
    </row>
    <row r="39" spans="1:15" ht="26" x14ac:dyDescent="0.3">
      <c r="A39" s="394" t="s">
        <v>84</v>
      </c>
      <c r="B39" s="394" t="s">
        <v>670</v>
      </c>
      <c r="C39" s="394">
        <v>0</v>
      </c>
      <c r="D39" s="394" t="s">
        <v>666</v>
      </c>
      <c r="E39" s="402">
        <v>4.453510046005249E-3</v>
      </c>
      <c r="F39" s="402">
        <v>2.1519982255995274E-3</v>
      </c>
      <c r="G39" s="402">
        <v>1.4783895574510098E-2</v>
      </c>
      <c r="H39" s="402">
        <v>1.5821240376681089E-3</v>
      </c>
      <c r="I39" s="402">
        <v>1.9098349148407578E-3</v>
      </c>
      <c r="J39" s="402">
        <v>9.6736932173371315E-3</v>
      </c>
      <c r="K39" s="402">
        <v>8.7361643090844154E-3</v>
      </c>
      <c r="L39" s="402">
        <v>2.5478998199105263E-2</v>
      </c>
      <c r="M39" s="402">
        <v>1.6354989260435104E-2</v>
      </c>
      <c r="N39" s="402">
        <v>8.3535201847553253E-3</v>
      </c>
      <c r="O39" s="402">
        <v>2.3754432797431946E-2</v>
      </c>
    </row>
    <row r="40" spans="1:15" ht="26" x14ac:dyDescent="0.3">
      <c r="A40" s="394" t="s">
        <v>211</v>
      </c>
      <c r="B40" s="394" t="s">
        <v>671</v>
      </c>
      <c r="C40" s="394">
        <v>0</v>
      </c>
      <c r="D40" s="394" t="s">
        <v>666</v>
      </c>
      <c r="E40" s="402">
        <v>4.7732573002576828E-3</v>
      </c>
      <c r="F40" s="402">
        <v>8.1546887755393982E-2</v>
      </c>
      <c r="G40" s="402">
        <v>8.4659680724143982E-3</v>
      </c>
      <c r="H40" s="402">
        <v>1.1720002628862858E-2</v>
      </c>
      <c r="I40" s="402">
        <v>3.1844174955040216E-3</v>
      </c>
      <c r="J40" s="402">
        <v>6.5329009667038918E-3</v>
      </c>
      <c r="K40" s="402">
        <v>8.8940765708684921E-3</v>
      </c>
      <c r="L40" s="402">
        <v>0</v>
      </c>
      <c r="M40" s="402">
        <v>5.1144715398550034E-3</v>
      </c>
      <c r="N40" s="402">
        <v>9.6544064581394196E-3</v>
      </c>
      <c r="O40" s="402">
        <v>9.1611925745382905E-4</v>
      </c>
    </row>
    <row r="41" spans="1:15" ht="26" x14ac:dyDescent="0.3">
      <c r="A41" s="394" t="s">
        <v>86</v>
      </c>
      <c r="B41" s="394" t="s">
        <v>672</v>
      </c>
      <c r="C41" s="394">
        <v>0</v>
      </c>
      <c r="D41" s="394" t="s">
        <v>666</v>
      </c>
      <c r="E41" s="402">
        <v>4.8596425913274288E-3</v>
      </c>
      <c r="F41" s="402">
        <v>2.9675369150936604E-3</v>
      </c>
      <c r="G41" s="402">
        <v>1.1753066442906857E-2</v>
      </c>
      <c r="H41" s="402">
        <v>2.5903878267854452E-3</v>
      </c>
      <c r="I41" s="402">
        <v>6.0050294268876314E-4</v>
      </c>
      <c r="J41" s="402">
        <v>4.1157123632729053E-3</v>
      </c>
      <c r="K41" s="402">
        <v>5.7375477626919746E-3</v>
      </c>
      <c r="L41" s="402">
        <v>7.2742286138236523E-3</v>
      </c>
      <c r="M41" s="402">
        <v>6.6239326260983944E-3</v>
      </c>
      <c r="N41" s="402">
        <v>6.0918894596397877E-3</v>
      </c>
      <c r="O41" s="402">
        <v>7.1159461513161659E-3</v>
      </c>
    </row>
    <row r="42" spans="1:15" ht="26" x14ac:dyDescent="0.3">
      <c r="A42" s="394" t="s">
        <v>212</v>
      </c>
      <c r="B42" s="394" t="s">
        <v>738</v>
      </c>
      <c r="C42" s="394">
        <v>0</v>
      </c>
      <c r="D42" s="394" t="s">
        <v>914</v>
      </c>
      <c r="E42" s="402">
        <v>1.0904703522101045E-3</v>
      </c>
      <c r="F42" s="402">
        <v>1.49003117257962E-5</v>
      </c>
      <c r="G42" s="402">
        <v>1.2319913366809487E-3</v>
      </c>
      <c r="H42" s="402">
        <v>3.0428500031121075E-4</v>
      </c>
      <c r="I42" s="402">
        <v>2.9651011573150754E-4</v>
      </c>
      <c r="J42" s="402">
        <v>2.9106726869940758E-3</v>
      </c>
      <c r="K42" s="402">
        <v>3.7772494833916426E-3</v>
      </c>
      <c r="L42" s="402">
        <v>4.9296151846647263E-3</v>
      </c>
      <c r="M42" s="402">
        <v>3.1708469614386559E-3</v>
      </c>
      <c r="N42" s="402">
        <v>1.3973377645015717E-3</v>
      </c>
      <c r="O42" s="402">
        <v>4.8109181225299835E-3</v>
      </c>
    </row>
    <row r="43" spans="1:15" ht="26" x14ac:dyDescent="0.3">
      <c r="A43" s="394" t="s">
        <v>213</v>
      </c>
      <c r="B43" s="394" t="s">
        <v>767</v>
      </c>
      <c r="C43" s="394">
        <v>0</v>
      </c>
      <c r="D43" s="394" t="s">
        <v>914</v>
      </c>
      <c r="E43" s="402">
        <v>2.267749747261405E-3</v>
      </c>
      <c r="F43" s="402">
        <v>3.9454823127016425E-4</v>
      </c>
      <c r="G43" s="402">
        <v>3.1291269697248936E-3</v>
      </c>
      <c r="H43" s="402">
        <v>5.4502411512658E-4</v>
      </c>
      <c r="I43" s="402">
        <v>4.1430845158174634E-4</v>
      </c>
      <c r="J43" s="402">
        <v>1.3671731576323509E-3</v>
      </c>
      <c r="K43" s="402">
        <v>0</v>
      </c>
      <c r="L43" s="402">
        <v>0</v>
      </c>
      <c r="M43" s="402">
        <v>8.4610207704827189E-4</v>
      </c>
      <c r="N43" s="402">
        <v>1.7610440263524652E-3</v>
      </c>
      <c r="O43" s="402">
        <v>0</v>
      </c>
    </row>
    <row r="44" spans="1:15" ht="26" x14ac:dyDescent="0.3">
      <c r="A44" s="394" t="s">
        <v>214</v>
      </c>
      <c r="B44" s="394" t="s">
        <v>816</v>
      </c>
      <c r="C44" s="394">
        <v>0</v>
      </c>
      <c r="D44" s="394" t="s">
        <v>914</v>
      </c>
      <c r="E44" s="402">
        <v>1.4401448424905539E-3</v>
      </c>
      <c r="F44" s="402">
        <v>5.5817450629547238E-4</v>
      </c>
      <c r="G44" s="402">
        <v>0</v>
      </c>
      <c r="H44" s="402">
        <v>8.9360738638788462E-4</v>
      </c>
      <c r="I44" s="402">
        <v>4.0976749733090401E-4</v>
      </c>
      <c r="J44" s="402">
        <v>3.1884589698165655E-3</v>
      </c>
      <c r="K44" s="402">
        <v>6.5905582159757614E-3</v>
      </c>
      <c r="L44" s="402">
        <v>8.4148943424224854E-3</v>
      </c>
      <c r="M44" s="402">
        <v>4.8873662017285824E-3</v>
      </c>
      <c r="N44" s="402">
        <v>1.2760349782183766E-3</v>
      </c>
      <c r="O44" s="402">
        <v>8.2269813865423203E-3</v>
      </c>
    </row>
    <row r="45" spans="1:15" ht="26" x14ac:dyDescent="0.3">
      <c r="A45" s="394" t="s">
        <v>215</v>
      </c>
      <c r="B45" s="394" t="s">
        <v>820</v>
      </c>
      <c r="C45" s="394">
        <v>0</v>
      </c>
      <c r="D45" s="394" t="s">
        <v>914</v>
      </c>
      <c r="E45" s="402">
        <v>2.4996188003569841E-3</v>
      </c>
      <c r="F45" s="402">
        <v>2.6032959576696157E-3</v>
      </c>
      <c r="G45" s="402">
        <v>0</v>
      </c>
      <c r="H45" s="402">
        <v>5.6535372277721763E-4</v>
      </c>
      <c r="I45" s="402">
        <v>2.1034845849499106E-4</v>
      </c>
      <c r="J45" s="402">
        <v>2.268161391839385E-3</v>
      </c>
      <c r="K45" s="402">
        <v>2.1061655133962631E-3</v>
      </c>
      <c r="L45" s="402">
        <v>2.7487161569297314E-3</v>
      </c>
      <c r="M45" s="402">
        <v>1.9123764941468835E-3</v>
      </c>
      <c r="N45" s="402">
        <v>1.0795607231557369E-3</v>
      </c>
      <c r="O45" s="402">
        <v>2.6825314853340387E-3</v>
      </c>
    </row>
    <row r="46" spans="1:15" ht="26" x14ac:dyDescent="0.3">
      <c r="A46" s="394" t="s">
        <v>216</v>
      </c>
      <c r="B46" s="394" t="s">
        <v>852</v>
      </c>
      <c r="C46" s="394">
        <v>0</v>
      </c>
      <c r="D46" s="394" t="s">
        <v>914</v>
      </c>
      <c r="E46" s="402">
        <v>1.4933933271095157E-3</v>
      </c>
      <c r="F46" s="402">
        <v>2.0174982637399808E-5</v>
      </c>
      <c r="G46" s="402">
        <v>7.8806011006236076E-3</v>
      </c>
      <c r="H46" s="402">
        <v>1.0972931049764156E-3</v>
      </c>
      <c r="I46" s="402">
        <v>4.1443654336035252E-3</v>
      </c>
      <c r="J46" s="402">
        <v>2.4444970767945051E-3</v>
      </c>
      <c r="K46" s="402">
        <v>9.457956999540329E-3</v>
      </c>
      <c r="L46" s="402">
        <v>1.2343397364020348E-2</v>
      </c>
      <c r="M46" s="402">
        <v>8.0717196688055992E-3</v>
      </c>
      <c r="N46" s="402">
        <v>3.7738857790827751E-3</v>
      </c>
      <c r="O46" s="402">
        <v>1.2046187184751034E-2</v>
      </c>
    </row>
    <row r="47" spans="1:15" ht="26" x14ac:dyDescent="0.3">
      <c r="A47" s="394" t="s">
        <v>217</v>
      </c>
      <c r="B47" s="394" t="s">
        <v>862</v>
      </c>
      <c r="C47" s="394">
        <v>0</v>
      </c>
      <c r="D47" s="394" t="s">
        <v>914</v>
      </c>
      <c r="E47" s="402">
        <v>4.7844636719673872E-4</v>
      </c>
      <c r="F47" s="402">
        <v>1.3449989637592807E-5</v>
      </c>
      <c r="G47" s="402">
        <v>0</v>
      </c>
      <c r="H47" s="402">
        <v>7.3158973827958107E-4</v>
      </c>
      <c r="I47" s="402">
        <v>3.3731808071024716E-4</v>
      </c>
      <c r="J47" s="402">
        <v>4.4883479131385684E-4</v>
      </c>
      <c r="K47" s="402">
        <v>1.1293167481198907E-3</v>
      </c>
      <c r="L47" s="402">
        <v>1.4738496392965317E-3</v>
      </c>
      <c r="M47" s="402">
        <v>9.2243938706815243E-4</v>
      </c>
      <c r="N47" s="402">
        <v>3.6454107612371445E-4</v>
      </c>
      <c r="O47" s="402">
        <v>1.4383617090061307E-3</v>
      </c>
    </row>
    <row r="48" spans="1:15" ht="26" x14ac:dyDescent="0.3">
      <c r="A48" s="394" t="s">
        <v>219</v>
      </c>
      <c r="B48" s="394" t="s">
        <v>713</v>
      </c>
      <c r="C48" s="394">
        <v>0</v>
      </c>
      <c r="D48" s="394" t="s">
        <v>714</v>
      </c>
      <c r="E48" s="402">
        <v>0.14027149975299835</v>
      </c>
      <c r="F48" s="402">
        <v>0.20852574706077576</v>
      </c>
      <c r="G48" s="402">
        <v>2.7633499354124069E-2</v>
      </c>
      <c r="H48" s="402">
        <v>1.6796604904811829E-4</v>
      </c>
      <c r="I48" s="402">
        <v>1.1997628025710583E-3</v>
      </c>
      <c r="J48" s="402">
        <v>5.5177692323923111E-2</v>
      </c>
      <c r="K48" s="402">
        <v>0.21250401437282562</v>
      </c>
      <c r="L48" s="402">
        <v>0.27733489871025085</v>
      </c>
      <c r="M48" s="402">
        <v>0.16103808581829071</v>
      </c>
      <c r="N48" s="402">
        <v>4.2500317096710205E-2</v>
      </c>
      <c r="O48" s="402">
        <v>0.27065709233283997</v>
      </c>
    </row>
    <row r="49" spans="1:15" ht="26" x14ac:dyDescent="0.3">
      <c r="A49" s="394" t="s">
        <v>715</v>
      </c>
      <c r="B49" s="394" t="s">
        <v>716</v>
      </c>
      <c r="C49" s="394">
        <v>0</v>
      </c>
      <c r="D49" s="394" t="s">
        <v>714</v>
      </c>
      <c r="E49" s="402">
        <v>1.4475748538970947</v>
      </c>
      <c r="F49" s="402">
        <v>1.1894141435623169</v>
      </c>
      <c r="G49" s="402">
        <v>1.1472653150558472</v>
      </c>
      <c r="H49" s="402">
        <v>1.2228192090988159</v>
      </c>
      <c r="I49" s="402">
        <v>1.1935895681381226</v>
      </c>
      <c r="J49" s="402">
        <v>1.2970284223556519</v>
      </c>
      <c r="K49" s="402">
        <v>1.3002232313156128</v>
      </c>
      <c r="L49" s="402">
        <v>1.2645058631896973</v>
      </c>
      <c r="M49" s="402">
        <v>1.2550046443939209</v>
      </c>
      <c r="N49" s="402">
        <v>1.2407523393630981</v>
      </c>
      <c r="O49" s="402">
        <v>1.2681847810745239</v>
      </c>
    </row>
  </sheetData>
  <mergeCells count="1">
    <mergeCell ref="A1:O1"/>
  </mergeCells>
  <pageMargins left="0.7" right="0.7" top="0.75" bottom="0.75" header="0.3" footer="0.3"/>
  <pageSetup scale="69" orientation="portrait" horizontalDpi="4294967292" verticalDpi="429496729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A9033-FC12-A348-A2C1-A0905B4D4E5D}">
  <sheetPr>
    <pageSetUpPr fitToPage="1"/>
  </sheetPr>
  <dimension ref="B4:N61"/>
  <sheetViews>
    <sheetView zoomScale="48" zoomScaleNormal="50" workbookViewId="0">
      <selection activeCell="B4" sqref="B4"/>
    </sheetView>
  </sheetViews>
  <sheetFormatPr baseColWidth="10" defaultColWidth="8.6640625" defaultRowHeight="15" outlineLevelRow="1" x14ac:dyDescent="0.2"/>
  <cols>
    <col min="1" max="1" width="8.6640625" style="80"/>
    <col min="2" max="2" width="67" style="80" customWidth="1"/>
    <col min="3" max="11" width="18.6640625" style="80" customWidth="1"/>
    <col min="12" max="12" width="22.83203125" style="80" bestFit="1" customWidth="1"/>
    <col min="13" max="13" width="25.6640625" style="80" bestFit="1" customWidth="1"/>
    <col min="14" max="16384" width="8.6640625" style="80"/>
  </cols>
  <sheetData>
    <row r="4" spans="2:14" ht="72.75" customHeight="1" x14ac:dyDescent="0.45">
      <c r="B4" s="463" t="s">
        <v>39</v>
      </c>
    </row>
    <row r="5" spans="2:14" x14ac:dyDescent="0.2">
      <c r="B5" s="460"/>
      <c r="C5" s="461"/>
      <c r="D5" s="461"/>
      <c r="E5" s="461"/>
      <c r="F5" s="461"/>
      <c r="G5" s="461"/>
      <c r="H5" s="461"/>
      <c r="I5" s="461"/>
      <c r="J5" s="461"/>
      <c r="K5" s="461"/>
    </row>
    <row r="6" spans="2:14" ht="16" thickBot="1" x14ac:dyDescent="0.25">
      <c r="B6" s="79"/>
      <c r="C6" s="79"/>
      <c r="D6" s="79"/>
      <c r="E6" s="79"/>
      <c r="F6" s="79"/>
      <c r="G6" s="79"/>
      <c r="H6" s="79"/>
      <c r="I6" s="79"/>
      <c r="J6" s="79"/>
      <c r="K6" s="79"/>
      <c r="L6" s="79"/>
    </row>
    <row r="7" spans="2:14" ht="65" thickTop="1" x14ac:dyDescent="0.2">
      <c r="B7" s="82" t="s">
        <v>40</v>
      </c>
      <c r="C7" s="82">
        <v>2015</v>
      </c>
      <c r="D7" s="82">
        <v>2016</v>
      </c>
      <c r="E7" s="82">
        <v>2017</v>
      </c>
      <c r="F7" s="82">
        <v>2018</v>
      </c>
      <c r="G7" s="82">
        <v>2019</v>
      </c>
      <c r="H7" s="82">
        <v>2020</v>
      </c>
      <c r="I7" s="82">
        <v>2021</v>
      </c>
      <c r="J7" s="472">
        <v>2022</v>
      </c>
      <c r="K7" s="472">
        <v>2023</v>
      </c>
      <c r="L7" s="474" t="s">
        <v>41</v>
      </c>
    </row>
    <row r="8" spans="2:14" ht="29" x14ac:dyDescent="0.2">
      <c r="B8" s="84" t="s">
        <v>42</v>
      </c>
      <c r="C8" s="89">
        <f t="array" ref="C8:J8">TRANSPOSE('DataF3-F4'!B45:B52)</f>
        <v>63099</v>
      </c>
      <c r="D8" s="89">
        <v>64225.09168154587</v>
      </c>
      <c r="E8" s="89">
        <v>68372.084424467204</v>
      </c>
      <c r="F8" s="89">
        <v>72695.849670391413</v>
      </c>
      <c r="G8" s="89">
        <v>73733.019323324421</v>
      </c>
      <c r="H8" s="89">
        <v>71629.04808853408</v>
      </c>
      <c r="I8" s="89">
        <v>81608.672176324442</v>
      </c>
      <c r="J8" s="89">
        <v>85487.565853156309</v>
      </c>
      <c r="K8" s="89">
        <f>'DataF3-F4'!B53</f>
        <v>89662.984169693766</v>
      </c>
      <c r="L8" s="475">
        <f>+K8/C8-1</f>
        <v>0.42098898825169595</v>
      </c>
      <c r="M8" s="148"/>
    </row>
    <row r="9" spans="2:14" ht="29" x14ac:dyDescent="0.2">
      <c r="B9" s="84" t="s">
        <v>43</v>
      </c>
      <c r="C9" s="89">
        <f t="array" ref="C9:J9">TRANSPOSE('DataF3-F4'!C45:C52)</f>
        <v>11515</v>
      </c>
      <c r="D9" s="89">
        <v>12216.2001953125</v>
      </c>
      <c r="E9" s="89">
        <v>13053.9365234375</v>
      </c>
      <c r="F9" s="89">
        <v>13908.0146484375</v>
      </c>
      <c r="G9" s="89">
        <v>14020.818359375</v>
      </c>
      <c r="H9" s="89">
        <v>13028.458984375</v>
      </c>
      <c r="I9" s="89">
        <v>15960.6201171875</v>
      </c>
      <c r="J9" s="89">
        <v>17118.080078125</v>
      </c>
      <c r="K9" s="89">
        <f>'DataF3-F4'!C53</f>
        <v>17627.921875</v>
      </c>
      <c r="L9" s="476">
        <f>+K9/C9-1</f>
        <v>0.53086599001302659</v>
      </c>
      <c r="M9" s="148"/>
    </row>
    <row r="10" spans="2:14" ht="29.25" customHeight="1" x14ac:dyDescent="0.2">
      <c r="B10" s="88" t="s">
        <v>44</v>
      </c>
      <c r="C10" s="89">
        <f t="array" ref="C10:J10">TRANSPOSE('DataF3-F4'!L45:L52)</f>
        <v>1703.2290592571803</v>
      </c>
      <c r="D10" s="89">
        <v>1978.6026611328125</v>
      </c>
      <c r="E10" s="89">
        <v>2153.560302734375</v>
      </c>
      <c r="F10" s="89">
        <v>2417.470458984375</v>
      </c>
      <c r="G10" s="89">
        <v>2453.945068359375</v>
      </c>
      <c r="H10" s="89">
        <v>1997.9644775390625</v>
      </c>
      <c r="I10" s="89">
        <v>2988.71044921875</v>
      </c>
      <c r="J10" s="89">
        <v>3050.8916015625</v>
      </c>
      <c r="K10" s="89">
        <f>'DataF3-F4'!L53</f>
        <v>3074.028076171875</v>
      </c>
      <c r="L10" s="476">
        <f>+K10/C10-1</f>
        <v>0.80482364334045209</v>
      </c>
      <c r="M10" s="148"/>
    </row>
    <row r="11" spans="2:14" ht="29" x14ac:dyDescent="0.2">
      <c r="B11" s="88" t="s">
        <v>45</v>
      </c>
      <c r="C11" s="89">
        <f t="array" ref="C11:J11">TRANSPOSE('DataF3-F4'!G45:G52)</f>
        <v>616</v>
      </c>
      <c r="D11" s="89">
        <v>733.29815673828125</v>
      </c>
      <c r="E11" s="89">
        <v>732.49969482421875</v>
      </c>
      <c r="F11" s="89">
        <v>821.514404296875</v>
      </c>
      <c r="G11" s="89">
        <v>889.954833984375</v>
      </c>
      <c r="H11" s="89">
        <v>716.5537109375</v>
      </c>
      <c r="I11" s="89">
        <v>932.0604248046875</v>
      </c>
      <c r="J11" s="89">
        <v>956.0498046875</v>
      </c>
      <c r="K11" s="89">
        <f>'DataF3-F4'!G53</f>
        <v>1038.3739013671875</v>
      </c>
      <c r="L11" s="476">
        <f>+K11/C11-1</f>
        <v>0.68567191780387571</v>
      </c>
      <c r="M11" s="480"/>
    </row>
    <row r="12" spans="2:14" ht="29" x14ac:dyDescent="0.2">
      <c r="B12" s="84" t="s">
        <v>46</v>
      </c>
      <c r="C12" s="152">
        <f>C11/C10</f>
        <v>0.3616659759601874</v>
      </c>
      <c r="D12" s="152">
        <f t="shared" ref="D12:K12" si="0">D11/D10</f>
        <v>0.37061415671929043</v>
      </c>
      <c r="E12" s="152">
        <f t="shared" si="0"/>
        <v>0.34013428548722974</v>
      </c>
      <c r="F12" s="152">
        <f t="shared" si="0"/>
        <v>0.33982396816629923</v>
      </c>
      <c r="G12" s="152">
        <f t="shared" si="0"/>
        <v>0.3626628996138731</v>
      </c>
      <c r="H12" s="152">
        <f t="shared" si="0"/>
        <v>0.35864186725686698</v>
      </c>
      <c r="I12" s="152">
        <f t="shared" si="0"/>
        <v>0.31186039619472955</v>
      </c>
      <c r="J12" s="152">
        <f t="shared" si="0"/>
        <v>0.31336734618754186</v>
      </c>
      <c r="K12" s="152">
        <f t="shared" si="0"/>
        <v>0.33778933556790647</v>
      </c>
      <c r="L12" s="477">
        <f>100*(K12-C12)</f>
        <v>-2.3876640392280937</v>
      </c>
    </row>
    <row r="13" spans="2:14" ht="29" x14ac:dyDescent="0.2">
      <c r="B13" s="88" t="s">
        <v>47</v>
      </c>
      <c r="C13" s="89">
        <f t="array" ref="C13:J13">TRANSPOSE('DataF3-F4'!E45:E52)</f>
        <v>2154</v>
      </c>
      <c r="D13" s="89">
        <v>2427.3701171875</v>
      </c>
      <c r="E13" s="89">
        <v>2490.93017578125</v>
      </c>
      <c r="F13" s="89">
        <v>2599.52587890625</v>
      </c>
      <c r="G13" s="89">
        <v>2669.346435546875</v>
      </c>
      <c r="H13" s="89">
        <v>2524.726806640625</v>
      </c>
      <c r="I13" s="89">
        <v>3137.916259765625</v>
      </c>
      <c r="J13" s="89">
        <v>3487.652587890625</v>
      </c>
      <c r="K13" s="89">
        <f>'DataF3-F4'!E53</f>
        <v>3507.9326171875</v>
      </c>
      <c r="L13" s="476">
        <f>+K13/C13-1</f>
        <v>0.62856667464600746</v>
      </c>
      <c r="N13" s="460"/>
    </row>
    <row r="14" spans="2:14" ht="29" hidden="1" outlineLevel="1" x14ac:dyDescent="0.2">
      <c r="B14" s="84" t="s">
        <v>48</v>
      </c>
      <c r="C14" s="89">
        <v>188</v>
      </c>
      <c r="D14" s="305">
        <v>202.02390207147599</v>
      </c>
      <c r="E14" s="305">
        <v>204.76198250062018</v>
      </c>
      <c r="F14" s="305">
        <v>209.78945503399521</v>
      </c>
      <c r="G14" s="305">
        <v>226.69033386266233</v>
      </c>
      <c r="H14" s="305">
        <v>179.91017677889764</v>
      </c>
      <c r="I14" s="305">
        <v>227.497765493385</v>
      </c>
      <c r="J14" s="305">
        <v>239</v>
      </c>
      <c r="K14" s="305"/>
      <c r="L14" s="476">
        <f>+G14/C14-1</f>
        <v>0.20579964820565078</v>
      </c>
    </row>
    <row r="15" spans="2:14" ht="30" hidden="1" outlineLevel="1" thickBot="1" x14ac:dyDescent="0.25">
      <c r="B15" s="94" t="s">
        <v>49</v>
      </c>
      <c r="C15" s="303">
        <v>8.72794800371402E-2</v>
      </c>
      <c r="D15" s="306">
        <f t="shared" ref="D15:F15" si="1">D14/D13</f>
        <v>8.3227481726418084E-2</v>
      </c>
      <c r="E15" s="306">
        <f t="shared" si="1"/>
        <v>8.2203019776095926E-2</v>
      </c>
      <c r="F15" s="306">
        <f t="shared" si="1"/>
        <v>8.0702968466797517E-2</v>
      </c>
      <c r="G15" s="306">
        <f>G14/G13</f>
        <v>8.4923534406735696E-2</v>
      </c>
      <c r="H15" s="306">
        <f t="shared" ref="H15:I15" si="2">H14/H13</f>
        <v>7.1259265083925744E-2</v>
      </c>
      <c r="I15" s="306">
        <f t="shared" si="2"/>
        <v>7.2499629263649348E-2</v>
      </c>
      <c r="J15" s="306">
        <f>J14/J13</f>
        <v>6.8527467681220547E-2</v>
      </c>
      <c r="K15" s="471"/>
      <c r="L15" s="477">
        <f>100*(J15-C15)</f>
        <v>-1.8752012355919654</v>
      </c>
    </row>
    <row r="16" spans="2:14" hidden="1" outlineLevel="1" x14ac:dyDescent="0.2">
      <c r="L16" s="478"/>
    </row>
    <row r="17" spans="2:14" ht="29" collapsed="1" x14ac:dyDescent="0.2">
      <c r="B17" s="84" t="s">
        <v>48</v>
      </c>
      <c r="C17" s="89">
        <f t="array" ref="C17:J17">TRANSPOSE('DataF3-F4'!BF45:BF52)</f>
        <v>181.40241</v>
      </c>
      <c r="D17" s="89">
        <v>202.02390207147599</v>
      </c>
      <c r="E17" s="89">
        <v>204.76198250062018</v>
      </c>
      <c r="F17" s="89">
        <v>209.78945503399521</v>
      </c>
      <c r="G17" s="89">
        <v>226.69033386266233</v>
      </c>
      <c r="H17" s="89">
        <v>179.91017677889764</v>
      </c>
      <c r="I17" s="89">
        <v>232.05381752502919</v>
      </c>
      <c r="J17" s="89">
        <v>240.68839379765095</v>
      </c>
      <c r="K17" s="89">
        <f>'DataF3-F4'!BF53</f>
        <v>267.39184206415712</v>
      </c>
      <c r="L17" s="476">
        <f>+K17/C17-1</f>
        <v>0.47402585260117069</v>
      </c>
    </row>
    <row r="18" spans="2:14" ht="30" thickBot="1" x14ac:dyDescent="0.25">
      <c r="B18" s="94" t="s">
        <v>49</v>
      </c>
      <c r="C18" s="303">
        <f>C17/C13</f>
        <v>8.4216532033426189E-2</v>
      </c>
      <c r="D18" s="303">
        <f t="shared" ref="D18:K18" si="3">D17/D13</f>
        <v>8.3227481726418084E-2</v>
      </c>
      <c r="E18" s="303">
        <f t="shared" si="3"/>
        <v>8.2203019776095926E-2</v>
      </c>
      <c r="F18" s="303">
        <f t="shared" si="3"/>
        <v>8.0702968466797517E-2</v>
      </c>
      <c r="G18" s="303">
        <f t="shared" si="3"/>
        <v>8.4923534406735696E-2</v>
      </c>
      <c r="H18" s="303">
        <f t="shared" si="3"/>
        <v>7.1259265083925744E-2</v>
      </c>
      <c r="I18" s="303">
        <f t="shared" si="3"/>
        <v>7.3951564769405786E-2</v>
      </c>
      <c r="J18" s="303">
        <f t="shared" si="3"/>
        <v>6.9011573754030997E-2</v>
      </c>
      <c r="K18" s="303">
        <f t="shared" si="3"/>
        <v>7.6224908298991118E-2</v>
      </c>
      <c r="L18" s="479">
        <f>100*(K18-C18)</f>
        <v>-0.79916237344350716</v>
      </c>
    </row>
    <row r="19" spans="2:14" ht="16" thickTop="1" x14ac:dyDescent="0.2"/>
    <row r="20" spans="2:14" ht="29" x14ac:dyDescent="0.2">
      <c r="C20" s="89"/>
      <c r="D20" s="89"/>
      <c r="E20" s="89"/>
      <c r="F20" s="89"/>
      <c r="G20" s="89"/>
      <c r="H20" s="89"/>
      <c r="I20" s="89"/>
      <c r="J20" s="89"/>
      <c r="K20" s="89"/>
    </row>
    <row r="21" spans="2:14" x14ac:dyDescent="0.2">
      <c r="M21" s="148"/>
      <c r="N21" s="148"/>
    </row>
    <row r="22" spans="2:14" x14ac:dyDescent="0.2">
      <c r="M22" s="148"/>
      <c r="N22" s="148"/>
    </row>
    <row r="23" spans="2:14" ht="29" x14ac:dyDescent="0.2">
      <c r="B23" s="89"/>
      <c r="M23" s="148"/>
      <c r="N23" s="148"/>
    </row>
    <row r="61" spans="9:9" ht="29" x14ac:dyDescent="0.2">
      <c r="I61" s="305"/>
    </row>
  </sheetData>
  <printOptions horizontalCentered="1"/>
  <pageMargins left="0.25" right="0.25" top="0.75" bottom="0.75" header="0.3" footer="0.3"/>
  <pageSetup paperSize="9" scale="53"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39997558519241921"/>
    <pageSetUpPr fitToPage="1"/>
  </sheetPr>
  <dimension ref="A1:P44"/>
  <sheetViews>
    <sheetView zoomScale="34" zoomScaleNormal="100" zoomScalePageLayoutView="70" workbookViewId="0">
      <pane xSplit="2" ySplit="13" topLeftCell="S37" activePane="bottomRight" state="frozen"/>
      <selection pane="topRight" activeCell="B5" sqref="B5"/>
      <selection pane="bottomLeft" activeCell="B5" sqref="B5"/>
      <selection pane="bottomRight" activeCell="S37" sqref="S37"/>
    </sheetView>
  </sheetViews>
  <sheetFormatPr baseColWidth="10" defaultColWidth="8.83203125" defaultRowHeight="16" x14ac:dyDescent="0.2"/>
  <cols>
    <col min="1" max="7" width="17.1640625" customWidth="1"/>
    <col min="8" max="8" width="25.1640625" customWidth="1"/>
    <col min="9" max="9" width="17.1640625" customWidth="1"/>
    <col min="10" max="11" width="24.1640625" customWidth="1"/>
    <col min="12" max="15" width="17.1640625" customWidth="1"/>
    <col min="16" max="16" width="25.83203125" customWidth="1"/>
  </cols>
  <sheetData>
    <row r="1" spans="1:16" ht="33" x14ac:dyDescent="0.2">
      <c r="A1" s="406"/>
      <c r="B1" s="375"/>
      <c r="C1" s="626" t="s">
        <v>943</v>
      </c>
      <c r="D1" s="627"/>
      <c r="E1" s="627"/>
      <c r="F1" s="627"/>
      <c r="G1" s="627"/>
      <c r="H1" s="627"/>
      <c r="I1" s="627"/>
      <c r="J1" s="627"/>
      <c r="K1" s="627"/>
      <c r="L1" s="627"/>
      <c r="M1" s="627"/>
      <c r="N1" s="627"/>
      <c r="O1" s="628"/>
      <c r="P1" s="376"/>
    </row>
    <row r="2" spans="1:16" s="407" customFormat="1" ht="90" x14ac:dyDescent="0.2">
      <c r="A2" s="365" t="s">
        <v>718</v>
      </c>
      <c r="B2" s="366" t="s">
        <v>719</v>
      </c>
      <c r="C2" s="366" t="s">
        <v>889</v>
      </c>
      <c r="D2" s="366" t="s">
        <v>720</v>
      </c>
      <c r="E2" s="366" t="s">
        <v>65</v>
      </c>
      <c r="F2" s="366" t="s">
        <v>338</v>
      </c>
      <c r="G2" s="366" t="s">
        <v>59</v>
      </c>
      <c r="H2" s="366" t="s">
        <v>60</v>
      </c>
      <c r="I2" s="366" t="s">
        <v>222</v>
      </c>
      <c r="J2" s="366" t="s">
        <v>64</v>
      </c>
      <c r="K2" s="366" t="s">
        <v>61</v>
      </c>
      <c r="L2" s="366" t="s">
        <v>922</v>
      </c>
      <c r="M2" s="366" t="s">
        <v>919</v>
      </c>
      <c r="N2" s="366" t="s">
        <v>920</v>
      </c>
      <c r="O2" s="366" t="s">
        <v>941</v>
      </c>
      <c r="P2" s="367" t="s">
        <v>944</v>
      </c>
    </row>
    <row r="3" spans="1:16" ht="29" x14ac:dyDescent="0.35">
      <c r="A3" s="403" t="s">
        <v>186</v>
      </c>
      <c r="B3" s="364"/>
      <c r="C3" s="364"/>
      <c r="D3" s="364"/>
      <c r="E3" s="364"/>
      <c r="F3" s="364"/>
      <c r="G3" s="364"/>
      <c r="H3" s="364"/>
      <c r="I3" s="364"/>
      <c r="J3" s="364"/>
      <c r="K3" s="364"/>
      <c r="L3" s="364"/>
      <c r="M3" s="364"/>
      <c r="N3" s="364"/>
      <c r="O3" s="364"/>
      <c r="P3" s="364"/>
    </row>
    <row r="4" spans="1:16" ht="29" x14ac:dyDescent="0.35">
      <c r="A4" s="364" t="s">
        <v>68</v>
      </c>
      <c r="B4" s="364" t="s">
        <v>627</v>
      </c>
      <c r="C4" s="364">
        <v>0</v>
      </c>
      <c r="D4" s="364" t="s">
        <v>628</v>
      </c>
      <c r="E4" s="404">
        <v>5.3985900012776256E-4</v>
      </c>
      <c r="F4" s="404">
        <v>1.012439897749573E-4</v>
      </c>
      <c r="G4" s="404">
        <v>1.1449155397713184E-2</v>
      </c>
      <c r="H4" s="404">
        <v>1.1218346189707518E-3</v>
      </c>
      <c r="I4" s="404">
        <v>2.1604150242637843E-4</v>
      </c>
      <c r="J4" s="404">
        <v>3.7306973244994879E-3</v>
      </c>
      <c r="K4" s="404">
        <v>2.0974732469767332E-3</v>
      </c>
      <c r="L4" s="404">
        <v>3.639473021030426E-2</v>
      </c>
      <c r="M4" s="404">
        <v>5.5651038885116577E-2</v>
      </c>
      <c r="N4" s="404">
        <v>1.7158832401037216E-2</v>
      </c>
      <c r="O4" s="404">
        <v>3.8492202758789062E-2</v>
      </c>
      <c r="P4" s="364">
        <v>392003.96875</v>
      </c>
    </row>
    <row r="5" spans="1:16" ht="29" x14ac:dyDescent="0.35">
      <c r="A5" s="364" t="s">
        <v>187</v>
      </c>
      <c r="B5" s="364" t="s">
        <v>629</v>
      </c>
      <c r="C5" s="364">
        <v>1</v>
      </c>
      <c r="D5" s="364" t="s">
        <v>628</v>
      </c>
      <c r="E5" s="404">
        <v>1.3436952605843544E-2</v>
      </c>
      <c r="F5" s="404">
        <v>1.0242701973766088E-3</v>
      </c>
      <c r="G5" s="404">
        <v>2.6445655152201653E-2</v>
      </c>
      <c r="H5" s="404">
        <v>1.5099843963980675E-2</v>
      </c>
      <c r="I5" s="404">
        <v>2.5460062548518181E-2</v>
      </c>
      <c r="J5" s="404">
        <v>2.435307577252388E-2</v>
      </c>
      <c r="K5" s="404">
        <v>1.17045808583498E-2</v>
      </c>
      <c r="L5" s="404">
        <v>1.8085796386003494E-2</v>
      </c>
      <c r="M5" s="404">
        <v>0.13561023771762848</v>
      </c>
      <c r="N5" s="404">
        <v>0.10581985861063004</v>
      </c>
      <c r="O5" s="404">
        <v>2.9790377244353294E-2</v>
      </c>
      <c r="P5" s="364">
        <v>56236.15234375</v>
      </c>
    </row>
    <row r="6" spans="1:16" ht="29" x14ac:dyDescent="0.35">
      <c r="A6" s="364" t="s">
        <v>82</v>
      </c>
      <c r="B6" s="364" t="s">
        <v>630</v>
      </c>
      <c r="C6" s="364">
        <v>0</v>
      </c>
      <c r="D6" s="364" t="s">
        <v>628</v>
      </c>
      <c r="E6" s="404">
        <v>1.3179512461647391E-3</v>
      </c>
      <c r="F6" s="404">
        <v>1.2894153769593686E-4</v>
      </c>
      <c r="G6" s="404">
        <v>4.9371332861483097E-3</v>
      </c>
      <c r="H6" s="404">
        <v>3.2797569874674082E-3</v>
      </c>
      <c r="I6" s="404">
        <v>4.6978247701190412E-4</v>
      </c>
      <c r="J6" s="404">
        <v>5.1674777641892433E-3</v>
      </c>
      <c r="K6" s="404">
        <v>2.3587998002767563E-3</v>
      </c>
      <c r="L6" s="404">
        <v>4.8699986189603806E-2</v>
      </c>
      <c r="M6" s="404">
        <v>6.6359832882881165E-2</v>
      </c>
      <c r="N6" s="404">
        <v>1.5301044099032879E-2</v>
      </c>
      <c r="O6" s="404">
        <v>5.1058787852525711E-2</v>
      </c>
      <c r="P6" s="364">
        <v>341834.1875</v>
      </c>
    </row>
    <row r="7" spans="1:16" ht="29" x14ac:dyDescent="0.35">
      <c r="A7" s="364" t="s">
        <v>188</v>
      </c>
      <c r="B7" s="364" t="s">
        <v>631</v>
      </c>
      <c r="C7" s="364">
        <v>0</v>
      </c>
      <c r="D7" s="364" t="s">
        <v>628</v>
      </c>
      <c r="E7" s="404">
        <v>1.2160635087639093E-3</v>
      </c>
      <c r="F7" s="404">
        <v>2.6040873490273952E-4</v>
      </c>
      <c r="G7" s="404">
        <v>0</v>
      </c>
      <c r="H7" s="404">
        <v>1.7611950170248747E-3</v>
      </c>
      <c r="I7" s="404">
        <v>5.5413176596630365E-5</v>
      </c>
      <c r="J7" s="404">
        <v>3.5644648596644402E-3</v>
      </c>
      <c r="K7" s="404">
        <v>2.7913472149521112E-3</v>
      </c>
      <c r="L7" s="404">
        <v>7.4874408543109894E-2</v>
      </c>
      <c r="M7" s="404">
        <v>8.4523297846317291E-2</v>
      </c>
      <c r="N7" s="404">
        <v>6.8575451150536537E-3</v>
      </c>
      <c r="O7" s="404">
        <v>7.7665753662586212E-2</v>
      </c>
      <c r="P7" s="364">
        <v>64479.7734375</v>
      </c>
    </row>
    <row r="8" spans="1:16" ht="29" x14ac:dyDescent="0.35">
      <c r="A8" s="364" t="s">
        <v>189</v>
      </c>
      <c r="B8" s="364" t="s">
        <v>632</v>
      </c>
      <c r="C8" s="364">
        <v>1</v>
      </c>
      <c r="D8" s="364" t="s">
        <v>628</v>
      </c>
      <c r="E8" s="404">
        <v>1.3803858309984207E-2</v>
      </c>
      <c r="F8" s="404">
        <v>1.4667600626125932E-3</v>
      </c>
      <c r="G8" s="404">
        <v>2.6313349604606628E-2</v>
      </c>
      <c r="H8" s="404">
        <v>2.0877329632639885E-2</v>
      </c>
      <c r="I8" s="404">
        <v>2.1792736370116472E-3</v>
      </c>
      <c r="J8" s="404">
        <v>3.1760480254888535E-2</v>
      </c>
      <c r="K8" s="404">
        <v>6.542836781591177E-3</v>
      </c>
      <c r="L8" s="404">
        <v>5.0371089018881321E-3</v>
      </c>
      <c r="M8" s="404">
        <v>0.10798098891973495</v>
      </c>
      <c r="N8" s="404">
        <v>9.6401050686836243E-2</v>
      </c>
      <c r="O8" s="404">
        <v>1.1579946614801884E-2</v>
      </c>
      <c r="P8" s="364">
        <v>36586.4609375</v>
      </c>
    </row>
    <row r="9" spans="1:16" ht="29" x14ac:dyDescent="0.35">
      <c r="A9" s="364" t="s">
        <v>75</v>
      </c>
      <c r="B9" s="364" t="s">
        <v>633</v>
      </c>
      <c r="C9" s="364">
        <v>1</v>
      </c>
      <c r="D9" s="364" t="s">
        <v>628</v>
      </c>
      <c r="E9" s="404">
        <v>9.7925653681159019E-3</v>
      </c>
      <c r="F9" s="404">
        <v>2.2160403896123171E-3</v>
      </c>
      <c r="G9" s="404">
        <v>3.1526032835245132E-2</v>
      </c>
      <c r="H9" s="404">
        <v>4.5974940061569214E-2</v>
      </c>
      <c r="I9" s="404">
        <v>1.0756922885775566E-2</v>
      </c>
      <c r="J9" s="404">
        <v>4.6240575611591339E-2</v>
      </c>
      <c r="K9" s="404">
        <v>8.8651962578296661E-3</v>
      </c>
      <c r="L9" s="404">
        <v>2.5190811604261398E-2</v>
      </c>
      <c r="M9" s="404">
        <v>0.18056307733058929</v>
      </c>
      <c r="N9" s="404">
        <v>0.14650706946849823</v>
      </c>
      <c r="O9" s="404">
        <v>3.4056007862091064E-2</v>
      </c>
      <c r="P9" s="364">
        <v>574960.1875</v>
      </c>
    </row>
    <row r="10" spans="1:16" ht="29" x14ac:dyDescent="0.35">
      <c r="A10" s="364" t="s">
        <v>190</v>
      </c>
      <c r="B10" s="364" t="s">
        <v>634</v>
      </c>
      <c r="C10" s="364">
        <v>1</v>
      </c>
      <c r="D10" s="364" t="s">
        <v>628</v>
      </c>
      <c r="E10" s="404">
        <v>9.5154577866196632E-3</v>
      </c>
      <c r="F10" s="404">
        <v>1.5737749636173248E-3</v>
      </c>
      <c r="G10" s="404">
        <v>2.6329698041081429E-2</v>
      </c>
      <c r="H10" s="404">
        <v>9.274141862988472E-3</v>
      </c>
      <c r="I10" s="404">
        <v>3.9529106579720974E-3</v>
      </c>
      <c r="J10" s="404">
        <v>3.3584613353013992E-2</v>
      </c>
      <c r="K10" s="404">
        <v>1.6699898988008499E-3</v>
      </c>
      <c r="L10" s="404">
        <v>7.9659268260002136E-2</v>
      </c>
      <c r="M10" s="404">
        <v>0.16555985808372498</v>
      </c>
      <c r="N10" s="404">
        <v>8.4230594336986542E-2</v>
      </c>
      <c r="O10" s="404">
        <v>8.1329263746738434E-2</v>
      </c>
      <c r="P10" s="364">
        <v>82527.8984375</v>
      </c>
    </row>
    <row r="11" spans="1:16" ht="29" x14ac:dyDescent="0.35">
      <c r="A11" s="364" t="s">
        <v>72</v>
      </c>
      <c r="B11" s="364" t="s">
        <v>635</v>
      </c>
      <c r="C11" s="364">
        <v>1</v>
      </c>
      <c r="D11" s="364" t="s">
        <v>628</v>
      </c>
      <c r="E11" s="404">
        <v>6.2100286595523357E-3</v>
      </c>
      <c r="F11" s="404">
        <v>4.3766145245172083E-4</v>
      </c>
      <c r="G11" s="404">
        <v>2.0803423598408699E-2</v>
      </c>
      <c r="H11" s="404">
        <v>3.5501342266798019E-2</v>
      </c>
      <c r="I11" s="404">
        <v>1.1589839123189449E-3</v>
      </c>
      <c r="J11" s="404">
        <v>2.7666954323649406E-2</v>
      </c>
      <c r="K11" s="404">
        <v>4.8985220491886139E-3</v>
      </c>
      <c r="L11" s="404">
        <v>1.1423610150814056E-2</v>
      </c>
      <c r="M11" s="404">
        <v>0.1081005185842514</v>
      </c>
      <c r="N11" s="404">
        <v>9.1778390109539032E-2</v>
      </c>
      <c r="O11" s="404">
        <v>1.632213220000267E-2</v>
      </c>
      <c r="P11" s="364">
        <v>187230.9375</v>
      </c>
    </row>
    <row r="12" spans="1:16" ht="29" x14ac:dyDescent="0.35">
      <c r="A12" s="364" t="s">
        <v>191</v>
      </c>
      <c r="B12" s="364" t="s">
        <v>636</v>
      </c>
      <c r="C12" s="364">
        <v>1</v>
      </c>
      <c r="D12" s="364" t="s">
        <v>628</v>
      </c>
      <c r="E12" s="404">
        <v>8.0986674875020981E-3</v>
      </c>
      <c r="F12" s="404">
        <v>1.1830307776108384E-3</v>
      </c>
      <c r="G12" s="404">
        <v>2.5998650118708611E-2</v>
      </c>
      <c r="H12" s="404">
        <v>1.508416049182415E-2</v>
      </c>
      <c r="I12" s="404">
        <v>7.3842364363372326E-3</v>
      </c>
      <c r="J12" s="404">
        <v>2.6282083243131638E-2</v>
      </c>
      <c r="K12" s="404">
        <v>1.1180960573256016E-2</v>
      </c>
      <c r="L12" s="404">
        <v>1.3760617934167385E-2</v>
      </c>
      <c r="M12" s="404">
        <v>0.10897240787744522</v>
      </c>
      <c r="N12" s="404">
        <v>8.403082937002182E-2</v>
      </c>
      <c r="O12" s="404">
        <v>2.4941576644778252E-2</v>
      </c>
      <c r="P12" s="364">
        <v>7792.03125</v>
      </c>
    </row>
    <row r="13" spans="1:16" ht="29" x14ac:dyDescent="0.35">
      <c r="A13" s="364" t="s">
        <v>192</v>
      </c>
      <c r="B13" s="364" t="s">
        <v>637</v>
      </c>
      <c r="C13" s="364">
        <v>1</v>
      </c>
      <c r="D13" s="364" t="s">
        <v>628</v>
      </c>
      <c r="E13" s="404">
        <v>1.2129238806664944E-2</v>
      </c>
      <c r="F13" s="404">
        <v>5.9064611559733748E-4</v>
      </c>
      <c r="G13" s="404">
        <v>4.0306061506271362E-2</v>
      </c>
      <c r="H13" s="404">
        <v>1.6402283683419228E-2</v>
      </c>
      <c r="I13" s="404">
        <v>2.1932145580649376E-2</v>
      </c>
      <c r="J13" s="404">
        <v>4.3553993105888367E-2</v>
      </c>
      <c r="K13" s="404">
        <v>4.787106066942215E-3</v>
      </c>
      <c r="L13" s="404">
        <v>1.6665088012814522E-2</v>
      </c>
      <c r="M13" s="404">
        <v>0.15636655688285828</v>
      </c>
      <c r="N13" s="404">
        <v>0.13491436839103699</v>
      </c>
      <c r="O13" s="404">
        <v>2.1452192217111588E-2</v>
      </c>
      <c r="P13" s="364">
        <v>38215.12890625</v>
      </c>
    </row>
    <row r="14" spans="1:16" ht="29" x14ac:dyDescent="0.35">
      <c r="A14" s="364" t="s">
        <v>71</v>
      </c>
      <c r="B14" s="364" t="s">
        <v>638</v>
      </c>
      <c r="C14" s="364">
        <v>1</v>
      </c>
      <c r="D14" s="364" t="s">
        <v>628</v>
      </c>
      <c r="E14" s="404">
        <v>3.6324482411146164E-2</v>
      </c>
      <c r="F14" s="404">
        <v>5.8729981537908316E-4</v>
      </c>
      <c r="G14" s="404">
        <v>4.6487245708703995E-2</v>
      </c>
      <c r="H14" s="404">
        <v>7.1736700832843781E-2</v>
      </c>
      <c r="I14" s="404">
        <v>4.5949807390570641E-3</v>
      </c>
      <c r="J14" s="404">
        <v>4.8006076365709305E-2</v>
      </c>
      <c r="K14" s="404">
        <v>1.3732573017477989E-2</v>
      </c>
      <c r="L14" s="404">
        <v>3.6986552178859711E-2</v>
      </c>
      <c r="M14" s="404">
        <v>0.25845590233802795</v>
      </c>
      <c r="N14" s="404">
        <v>0.2077367901802063</v>
      </c>
      <c r="O14" s="404">
        <v>5.0719127058982849E-2</v>
      </c>
      <c r="P14" s="364">
        <v>215236.34375</v>
      </c>
    </row>
    <row r="15" spans="1:16" ht="29" x14ac:dyDescent="0.35">
      <c r="A15" s="364" t="s">
        <v>70</v>
      </c>
      <c r="B15" s="364" t="s">
        <v>639</v>
      </c>
      <c r="C15" s="364">
        <v>1</v>
      </c>
      <c r="D15" s="364" t="s">
        <v>628</v>
      </c>
      <c r="E15" s="404">
        <v>1.1799615807831287E-2</v>
      </c>
      <c r="F15" s="404">
        <v>2.5658761151134968E-3</v>
      </c>
      <c r="G15" s="404">
        <v>6.878836452960968E-2</v>
      </c>
      <c r="H15" s="404">
        <v>5.8231901377439499E-2</v>
      </c>
      <c r="I15" s="404">
        <v>6.8176547065377235E-3</v>
      </c>
      <c r="J15" s="404">
        <v>4.0791384875774384E-2</v>
      </c>
      <c r="K15" s="404">
        <v>1.0856295004487038E-2</v>
      </c>
      <c r="L15" s="404">
        <v>2.12498614564538E-3</v>
      </c>
      <c r="M15" s="404">
        <v>0.20197607576847076</v>
      </c>
      <c r="N15" s="404">
        <v>0.18899479508399963</v>
      </c>
      <c r="O15" s="404">
        <v>1.298128068447113E-2</v>
      </c>
      <c r="P15" s="364">
        <v>453199.90625</v>
      </c>
    </row>
    <row r="16" spans="1:16" ht="29" x14ac:dyDescent="0.35">
      <c r="A16" s="364" t="s">
        <v>193</v>
      </c>
      <c r="B16" s="364" t="s">
        <v>640</v>
      </c>
      <c r="C16" s="364">
        <v>1</v>
      </c>
      <c r="D16" s="364" t="s">
        <v>628</v>
      </c>
      <c r="E16" s="404">
        <v>8.5859717801213264E-3</v>
      </c>
      <c r="F16" s="404">
        <v>1.9114479422569275E-2</v>
      </c>
      <c r="G16" s="404">
        <v>4.6530280262231827E-2</v>
      </c>
      <c r="H16" s="404">
        <v>8.0429567024111748E-3</v>
      </c>
      <c r="I16" s="404">
        <v>2.7231570333242416E-2</v>
      </c>
      <c r="J16" s="404">
        <v>2.7688400819897652E-2</v>
      </c>
      <c r="K16" s="404">
        <v>8.6496304720640182E-3</v>
      </c>
      <c r="L16" s="404">
        <v>0.32527619600296021</v>
      </c>
      <c r="M16" s="404">
        <v>0.4711194634437561</v>
      </c>
      <c r="N16" s="404">
        <v>0.13719366490840912</v>
      </c>
      <c r="O16" s="404">
        <v>0.33392581343650818</v>
      </c>
      <c r="P16" s="364">
        <v>25893.70703125</v>
      </c>
    </row>
    <row r="17" spans="1:16" ht="29" x14ac:dyDescent="0.35">
      <c r="A17" s="364" t="s">
        <v>194</v>
      </c>
      <c r="B17" s="364" t="s">
        <v>641</v>
      </c>
      <c r="C17" s="364">
        <v>1</v>
      </c>
      <c r="D17" s="364" t="s">
        <v>628</v>
      </c>
      <c r="E17" s="404">
        <v>1.0029930621385574E-2</v>
      </c>
      <c r="F17" s="404">
        <v>1.3181315734982491E-3</v>
      </c>
      <c r="G17" s="404">
        <v>0.13990825414657593</v>
      </c>
      <c r="H17" s="404">
        <v>2.5741571560502052E-2</v>
      </c>
      <c r="I17" s="404">
        <v>1.8165690125897527E-3</v>
      </c>
      <c r="J17" s="404">
        <v>3.3102396875619888E-2</v>
      </c>
      <c r="K17" s="404">
        <v>1.1149076744914055E-3</v>
      </c>
      <c r="L17" s="404">
        <v>1.1961245909333229E-2</v>
      </c>
      <c r="M17" s="404">
        <v>0.22499300539493561</v>
      </c>
      <c r="N17" s="404">
        <v>0.21191683411598206</v>
      </c>
      <c r="O17" s="404">
        <v>1.3076153583824635E-2</v>
      </c>
      <c r="P17" s="364">
        <v>25116.703125</v>
      </c>
    </row>
    <row r="18" spans="1:16" ht="29" x14ac:dyDescent="0.35">
      <c r="A18" s="364" t="s">
        <v>195</v>
      </c>
      <c r="B18" s="364" t="s">
        <v>642</v>
      </c>
      <c r="C18" s="364">
        <v>1</v>
      </c>
      <c r="D18" s="364" t="s">
        <v>628</v>
      </c>
      <c r="E18" s="404">
        <v>5.8221337385475636E-3</v>
      </c>
      <c r="F18" s="404">
        <v>1.0316655243514106E-4</v>
      </c>
      <c r="G18" s="404">
        <v>2.0345810800790787E-2</v>
      </c>
      <c r="H18" s="404">
        <v>1.3204594142735004E-2</v>
      </c>
      <c r="I18" s="404">
        <v>2.682266931515187E-4</v>
      </c>
      <c r="J18" s="404">
        <v>3.5570740699768066E-2</v>
      </c>
      <c r="K18" s="404">
        <v>4.3803174048662186E-3</v>
      </c>
      <c r="L18" s="404">
        <v>0.11795446276664734</v>
      </c>
      <c r="M18" s="404">
        <v>0.12277168035507202</v>
      </c>
      <c r="N18" s="404">
        <v>4.3689567246474326E-4</v>
      </c>
      <c r="O18" s="404">
        <v>0.12233477830886841</v>
      </c>
      <c r="P18" s="364">
        <v>4315.53076171875</v>
      </c>
    </row>
    <row r="19" spans="1:16" ht="29" x14ac:dyDescent="0.35">
      <c r="A19" s="364" t="s">
        <v>196</v>
      </c>
      <c r="B19" s="364" t="s">
        <v>643</v>
      </c>
      <c r="C19" s="364">
        <v>0</v>
      </c>
      <c r="D19" s="364" t="s">
        <v>628</v>
      </c>
      <c r="E19" s="404">
        <v>2.1909491624683142E-3</v>
      </c>
      <c r="F19" s="404">
        <v>6.739553646184504E-4</v>
      </c>
      <c r="G19" s="404">
        <v>1.382809947244823E-3</v>
      </c>
      <c r="H19" s="404">
        <v>6.4277433011739049E-6</v>
      </c>
      <c r="I19" s="404">
        <v>7.4983477134082932E-6</v>
      </c>
      <c r="J19" s="404">
        <v>2.4097058922052383E-3</v>
      </c>
      <c r="K19" s="404">
        <v>3.6342169623821974E-3</v>
      </c>
      <c r="L19" s="404">
        <v>4.2226739227771759E-2</v>
      </c>
      <c r="M19" s="404">
        <v>5.2532300353050232E-2</v>
      </c>
      <c r="N19" s="404">
        <v>6.6713462583720684E-3</v>
      </c>
      <c r="O19" s="404">
        <v>4.5860953629016876E-2</v>
      </c>
      <c r="P19" s="364">
        <v>102459.65625</v>
      </c>
    </row>
    <row r="20" spans="1:16" ht="29" x14ac:dyDescent="0.35">
      <c r="A20" s="364" t="s">
        <v>74</v>
      </c>
      <c r="B20" s="364" t="s">
        <v>644</v>
      </c>
      <c r="C20" s="364">
        <v>1</v>
      </c>
      <c r="D20" s="364" t="s">
        <v>628</v>
      </c>
      <c r="E20" s="404">
        <v>5.095544271171093E-3</v>
      </c>
      <c r="F20" s="404">
        <v>5.2913121180608869E-4</v>
      </c>
      <c r="G20" s="404">
        <v>2.2014882415533066E-2</v>
      </c>
      <c r="H20" s="404">
        <v>3.3157628029584885E-2</v>
      </c>
      <c r="I20" s="404">
        <v>1.7636537086218596E-3</v>
      </c>
      <c r="J20" s="404">
        <v>1.4816415496170521E-2</v>
      </c>
      <c r="K20" s="404">
        <v>4.5974277891218662E-3</v>
      </c>
      <c r="L20" s="404">
        <v>4.2591276578605175E-3</v>
      </c>
      <c r="M20" s="404">
        <v>8.6233809590339661E-2</v>
      </c>
      <c r="N20" s="404">
        <v>7.7377259731292725E-2</v>
      </c>
      <c r="O20" s="404">
        <v>8.8565554469823837E-3</v>
      </c>
      <c r="P20" s="364">
        <v>336166.125</v>
      </c>
    </row>
    <row r="21" spans="1:16" ht="29" x14ac:dyDescent="0.35">
      <c r="A21" s="364" t="s">
        <v>73</v>
      </c>
      <c r="B21" s="364" t="s">
        <v>645</v>
      </c>
      <c r="C21" s="364">
        <v>0</v>
      </c>
      <c r="D21" s="364" t="s">
        <v>628</v>
      </c>
      <c r="E21" s="404">
        <v>1.5021127182990313E-3</v>
      </c>
      <c r="F21" s="404">
        <v>1.5785593132022768E-4</v>
      </c>
      <c r="G21" s="404">
        <v>1.6339212656021118E-2</v>
      </c>
      <c r="H21" s="404">
        <v>1.9550733268260956E-3</v>
      </c>
      <c r="I21" s="404">
        <v>6.1951187672093511E-4</v>
      </c>
      <c r="J21" s="404">
        <v>4.2770360596477985E-3</v>
      </c>
      <c r="K21" s="404">
        <v>2.7111561503261328E-3</v>
      </c>
      <c r="L21" s="404">
        <v>1.0601524263620377E-2</v>
      </c>
      <c r="M21" s="404">
        <v>3.8163483142852783E-2</v>
      </c>
      <c r="N21" s="404">
        <v>2.4850800633430481E-2</v>
      </c>
      <c r="O21" s="404">
        <v>1.3312681578099728E-2</v>
      </c>
      <c r="P21" s="364">
        <v>400095.34375</v>
      </c>
    </row>
    <row r="22" spans="1:16" ht="29" x14ac:dyDescent="0.35">
      <c r="A22" s="364" t="s">
        <v>197</v>
      </c>
      <c r="B22" s="364" t="s">
        <v>646</v>
      </c>
      <c r="C22" s="364">
        <v>0</v>
      </c>
      <c r="D22" s="364" t="s">
        <v>628</v>
      </c>
      <c r="E22" s="404">
        <v>4.8493946087546647E-4</v>
      </c>
      <c r="F22" s="404">
        <v>9.190211130771786E-6</v>
      </c>
      <c r="G22" s="404">
        <v>4.9192761071026325E-3</v>
      </c>
      <c r="H22" s="404">
        <v>6.4268894493579865E-4</v>
      </c>
      <c r="I22" s="404">
        <v>4.9675760237732902E-5</v>
      </c>
      <c r="J22" s="404">
        <v>3.8863832596689463E-3</v>
      </c>
      <c r="K22" s="404">
        <v>1.3247727183625102E-3</v>
      </c>
      <c r="L22" s="404">
        <v>1.505630649626255E-2</v>
      </c>
      <c r="M22" s="404">
        <v>2.6373231783509254E-2</v>
      </c>
      <c r="N22" s="404">
        <v>9.9921533837914467E-3</v>
      </c>
      <c r="O22" s="404">
        <v>1.6381079331040382E-2</v>
      </c>
      <c r="P22" s="364">
        <v>306354.90625</v>
      </c>
    </row>
    <row r="23" spans="1:16" ht="29" x14ac:dyDescent="0.35">
      <c r="A23" s="364" t="s">
        <v>198</v>
      </c>
      <c r="B23" s="364" t="s">
        <v>647</v>
      </c>
      <c r="C23" s="364">
        <v>1</v>
      </c>
      <c r="D23" s="364" t="s">
        <v>628</v>
      </c>
      <c r="E23" s="404">
        <v>9.2062391340732574E-3</v>
      </c>
      <c r="F23" s="404">
        <v>1.4962209388613701E-3</v>
      </c>
      <c r="G23" s="404">
        <v>4.8066221177577972E-2</v>
      </c>
      <c r="H23" s="404">
        <v>7.654246874153614E-3</v>
      </c>
      <c r="I23" s="404">
        <v>4.2341458611190319E-3</v>
      </c>
      <c r="J23" s="404">
        <v>2.1681699901819229E-2</v>
      </c>
      <c r="K23" s="404">
        <v>9.9140200763940811E-3</v>
      </c>
      <c r="L23" s="404">
        <v>1.4314068481326103E-2</v>
      </c>
      <c r="M23" s="404">
        <v>0.11656685918569565</v>
      </c>
      <c r="N23" s="404">
        <v>9.2338770627975464E-2</v>
      </c>
      <c r="O23" s="404">
        <v>2.4228086695075035E-2</v>
      </c>
      <c r="P23" s="364">
        <v>5974.50048828125</v>
      </c>
    </row>
    <row r="24" spans="1:16" ht="29" x14ac:dyDescent="0.35">
      <c r="A24" s="364" t="s">
        <v>81</v>
      </c>
      <c r="B24" s="364" t="s">
        <v>648</v>
      </c>
      <c r="C24" s="364">
        <v>0</v>
      </c>
      <c r="D24" s="364" t="s">
        <v>628</v>
      </c>
      <c r="E24" s="404">
        <v>8.5331156151369214E-4</v>
      </c>
      <c r="F24" s="404">
        <v>1.7788937839213759E-5</v>
      </c>
      <c r="G24" s="404">
        <v>2.1810827311128378E-3</v>
      </c>
      <c r="H24" s="404">
        <v>1.3917080359533429E-3</v>
      </c>
      <c r="I24" s="404">
        <v>2.3011329176370054E-5</v>
      </c>
      <c r="J24" s="404">
        <v>5.6996345520019531E-3</v>
      </c>
      <c r="K24" s="404">
        <v>1.9696608651429415E-3</v>
      </c>
      <c r="L24" s="404">
        <v>3.552640974521637E-2</v>
      </c>
      <c r="M24" s="404">
        <v>4.7662604600191116E-2</v>
      </c>
      <c r="N24" s="404">
        <v>1.0166537016630173E-2</v>
      </c>
      <c r="O24" s="404">
        <v>3.7496067583560944E-2</v>
      </c>
      <c r="P24" s="364">
        <v>351090.34375</v>
      </c>
    </row>
    <row r="25" spans="1:16" ht="29" x14ac:dyDescent="0.35">
      <c r="A25" s="364" t="s">
        <v>200</v>
      </c>
      <c r="B25" s="364" t="s">
        <v>649</v>
      </c>
      <c r="C25" s="364">
        <v>0</v>
      </c>
      <c r="D25" s="364" t="s">
        <v>628</v>
      </c>
      <c r="E25" s="404">
        <v>1.1992224026471376E-3</v>
      </c>
      <c r="F25" s="404">
        <v>2.8253553318791091E-4</v>
      </c>
      <c r="G25" s="404">
        <v>7.9458840191364288E-3</v>
      </c>
      <c r="H25" s="404">
        <v>1.5242139343172312E-3</v>
      </c>
      <c r="I25" s="404">
        <v>3.1211678870022297E-3</v>
      </c>
      <c r="J25" s="404">
        <v>4.1625057347118855E-3</v>
      </c>
      <c r="K25" s="404">
        <v>1.0699662379920483E-3</v>
      </c>
      <c r="L25" s="404">
        <v>1.0685263201594353E-2</v>
      </c>
      <c r="M25" s="404">
        <v>2.9990760609507561E-2</v>
      </c>
      <c r="N25" s="404">
        <v>1.8235530704259872E-2</v>
      </c>
      <c r="O25" s="404">
        <v>1.1755228973925114E-2</v>
      </c>
      <c r="P25" s="364">
        <v>242750.71875</v>
      </c>
    </row>
    <row r="26" spans="1:16" ht="29" x14ac:dyDescent="0.35">
      <c r="A26" s="364" t="s">
        <v>199</v>
      </c>
      <c r="B26" s="364" t="s">
        <v>650</v>
      </c>
      <c r="C26" s="364">
        <v>0</v>
      </c>
      <c r="D26" s="364" t="s">
        <v>628</v>
      </c>
      <c r="E26" s="404">
        <v>1.4351893914863467E-3</v>
      </c>
      <c r="F26" s="404">
        <v>2.798148307192605E-5</v>
      </c>
      <c r="G26" s="404">
        <v>6.3565983437001705E-3</v>
      </c>
      <c r="H26" s="404">
        <v>8.8237429736182094E-4</v>
      </c>
      <c r="I26" s="404">
        <v>6.8487119860947132E-3</v>
      </c>
      <c r="J26" s="404">
        <v>2.5316982064396143E-3</v>
      </c>
      <c r="K26" s="404">
        <v>3.2721650786697865E-3</v>
      </c>
      <c r="L26" s="404">
        <v>3.7188809365034103E-2</v>
      </c>
      <c r="M26" s="404">
        <v>5.8543521910905838E-2</v>
      </c>
      <c r="N26" s="404">
        <v>1.8082553520798683E-2</v>
      </c>
      <c r="O26" s="404">
        <v>4.0460973978042603E-2</v>
      </c>
      <c r="P26" s="364">
        <v>47733.5390625</v>
      </c>
    </row>
    <row r="27" spans="1:16" ht="29" x14ac:dyDescent="0.35">
      <c r="A27" s="364" t="s">
        <v>201</v>
      </c>
      <c r="B27" s="364" t="s">
        <v>651</v>
      </c>
      <c r="C27" s="364">
        <v>1</v>
      </c>
      <c r="D27" s="364" t="s">
        <v>628</v>
      </c>
      <c r="E27" s="404">
        <v>7.0886393077671528E-3</v>
      </c>
      <c r="F27" s="404">
        <v>1.3332389062270522E-3</v>
      </c>
      <c r="G27" s="404">
        <v>2.1503254771232605E-2</v>
      </c>
      <c r="H27" s="404">
        <v>6.0820691287517548E-3</v>
      </c>
      <c r="I27" s="404">
        <v>2.1118687000125647E-3</v>
      </c>
      <c r="J27" s="404">
        <v>2.2624216973781586E-2</v>
      </c>
      <c r="K27" s="404">
        <v>3.4049265086650848E-3</v>
      </c>
      <c r="L27" s="404">
        <v>4.9510919488966465E-3</v>
      </c>
      <c r="M27" s="404">
        <v>6.9099307060241699E-2</v>
      </c>
      <c r="N27" s="404">
        <v>6.0743287205696106E-2</v>
      </c>
      <c r="O27" s="404">
        <v>8.356017991900444E-3</v>
      </c>
      <c r="P27" s="364">
        <v>122993.2109375</v>
      </c>
    </row>
    <row r="28" spans="1:16" ht="29" x14ac:dyDescent="0.35">
      <c r="A28" s="364" t="s">
        <v>202</v>
      </c>
      <c r="B28" s="364" t="s">
        <v>652</v>
      </c>
      <c r="C28" s="364">
        <v>1</v>
      </c>
      <c r="D28" s="364" t="s">
        <v>628</v>
      </c>
      <c r="E28" s="404">
        <v>1.1420924216508865E-2</v>
      </c>
      <c r="F28" s="404">
        <v>6.6294486168771982E-4</v>
      </c>
      <c r="G28" s="404">
        <v>5.0749849528074265E-2</v>
      </c>
      <c r="H28" s="404">
        <v>2.1509546786546707E-2</v>
      </c>
      <c r="I28" s="404">
        <v>3.6070339847356081E-3</v>
      </c>
      <c r="J28" s="404">
        <v>3.2319799065589905E-2</v>
      </c>
      <c r="K28" s="404">
        <v>4.9953130073845387E-3</v>
      </c>
      <c r="L28" s="404">
        <v>7.2792018763720989E-3</v>
      </c>
      <c r="M28" s="404">
        <v>0.1325446218252182</v>
      </c>
      <c r="N28" s="404">
        <v>0.12027009576559067</v>
      </c>
      <c r="O28" s="404">
        <v>1.2274513952434063E-2</v>
      </c>
      <c r="P28" s="364">
        <v>29720.310546875</v>
      </c>
    </row>
    <row r="29" spans="1:16" ht="29" x14ac:dyDescent="0.35">
      <c r="A29" s="364" t="s">
        <v>203</v>
      </c>
      <c r="B29" s="364" t="s">
        <v>653</v>
      </c>
      <c r="C29" s="364">
        <v>1</v>
      </c>
      <c r="D29" s="364" t="s">
        <v>628</v>
      </c>
      <c r="E29" s="404">
        <v>1.2827166356146336E-2</v>
      </c>
      <c r="F29" s="404">
        <v>2.7398830279707909E-3</v>
      </c>
      <c r="G29" s="404">
        <v>1.1495679616928101E-2</v>
      </c>
      <c r="H29" s="404">
        <v>1.110234297811985E-2</v>
      </c>
      <c r="I29" s="404">
        <v>2.198253758251667E-3</v>
      </c>
      <c r="J29" s="404">
        <v>2.1533390507102013E-2</v>
      </c>
      <c r="K29" s="404">
        <v>1.1548099108040333E-2</v>
      </c>
      <c r="L29" s="404">
        <v>4.4718491844832897E-3</v>
      </c>
      <c r="M29" s="404">
        <v>7.7916659414768219E-2</v>
      </c>
      <c r="N29" s="404">
        <v>6.1896715313196182E-2</v>
      </c>
      <c r="O29" s="404">
        <v>1.6019947826862335E-2</v>
      </c>
      <c r="P29" s="364">
        <v>14585.46875</v>
      </c>
    </row>
    <row r="30" spans="1:16" ht="29" x14ac:dyDescent="0.35">
      <c r="A30" s="364" t="s">
        <v>204</v>
      </c>
      <c r="B30" s="364" t="s">
        <v>654</v>
      </c>
      <c r="C30" s="364">
        <v>1</v>
      </c>
      <c r="D30" s="364" t="s">
        <v>628</v>
      </c>
      <c r="E30" s="404">
        <v>1.4477437362074852E-2</v>
      </c>
      <c r="F30" s="404">
        <v>1.3884569052606821E-3</v>
      </c>
      <c r="G30" s="404">
        <v>6.9616690278053284E-2</v>
      </c>
      <c r="H30" s="404">
        <v>9.1492440551519394E-3</v>
      </c>
      <c r="I30" s="404">
        <v>4.2170342057943344E-3</v>
      </c>
      <c r="J30" s="404">
        <v>2.6824979111552238E-2</v>
      </c>
      <c r="K30" s="404">
        <v>8.2137789577245712E-3</v>
      </c>
      <c r="L30" s="404">
        <v>2.5182891637086868E-2</v>
      </c>
      <c r="M30" s="404">
        <v>0.15907052159309387</v>
      </c>
      <c r="N30" s="404">
        <v>0.12567384541034698</v>
      </c>
      <c r="O30" s="404">
        <v>3.339666873216629E-2</v>
      </c>
      <c r="P30" s="364">
        <v>4906.1689453125</v>
      </c>
    </row>
    <row r="31" spans="1:16" ht="29" x14ac:dyDescent="0.35">
      <c r="A31" s="364" t="s">
        <v>205</v>
      </c>
      <c r="B31" s="364" t="s">
        <v>655</v>
      </c>
      <c r="C31" s="364">
        <v>1</v>
      </c>
      <c r="D31" s="364" t="s">
        <v>628</v>
      </c>
      <c r="E31" s="404">
        <v>1.5982519835233688E-2</v>
      </c>
      <c r="F31" s="404">
        <v>1.0699547128751874E-3</v>
      </c>
      <c r="G31" s="404">
        <v>5.6013364344835281E-2</v>
      </c>
      <c r="H31" s="404">
        <v>3.7482857704162598E-2</v>
      </c>
      <c r="I31" s="404">
        <v>1.0221662931144238E-2</v>
      </c>
      <c r="J31" s="404">
        <v>4.9482196569442749E-2</v>
      </c>
      <c r="K31" s="404">
        <v>5.2667842246592045E-3</v>
      </c>
      <c r="L31" s="404">
        <v>1.6692068427801132E-2</v>
      </c>
      <c r="M31" s="404">
        <v>0.19221140444278717</v>
      </c>
      <c r="N31" s="404">
        <v>0.17025256156921387</v>
      </c>
      <c r="O31" s="404">
        <v>2.1958852186799049E-2</v>
      </c>
      <c r="P31" s="364">
        <v>77785.3984375</v>
      </c>
    </row>
    <row r="32" spans="1:16" ht="29" x14ac:dyDescent="0.35">
      <c r="A32" s="364" t="s">
        <v>206</v>
      </c>
      <c r="B32" s="364" t="s">
        <v>656</v>
      </c>
      <c r="C32" s="364">
        <v>0</v>
      </c>
      <c r="D32" s="364" t="s">
        <v>628</v>
      </c>
      <c r="E32" s="404">
        <v>2.6183975860476494E-3</v>
      </c>
      <c r="F32" s="404">
        <v>3.2720345188863575E-5</v>
      </c>
      <c r="G32" s="404">
        <v>8.2150110974907875E-3</v>
      </c>
      <c r="H32" s="404">
        <v>1.241732039488852E-3</v>
      </c>
      <c r="I32" s="404">
        <v>4.4128810986876488E-4</v>
      </c>
      <c r="J32" s="404">
        <v>4.8971008509397507E-3</v>
      </c>
      <c r="K32" s="404">
        <v>1.9281985005363822E-3</v>
      </c>
      <c r="L32" s="404">
        <v>1.178599800914526E-2</v>
      </c>
      <c r="M32" s="404">
        <v>3.1160445883870125E-2</v>
      </c>
      <c r="N32" s="404">
        <v>1.7446247860789299E-2</v>
      </c>
      <c r="O32" s="404">
        <v>1.3714196160435677E-2</v>
      </c>
      <c r="P32" s="364">
        <v>136067.765625</v>
      </c>
    </row>
    <row r="33" spans="1:16" ht="29" x14ac:dyDescent="0.35">
      <c r="A33" s="364" t="s">
        <v>67</v>
      </c>
      <c r="B33" s="364" t="s">
        <v>80</v>
      </c>
      <c r="C33" s="364">
        <v>0</v>
      </c>
      <c r="D33" s="364" t="s">
        <v>628</v>
      </c>
      <c r="E33" s="404">
        <v>2.3292659316211939E-3</v>
      </c>
      <c r="F33" s="404">
        <v>7.7779515413567424E-4</v>
      </c>
      <c r="G33" s="404">
        <v>6.9742407649755478E-3</v>
      </c>
      <c r="H33" s="404">
        <v>3.0653965659439564E-3</v>
      </c>
      <c r="I33" s="404">
        <v>1.7961981939151883E-4</v>
      </c>
      <c r="J33" s="404">
        <v>5.1193218678236008E-3</v>
      </c>
      <c r="K33" s="404">
        <v>4.0278118103742599E-3</v>
      </c>
      <c r="L33" s="404">
        <v>3.3619266003370285E-2</v>
      </c>
      <c r="M33" s="404">
        <v>5.6092716753482819E-2</v>
      </c>
      <c r="N33" s="404">
        <v>1.8445638939738274E-2</v>
      </c>
      <c r="O33" s="404">
        <v>3.7647079676389694E-2</v>
      </c>
      <c r="P33" s="364">
        <v>2941782</v>
      </c>
    </row>
    <row r="34" spans="1:16" ht="34" x14ac:dyDescent="0.2">
      <c r="A34" s="391" t="s">
        <v>913</v>
      </c>
    </row>
    <row r="35" spans="1:16" ht="29" x14ac:dyDescent="0.35">
      <c r="A35" s="384" t="s">
        <v>83</v>
      </c>
      <c r="B35" s="384" t="s">
        <v>665</v>
      </c>
      <c r="C35" s="384">
        <v>0</v>
      </c>
      <c r="D35" s="384" t="s">
        <v>666</v>
      </c>
      <c r="E35" s="404">
        <v>7.0080655859783292E-4</v>
      </c>
      <c r="F35" s="404">
        <v>3.5331093386048451E-5</v>
      </c>
      <c r="G35" s="404">
        <v>1.6870839754119515E-3</v>
      </c>
      <c r="H35" s="404">
        <v>3.2917289063334465E-3</v>
      </c>
      <c r="I35" s="404">
        <v>7.7652446634601802E-5</v>
      </c>
      <c r="J35" s="404">
        <v>1.882706955075264E-2</v>
      </c>
      <c r="K35" s="404">
        <v>1.2980595929548144E-3</v>
      </c>
      <c r="L35" s="404">
        <v>3.2779179513454437E-2</v>
      </c>
      <c r="M35" s="404">
        <v>5.8696910738945007E-2</v>
      </c>
      <c r="N35" s="404">
        <v>2.4619674310088158E-2</v>
      </c>
      <c r="O35" s="404">
        <v>3.4077238291501999E-2</v>
      </c>
      <c r="P35" s="384">
        <v>354637.1875</v>
      </c>
    </row>
    <row r="36" spans="1:16" ht="29" x14ac:dyDescent="0.35">
      <c r="A36" s="384" t="s">
        <v>208</v>
      </c>
      <c r="B36" s="384" t="s">
        <v>667</v>
      </c>
      <c r="C36" s="384">
        <v>0</v>
      </c>
      <c r="D36" s="384" t="s">
        <v>666</v>
      </c>
      <c r="E36" s="404">
        <v>2.2039453324396163E-4</v>
      </c>
      <c r="F36" s="404">
        <v>1.0581597962300293E-5</v>
      </c>
      <c r="G36" s="404">
        <v>1.3234186917543411E-3</v>
      </c>
      <c r="H36" s="404">
        <v>3.2514292979612947E-4</v>
      </c>
      <c r="I36" s="404">
        <v>9.9896105894003995E-6</v>
      </c>
      <c r="J36" s="404">
        <v>4.6822865260764956E-4</v>
      </c>
      <c r="K36" s="404">
        <v>5.9935357421636581E-4</v>
      </c>
      <c r="L36" s="404">
        <v>1.8782990053296089E-2</v>
      </c>
      <c r="M36" s="404">
        <v>2.1740099415183067E-2</v>
      </c>
      <c r="N36" s="404">
        <v>2.3577562533318996E-3</v>
      </c>
      <c r="O36" s="404">
        <v>1.938234455883503E-2</v>
      </c>
      <c r="P36" s="384">
        <v>3576356.5</v>
      </c>
    </row>
    <row r="37" spans="1:16" ht="29" x14ac:dyDescent="0.35">
      <c r="A37" s="384" t="s">
        <v>209</v>
      </c>
      <c r="B37" s="384" t="s">
        <v>668</v>
      </c>
      <c r="C37" s="384">
        <v>0</v>
      </c>
      <c r="D37" s="384" t="s">
        <v>666</v>
      </c>
      <c r="E37" s="404">
        <v>7.8040332300588489E-4</v>
      </c>
      <c r="F37" s="404">
        <v>2.4005900195334107E-4</v>
      </c>
      <c r="G37" s="404">
        <v>4.9254886107519269E-4</v>
      </c>
      <c r="H37" s="404">
        <v>2.2895246729603969E-6</v>
      </c>
      <c r="I37" s="404">
        <v>2.6708676159614697E-6</v>
      </c>
      <c r="J37" s="404">
        <v>8.5832312470301986E-4</v>
      </c>
      <c r="K37" s="404">
        <v>1.3234184589236975E-3</v>
      </c>
      <c r="L37" s="404">
        <v>1.5040917322039604E-2</v>
      </c>
      <c r="M37" s="404">
        <v>1.8740631639957428E-2</v>
      </c>
      <c r="N37" s="404">
        <v>2.3762946948409081E-3</v>
      </c>
      <c r="O37" s="404">
        <v>1.6364336013793945E-2</v>
      </c>
      <c r="P37" s="384">
        <v>58246.46484375</v>
      </c>
    </row>
    <row r="38" spans="1:16" ht="29" x14ac:dyDescent="0.35">
      <c r="A38" s="384" t="s">
        <v>210</v>
      </c>
      <c r="B38" s="384" t="s">
        <v>669</v>
      </c>
      <c r="C38" s="384">
        <v>0</v>
      </c>
      <c r="D38" s="384" t="s">
        <v>666</v>
      </c>
      <c r="E38" s="404">
        <v>2.7427463792264462E-3</v>
      </c>
      <c r="F38" s="404">
        <v>8.4369321120902896E-4</v>
      </c>
      <c r="G38" s="404">
        <v>1.73107476439327E-3</v>
      </c>
      <c r="H38" s="404">
        <v>8.0465906648896635E-6</v>
      </c>
      <c r="I38" s="404">
        <v>9.3868302428745665E-6</v>
      </c>
      <c r="J38" s="404">
        <v>3.0165978241711855E-3</v>
      </c>
      <c r="K38" s="404">
        <v>4.6511869877576828E-3</v>
      </c>
      <c r="L38" s="404">
        <v>5.2861671894788742E-2</v>
      </c>
      <c r="M38" s="404">
        <v>6.5864413976669312E-2</v>
      </c>
      <c r="N38" s="404">
        <v>8.3515457808971405E-3</v>
      </c>
      <c r="O38" s="404">
        <v>5.7512860745191574E-2</v>
      </c>
      <c r="P38" s="384">
        <v>18729.400390625</v>
      </c>
    </row>
    <row r="39" spans="1:16" ht="29" x14ac:dyDescent="0.35">
      <c r="A39" s="384" t="s">
        <v>84</v>
      </c>
      <c r="B39" s="384" t="s">
        <v>670</v>
      </c>
      <c r="C39" s="384">
        <v>0</v>
      </c>
      <c r="D39" s="384" t="s">
        <v>666</v>
      </c>
      <c r="E39" s="404">
        <v>3.0349567532539368E-4</v>
      </c>
      <c r="F39" s="404">
        <v>3.0345943741849624E-5</v>
      </c>
      <c r="G39" s="404">
        <v>3.2277710270136595E-3</v>
      </c>
      <c r="H39" s="404">
        <v>2.6415858883410692E-4</v>
      </c>
      <c r="I39" s="404">
        <v>5.2077873988309875E-5</v>
      </c>
      <c r="J39" s="404">
        <v>1.8432325450703502E-3</v>
      </c>
      <c r="K39" s="404">
        <v>6.6642503952607512E-4</v>
      </c>
      <c r="L39" s="404">
        <v>1.6925932839512825E-2</v>
      </c>
      <c r="M39" s="404">
        <v>2.3313438519835472E-2</v>
      </c>
      <c r="N39" s="404">
        <v>5.7210815139114857E-3</v>
      </c>
      <c r="O39" s="404">
        <v>1.7592357471585274E-2</v>
      </c>
      <c r="P39" s="384">
        <v>670694.0625</v>
      </c>
    </row>
    <row r="40" spans="1:16" ht="29" x14ac:dyDescent="0.35">
      <c r="A40" s="384" t="s">
        <v>211</v>
      </c>
      <c r="B40" s="384" t="s">
        <v>671</v>
      </c>
      <c r="C40" s="384">
        <v>0</v>
      </c>
      <c r="D40" s="384" t="s">
        <v>666</v>
      </c>
      <c r="E40" s="404">
        <v>4.012159479316324E-4</v>
      </c>
      <c r="F40" s="404">
        <v>1.418336876668036E-3</v>
      </c>
      <c r="G40" s="404">
        <v>2.2798366844654083E-3</v>
      </c>
      <c r="H40" s="404">
        <v>2.4135992862284184E-3</v>
      </c>
      <c r="I40" s="404">
        <v>1.0710276546888053E-4</v>
      </c>
      <c r="J40" s="404">
        <v>1.5353491762652993E-3</v>
      </c>
      <c r="K40" s="404">
        <v>8.3684426499530673E-4</v>
      </c>
      <c r="L40" s="404">
        <v>0</v>
      </c>
      <c r="M40" s="404">
        <v>8.992285467684269E-3</v>
      </c>
      <c r="N40" s="404">
        <v>8.1554409116506577E-3</v>
      </c>
      <c r="O40" s="404">
        <v>8.3684426499530673E-4</v>
      </c>
      <c r="P40" s="384">
        <v>543764.9375</v>
      </c>
    </row>
    <row r="41" spans="1:16" ht="29" x14ac:dyDescent="0.35">
      <c r="A41" s="384" t="s">
        <v>86</v>
      </c>
      <c r="B41" s="384" t="s">
        <v>672</v>
      </c>
      <c r="C41" s="384">
        <v>0</v>
      </c>
      <c r="D41" s="384" t="s">
        <v>666</v>
      </c>
      <c r="E41" s="404">
        <v>2.0080183167010546E-3</v>
      </c>
      <c r="F41" s="404">
        <v>2.5372786330990493E-4</v>
      </c>
      <c r="G41" s="404">
        <v>1.5558878891170025E-2</v>
      </c>
      <c r="H41" s="404">
        <v>2.6224202010780573E-3</v>
      </c>
      <c r="I41" s="404">
        <v>9.9285498436074704E-5</v>
      </c>
      <c r="J41" s="404">
        <v>4.754951223731041E-3</v>
      </c>
      <c r="K41" s="404">
        <v>2.6538115926086903E-3</v>
      </c>
      <c r="L41" s="404">
        <v>2.9300190508365631E-2</v>
      </c>
      <c r="M41" s="404">
        <v>5.7251282036304474E-2</v>
      </c>
      <c r="N41" s="404">
        <v>2.5297282263636589E-2</v>
      </c>
      <c r="O41" s="404">
        <v>3.1954001635313034E-2</v>
      </c>
      <c r="P41" s="384">
        <v>110614.28125</v>
      </c>
    </row>
    <row r="42" spans="1:16" ht="29" x14ac:dyDescent="0.35">
      <c r="A42" s="384" t="s">
        <v>218</v>
      </c>
      <c r="B42" s="384" t="s">
        <v>916</v>
      </c>
      <c r="C42" s="384">
        <v>0</v>
      </c>
      <c r="D42" s="384" t="s">
        <v>714</v>
      </c>
      <c r="E42" s="404">
        <v>2.8826275374740362E-3</v>
      </c>
      <c r="F42" s="404">
        <v>5.9648178284987807E-4</v>
      </c>
      <c r="G42" s="404">
        <v>9.2353271320462227E-3</v>
      </c>
      <c r="H42" s="404">
        <v>7.0625683292746544E-3</v>
      </c>
      <c r="I42" s="404">
        <v>1.1534423101693392E-3</v>
      </c>
      <c r="J42" s="404">
        <v>8.0598369240760803E-3</v>
      </c>
      <c r="K42" s="404">
        <v>3.2267770729959011E-3</v>
      </c>
      <c r="L42" s="404">
        <v>2.8100153431296349E-2</v>
      </c>
      <c r="M42" s="404">
        <v>6.0296833515167236E-2</v>
      </c>
      <c r="N42" s="404">
        <v>2.8969902545213699E-2</v>
      </c>
      <c r="O42" s="404">
        <v>3.1326927244663239E-2</v>
      </c>
      <c r="P42" s="384">
        <v>15855722</v>
      </c>
    </row>
    <row r="43" spans="1:16" ht="29" x14ac:dyDescent="0.35">
      <c r="A43" s="384" t="s">
        <v>219</v>
      </c>
      <c r="B43" s="384" t="s">
        <v>713</v>
      </c>
      <c r="C43" s="384">
        <v>0</v>
      </c>
      <c r="D43" s="384" t="s">
        <v>714</v>
      </c>
      <c r="E43" s="404">
        <v>2.2924882359802723E-3</v>
      </c>
      <c r="F43" s="404">
        <v>7.0518982829526067E-4</v>
      </c>
      <c r="G43" s="404">
        <v>1.4468959998339415E-3</v>
      </c>
      <c r="H43" s="404">
        <v>6.7256355578138027E-6</v>
      </c>
      <c r="I43" s="404">
        <v>7.845857908250764E-6</v>
      </c>
      <c r="J43" s="404">
        <v>2.5213835760951042E-3</v>
      </c>
      <c r="K43" s="404">
        <v>3.8876328617334366E-3</v>
      </c>
      <c r="L43" s="404">
        <v>4.4183727353811264E-2</v>
      </c>
      <c r="M43" s="404">
        <v>5.5051892995834351E-2</v>
      </c>
      <c r="N43" s="404">
        <v>6.9805290549993515E-3</v>
      </c>
      <c r="O43" s="404">
        <v>4.8071358352899551E-2</v>
      </c>
      <c r="P43" s="384">
        <v>2796642</v>
      </c>
    </row>
    <row r="44" spans="1:16" ht="29" x14ac:dyDescent="0.35">
      <c r="A44" s="384" t="s">
        <v>715</v>
      </c>
      <c r="B44" s="384" t="s">
        <v>716</v>
      </c>
      <c r="C44" s="384">
        <v>0</v>
      </c>
      <c r="D44" s="384" t="s">
        <v>714</v>
      </c>
      <c r="E44" s="404">
        <v>3.8650983478873968E-3</v>
      </c>
      <c r="F44" s="404">
        <v>6.5714505035430193E-4</v>
      </c>
      <c r="G44" s="404">
        <v>9.8140239715576172E-3</v>
      </c>
      <c r="H44" s="404">
        <v>7.999371737241745E-3</v>
      </c>
      <c r="I44" s="404">
        <v>1.2752104084938765E-3</v>
      </c>
      <c r="J44" s="404">
        <v>9.6829282119870186E-3</v>
      </c>
      <c r="K44" s="404">
        <v>3.8861345965415239E-3</v>
      </c>
      <c r="L44" s="404">
        <v>3.2912470400333405E-2</v>
      </c>
      <c r="M44" s="404">
        <v>7.0092380046844482E-2</v>
      </c>
      <c r="N44" s="404">
        <v>3.3293779939413071E-2</v>
      </c>
      <c r="O44" s="404">
        <v>3.679860383272171E-2</v>
      </c>
      <c r="P44" s="384">
        <v>17118080</v>
      </c>
    </row>
  </sheetData>
  <mergeCells count="1">
    <mergeCell ref="C1:O1"/>
  </mergeCells>
  <pageMargins left="0.7" right="0.7" top="0.75" bottom="0.75" header="0.3" footer="0.3"/>
  <pageSetup scale="72" orientation="portrait" horizontalDpi="4294967292" verticalDpi="429496729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39997558519241921"/>
    <pageSetUpPr fitToPage="1"/>
  </sheetPr>
  <dimension ref="A1:O50"/>
  <sheetViews>
    <sheetView zoomScale="33" workbookViewId="0">
      <pane xSplit="2" ySplit="11" topLeftCell="D32" activePane="bottomRight" state="frozen"/>
      <selection pane="topRight" activeCell="B5" sqref="B5"/>
      <selection pane="bottomLeft" activeCell="B5" sqref="B5"/>
      <selection pane="bottomRight" activeCell="U47" sqref="U47"/>
    </sheetView>
  </sheetViews>
  <sheetFormatPr baseColWidth="10" defaultColWidth="8.6640625" defaultRowHeight="29" x14ac:dyDescent="0.35"/>
  <cols>
    <col min="1" max="9" width="16.1640625" style="384" customWidth="1"/>
    <col min="10" max="10" width="27.5" style="384" customWidth="1"/>
    <col min="11" max="11" width="27.5" style="405" customWidth="1"/>
    <col min="12" max="12" width="27.5" style="384" customWidth="1"/>
    <col min="13" max="13" width="27.5" style="405" customWidth="1"/>
    <col min="14" max="15" width="27.5" style="384" customWidth="1"/>
    <col min="16" max="16384" width="8.6640625" style="384"/>
  </cols>
  <sheetData>
    <row r="1" spans="1:15" ht="30" thickTop="1" x14ac:dyDescent="0.35">
      <c r="A1" s="629" t="s">
        <v>945</v>
      </c>
      <c r="B1" s="630"/>
      <c r="C1" s="630"/>
      <c r="D1" s="630"/>
      <c r="E1" s="630"/>
      <c r="F1" s="630"/>
      <c r="G1" s="630"/>
      <c r="H1" s="630"/>
      <c r="I1" s="630"/>
      <c r="J1" s="630"/>
      <c r="K1" s="630"/>
      <c r="L1" s="630"/>
      <c r="M1" s="630"/>
      <c r="N1" s="630"/>
      <c r="O1" s="631"/>
    </row>
    <row r="2" spans="1:15" s="385" customFormat="1" ht="90" x14ac:dyDescent="0.2">
      <c r="A2" s="386" t="s">
        <v>718</v>
      </c>
      <c r="B2" s="387" t="s">
        <v>719</v>
      </c>
      <c r="C2" s="387" t="s">
        <v>889</v>
      </c>
      <c r="D2" s="387" t="s">
        <v>720</v>
      </c>
      <c r="E2" s="387" t="s">
        <v>919</v>
      </c>
      <c r="F2" s="387" t="s">
        <v>920</v>
      </c>
      <c r="G2" s="387" t="s">
        <v>941</v>
      </c>
      <c r="H2" s="387" t="s">
        <v>946</v>
      </c>
      <c r="I2" s="387" t="s">
        <v>947</v>
      </c>
      <c r="J2" s="387" t="s">
        <v>948</v>
      </c>
      <c r="K2" s="408" t="s">
        <v>949</v>
      </c>
      <c r="L2" s="387" t="s">
        <v>950</v>
      </c>
      <c r="M2" s="408" t="s">
        <v>951</v>
      </c>
      <c r="N2" s="387" t="s">
        <v>952</v>
      </c>
      <c r="O2" s="388" t="s">
        <v>953</v>
      </c>
    </row>
    <row r="3" spans="1:15" ht="34" x14ac:dyDescent="0.35">
      <c r="A3" s="391" t="s">
        <v>186</v>
      </c>
    </row>
    <row r="4" spans="1:15" x14ac:dyDescent="0.35">
      <c r="A4" s="384" t="s">
        <v>68</v>
      </c>
      <c r="B4" s="384" t="s">
        <v>627</v>
      </c>
      <c r="C4" s="384">
        <v>0</v>
      </c>
      <c r="D4" s="384" t="s">
        <v>628</v>
      </c>
      <c r="E4" s="384">
        <v>21815.427734375</v>
      </c>
      <c r="F4" s="384">
        <v>6726.330078125</v>
      </c>
      <c r="G4" s="384">
        <v>15089.0966796875</v>
      </c>
      <c r="H4" s="384">
        <v>120402</v>
      </c>
      <c r="I4" s="384">
        <v>0.3</v>
      </c>
      <c r="J4" s="384">
        <v>6544.62841796875</v>
      </c>
      <c r="K4" s="405">
        <v>5.4356474429368973E-2</v>
      </c>
      <c r="L4" s="384">
        <v>4526.72900390625</v>
      </c>
      <c r="M4" s="405">
        <v>3.7596791982650757E-2</v>
      </c>
      <c r="N4" s="384">
        <v>2017.8990478515625</v>
      </c>
      <c r="O4" s="405">
        <v>1.6759680584073067E-2</v>
      </c>
    </row>
    <row r="5" spans="1:15" x14ac:dyDescent="0.35">
      <c r="A5" s="384" t="s">
        <v>187</v>
      </c>
      <c r="B5" s="384" t="s">
        <v>629</v>
      </c>
      <c r="C5" s="384">
        <v>1</v>
      </c>
      <c r="D5" s="384" t="s">
        <v>628</v>
      </c>
      <c r="E5" s="384">
        <v>7626.1982421875</v>
      </c>
      <c r="F5" s="384">
        <v>5950.90185546875</v>
      </c>
      <c r="G5" s="384">
        <v>1675.296142578125</v>
      </c>
      <c r="H5" s="384">
        <v>18294.46484375</v>
      </c>
      <c r="I5" s="384">
        <v>0.25</v>
      </c>
      <c r="J5" s="384">
        <v>1906.549560546875</v>
      </c>
      <c r="K5" s="405">
        <v>0.10421455651521683</v>
      </c>
      <c r="L5" s="384">
        <v>418.82403564453125</v>
      </c>
      <c r="M5" s="405">
        <v>2.2893484681844711E-2</v>
      </c>
      <c r="N5" s="384">
        <v>1487.7254638671875</v>
      </c>
      <c r="O5" s="405">
        <v>8.1321068108081818E-2</v>
      </c>
    </row>
    <row r="6" spans="1:15" x14ac:dyDescent="0.35">
      <c r="A6" s="384" t="s">
        <v>82</v>
      </c>
      <c r="B6" s="384" t="s">
        <v>630</v>
      </c>
      <c r="C6" s="384">
        <v>0</v>
      </c>
      <c r="D6" s="384" t="s">
        <v>628</v>
      </c>
      <c r="E6" s="384">
        <v>22684.060546875</v>
      </c>
      <c r="F6" s="384">
        <v>5230.419921875</v>
      </c>
      <c r="G6" s="384">
        <v>17453.638671875</v>
      </c>
      <c r="H6" s="384">
        <v>109450.109375</v>
      </c>
      <c r="I6" s="384">
        <v>0.26119999999999999</v>
      </c>
      <c r="J6" s="384">
        <v>5925.07666015625</v>
      </c>
      <c r="K6" s="405">
        <v>5.4134953767061234E-2</v>
      </c>
      <c r="L6" s="384">
        <v>4558.890625</v>
      </c>
      <c r="M6" s="405">
        <v>4.1652683168649673E-2</v>
      </c>
      <c r="N6" s="384">
        <v>1366.1856689453125</v>
      </c>
      <c r="O6" s="405">
        <v>1.2482268735766411E-2</v>
      </c>
    </row>
    <row r="7" spans="1:15" x14ac:dyDescent="0.35">
      <c r="A7" s="384" t="s">
        <v>188</v>
      </c>
      <c r="B7" s="384" t="s">
        <v>631</v>
      </c>
      <c r="C7" s="384">
        <v>0</v>
      </c>
      <c r="D7" s="384" t="s">
        <v>628</v>
      </c>
      <c r="E7" s="384">
        <v>5450.04296875</v>
      </c>
      <c r="F7" s="384">
        <v>442.17294311523438</v>
      </c>
      <c r="G7" s="384">
        <v>5007.8701171875</v>
      </c>
      <c r="H7" s="384">
        <v>19631.30859375</v>
      </c>
      <c r="I7" s="384">
        <v>0.27</v>
      </c>
      <c r="J7" s="384">
        <v>1471.5115966796875</v>
      </c>
      <c r="K7" s="405">
        <v>7.4957385659217834E-2</v>
      </c>
      <c r="L7" s="384">
        <v>1352.1248779296875</v>
      </c>
      <c r="M7" s="405">
        <v>6.8875938653945923E-2</v>
      </c>
      <c r="N7" s="384">
        <v>119.38669586181641</v>
      </c>
      <c r="O7" s="405">
        <v>6.0814437456429005E-3</v>
      </c>
    </row>
    <row r="8" spans="1:15" x14ac:dyDescent="0.35">
      <c r="A8" s="384" t="s">
        <v>189</v>
      </c>
      <c r="B8" s="384" t="s">
        <v>632</v>
      </c>
      <c r="C8" s="384">
        <v>1</v>
      </c>
      <c r="D8" s="384" t="s">
        <v>628</v>
      </c>
      <c r="E8" s="384">
        <v>3950.642333984375</v>
      </c>
      <c r="F8" s="384">
        <v>3526.97314453125</v>
      </c>
      <c r="G8" s="384">
        <v>423.66925048828125</v>
      </c>
      <c r="H8" s="384">
        <v>13582.60546875</v>
      </c>
      <c r="I8" s="384">
        <v>0.19</v>
      </c>
      <c r="J8" s="384">
        <v>750.6220703125</v>
      </c>
      <c r="K8" s="405">
        <v>5.526348203420639E-2</v>
      </c>
      <c r="L8" s="384">
        <v>80.497154235839844</v>
      </c>
      <c r="M8" s="405">
        <v>5.9264884330332279E-3</v>
      </c>
      <c r="N8" s="384">
        <v>670.1248779296875</v>
      </c>
      <c r="O8" s="405">
        <v>4.9336992204189301E-2</v>
      </c>
    </row>
    <row r="9" spans="1:15" x14ac:dyDescent="0.35">
      <c r="A9" s="384" t="s">
        <v>75</v>
      </c>
      <c r="B9" s="384" t="s">
        <v>633</v>
      </c>
      <c r="C9" s="384">
        <v>1</v>
      </c>
      <c r="D9" s="384" t="s">
        <v>628</v>
      </c>
      <c r="E9" s="384">
        <v>103816.578125</v>
      </c>
      <c r="F9" s="384">
        <v>84235.734375</v>
      </c>
      <c r="G9" s="384">
        <v>19580.849609375</v>
      </c>
      <c r="H9" s="384">
        <v>103849.4375</v>
      </c>
      <c r="I9" s="384">
        <v>0.29927068000000001</v>
      </c>
      <c r="J9" s="384">
        <v>31069.2578125</v>
      </c>
      <c r="K9" s="405">
        <v>0.29917597770690918</v>
      </c>
      <c r="L9" s="384">
        <v>5859.97412109375</v>
      </c>
      <c r="M9" s="405">
        <v>5.6427597999572754E-2</v>
      </c>
      <c r="N9" s="384">
        <v>25209.28515625</v>
      </c>
      <c r="O9" s="405">
        <v>0.24274840950965881</v>
      </c>
    </row>
    <row r="10" spans="1:15" x14ac:dyDescent="0.35">
      <c r="A10" s="384" t="s">
        <v>190</v>
      </c>
      <c r="B10" s="384" t="s">
        <v>634</v>
      </c>
      <c r="C10" s="384">
        <v>1</v>
      </c>
      <c r="D10" s="384" t="s">
        <v>628</v>
      </c>
      <c r="E10" s="384">
        <v>13663.3076171875</v>
      </c>
      <c r="F10" s="384">
        <v>6951.3740234375</v>
      </c>
      <c r="G10" s="384">
        <v>6711.93310546875</v>
      </c>
      <c r="H10" s="384">
        <v>14278.748046875</v>
      </c>
      <c r="I10" s="384">
        <v>0.22</v>
      </c>
      <c r="J10" s="384">
        <v>3005.927734375</v>
      </c>
      <c r="K10" s="405">
        <v>0.21051760017871857</v>
      </c>
      <c r="L10" s="384">
        <v>1476.625244140625</v>
      </c>
      <c r="M10" s="405">
        <v>0.10341419279575348</v>
      </c>
      <c r="N10" s="384">
        <v>1529.30224609375</v>
      </c>
      <c r="O10" s="405">
        <v>0.1071033850312233</v>
      </c>
    </row>
    <row r="11" spans="1:15" x14ac:dyDescent="0.35">
      <c r="A11" s="384" t="s">
        <v>72</v>
      </c>
      <c r="B11" s="384" t="s">
        <v>635</v>
      </c>
      <c r="C11" s="384">
        <v>1</v>
      </c>
      <c r="D11" s="384" t="s">
        <v>628</v>
      </c>
      <c r="E11" s="384">
        <v>20239.76171875</v>
      </c>
      <c r="F11" s="384">
        <v>17183.75390625</v>
      </c>
      <c r="G11" s="384">
        <v>3056.008056640625</v>
      </c>
      <c r="H11" s="384">
        <v>40723.15234375</v>
      </c>
      <c r="I11" s="384">
        <v>0.25</v>
      </c>
      <c r="J11" s="384">
        <v>5059.9404296875</v>
      </c>
      <c r="K11" s="405">
        <v>0.12425217777490616</v>
      </c>
      <c r="L11" s="384">
        <v>764.00201416015625</v>
      </c>
      <c r="M11" s="405">
        <v>1.8760876730084419E-2</v>
      </c>
      <c r="N11" s="384">
        <v>4295.9384765625</v>
      </c>
      <c r="O11" s="405">
        <v>0.10549130290746689</v>
      </c>
    </row>
    <row r="12" spans="1:15" x14ac:dyDescent="0.35">
      <c r="A12" s="384" t="s">
        <v>191</v>
      </c>
      <c r="B12" s="384" t="s">
        <v>636</v>
      </c>
      <c r="C12" s="384">
        <v>1</v>
      </c>
      <c r="D12" s="384" t="s">
        <v>628</v>
      </c>
      <c r="E12" s="384">
        <v>849.11639404296875</v>
      </c>
      <c r="F12" s="384">
        <v>654.7708740234375</v>
      </c>
      <c r="G12" s="384">
        <v>194.34555053710938</v>
      </c>
      <c r="H12" s="384">
        <v>683.69287109375</v>
      </c>
      <c r="I12" s="384">
        <v>0.2</v>
      </c>
      <c r="J12" s="384">
        <v>169.82327270507812</v>
      </c>
      <c r="K12" s="405">
        <v>0.24839116632938385</v>
      </c>
      <c r="L12" s="384">
        <v>38.869110107421875</v>
      </c>
      <c r="M12" s="405">
        <v>5.6851711124181747E-2</v>
      </c>
      <c r="N12" s="384">
        <v>130.95417785644531</v>
      </c>
      <c r="O12" s="405">
        <v>0.19153948128223419</v>
      </c>
    </row>
    <row r="13" spans="1:15" x14ac:dyDescent="0.35">
      <c r="A13" s="384" t="s">
        <v>192</v>
      </c>
      <c r="B13" s="384" t="s">
        <v>637</v>
      </c>
      <c r="C13" s="384">
        <v>1</v>
      </c>
      <c r="D13" s="384" t="s">
        <v>628</v>
      </c>
      <c r="E13" s="384">
        <v>5975.568359375</v>
      </c>
      <c r="F13" s="384">
        <v>5155.77001953125</v>
      </c>
      <c r="G13" s="384">
        <v>819.79827880859375</v>
      </c>
      <c r="H13" s="384">
        <v>8483</v>
      </c>
      <c r="I13" s="384">
        <v>0.2</v>
      </c>
      <c r="J13" s="384">
        <v>1195.1136474609375</v>
      </c>
      <c r="K13" s="405">
        <v>0.14088337123394012</v>
      </c>
      <c r="L13" s="384">
        <v>163.95965576171875</v>
      </c>
      <c r="M13" s="405">
        <v>1.9328027963638306E-2</v>
      </c>
      <c r="N13" s="384">
        <v>1031.154052734375</v>
      </c>
      <c r="O13" s="405">
        <v>0.12155535072088242</v>
      </c>
    </row>
    <row r="14" spans="1:15" x14ac:dyDescent="0.35">
      <c r="A14" s="384" t="s">
        <v>71</v>
      </c>
      <c r="B14" s="384" t="s">
        <v>638</v>
      </c>
      <c r="C14" s="384">
        <v>1</v>
      </c>
      <c r="D14" s="384" t="s">
        <v>628</v>
      </c>
      <c r="E14" s="384">
        <v>55629.10546875</v>
      </c>
      <c r="F14" s="384">
        <v>44712.5078125</v>
      </c>
      <c r="G14" s="384">
        <v>10916.599609375</v>
      </c>
      <c r="H14" s="384">
        <v>84653.9765625</v>
      </c>
      <c r="I14" s="384">
        <v>0.25824999999999998</v>
      </c>
      <c r="J14" s="384">
        <v>14366.216796875</v>
      </c>
      <c r="K14" s="405">
        <v>0.16970516741275787</v>
      </c>
      <c r="L14" s="384">
        <v>2819.2119140625</v>
      </c>
      <c r="M14" s="405">
        <v>3.3302769064903259E-2</v>
      </c>
      <c r="N14" s="384">
        <v>11547.0048828125</v>
      </c>
      <c r="O14" s="405">
        <v>0.13640239834785461</v>
      </c>
    </row>
    <row r="15" spans="1:15" x14ac:dyDescent="0.35">
      <c r="A15" s="384" t="s">
        <v>70</v>
      </c>
      <c r="B15" s="384" t="s">
        <v>639</v>
      </c>
      <c r="C15" s="384">
        <v>1</v>
      </c>
      <c r="D15" s="384" t="s">
        <v>628</v>
      </c>
      <c r="E15" s="384">
        <v>91535.5390625</v>
      </c>
      <c r="F15" s="384">
        <v>85652.421875</v>
      </c>
      <c r="G15" s="384">
        <v>5883.115234375</v>
      </c>
      <c r="H15" s="384">
        <v>108133.9375</v>
      </c>
      <c r="I15" s="384">
        <v>0.19</v>
      </c>
      <c r="J15" s="384">
        <v>17391.751953125</v>
      </c>
      <c r="K15" s="405">
        <v>0.16083528101444244</v>
      </c>
      <c r="L15" s="384">
        <v>1117.7918701171875</v>
      </c>
      <c r="M15" s="405">
        <v>1.0337105020880699E-2</v>
      </c>
      <c r="N15" s="384">
        <v>16273.9599609375</v>
      </c>
      <c r="O15" s="405">
        <v>0.150498166680336</v>
      </c>
    </row>
    <row r="16" spans="1:15" x14ac:dyDescent="0.35">
      <c r="A16" s="384" t="s">
        <v>193</v>
      </c>
      <c r="B16" s="384" t="s">
        <v>640</v>
      </c>
      <c r="C16" s="384">
        <v>1</v>
      </c>
      <c r="D16" s="384" t="s">
        <v>628</v>
      </c>
      <c r="E16" s="384">
        <v>12199.029296875</v>
      </c>
      <c r="F16" s="384">
        <v>3552.452392578125</v>
      </c>
      <c r="G16" s="384">
        <v>8646.5771484375</v>
      </c>
      <c r="H16" s="384">
        <v>5652.70947265625</v>
      </c>
      <c r="I16" s="384">
        <v>0.22</v>
      </c>
      <c r="J16" s="384">
        <v>2683.786376953125</v>
      </c>
      <c r="K16" s="405">
        <v>0.47477877140045166</v>
      </c>
      <c r="L16" s="384">
        <v>1902.2469482421875</v>
      </c>
      <c r="M16" s="405">
        <v>0.3365195095539093</v>
      </c>
      <c r="N16" s="384">
        <v>781.53955078125</v>
      </c>
      <c r="O16" s="405">
        <v>0.13825927674770355</v>
      </c>
    </row>
    <row r="17" spans="1:15" x14ac:dyDescent="0.35">
      <c r="A17" s="384" t="s">
        <v>194</v>
      </c>
      <c r="B17" s="384" t="s">
        <v>641</v>
      </c>
      <c r="C17" s="384">
        <v>1</v>
      </c>
      <c r="D17" s="384" t="s">
        <v>628</v>
      </c>
      <c r="E17" s="384">
        <v>5651.08251953125</v>
      </c>
      <c r="F17" s="384">
        <v>5322.65234375</v>
      </c>
      <c r="G17" s="384">
        <v>328.42987060546875</v>
      </c>
      <c r="H17" s="384">
        <v>3794.035888671875</v>
      </c>
      <c r="I17" s="384">
        <v>0.09</v>
      </c>
      <c r="J17" s="384">
        <v>508.597412109375</v>
      </c>
      <c r="K17" s="405">
        <v>0.13405181467533112</v>
      </c>
      <c r="L17" s="384">
        <v>29.558689117431641</v>
      </c>
      <c r="M17" s="405">
        <v>7.790829986333847E-3</v>
      </c>
      <c r="N17" s="384">
        <v>479.0386962890625</v>
      </c>
      <c r="O17" s="405">
        <v>0.12626098096370697</v>
      </c>
    </row>
    <row r="18" spans="1:15" x14ac:dyDescent="0.35">
      <c r="A18" s="384" t="s">
        <v>195</v>
      </c>
      <c r="B18" s="384" t="s">
        <v>642</v>
      </c>
      <c r="C18" s="384">
        <v>1</v>
      </c>
      <c r="D18" s="384" t="s">
        <v>628</v>
      </c>
      <c r="E18" s="384">
        <v>529.824951171875</v>
      </c>
      <c r="F18" s="384">
        <v>1.8854367733001709</v>
      </c>
      <c r="G18" s="384">
        <v>527.93951416015625</v>
      </c>
      <c r="H18" s="384">
        <v>1082.247314453125</v>
      </c>
      <c r="I18" s="384">
        <v>0.2</v>
      </c>
      <c r="J18" s="384">
        <v>105.96498870849609</v>
      </c>
      <c r="K18" s="405">
        <v>9.791199117898941E-2</v>
      </c>
      <c r="L18" s="384">
        <v>105.58790588378906</v>
      </c>
      <c r="M18" s="405">
        <v>9.7563564777374268E-2</v>
      </c>
      <c r="N18" s="384">
        <v>0.37708735466003418</v>
      </c>
      <c r="O18" s="405">
        <v>3.4842992317862809E-4</v>
      </c>
    </row>
    <row r="19" spans="1:15" x14ac:dyDescent="0.35">
      <c r="A19" s="384" t="s">
        <v>196</v>
      </c>
      <c r="B19" s="384" t="s">
        <v>643</v>
      </c>
      <c r="C19" s="384">
        <v>0</v>
      </c>
      <c r="D19" s="384" t="s">
        <v>628</v>
      </c>
      <c r="E19" s="384">
        <v>5382.44140625</v>
      </c>
      <c r="F19" s="384">
        <v>683.5438232421875</v>
      </c>
      <c r="G19" s="384">
        <v>4698.8974609375</v>
      </c>
      <c r="H19" s="384">
        <v>23862.25</v>
      </c>
      <c r="I19" s="384">
        <v>0.23</v>
      </c>
      <c r="J19" s="384">
        <v>1237.9615478515625</v>
      </c>
      <c r="K19" s="405">
        <v>5.1879499107599258E-2</v>
      </c>
      <c r="L19" s="384">
        <v>1080.7464599609375</v>
      </c>
      <c r="M19" s="405">
        <v>4.5291054993867874E-2</v>
      </c>
      <c r="N19" s="384">
        <v>157.21507263183594</v>
      </c>
      <c r="O19" s="405">
        <v>6.5884427167475224E-3</v>
      </c>
    </row>
    <row r="20" spans="1:15" x14ac:dyDescent="0.35">
      <c r="A20" s="384" t="s">
        <v>74</v>
      </c>
      <c r="B20" s="384" t="s">
        <v>644</v>
      </c>
      <c r="C20" s="384">
        <v>1</v>
      </c>
      <c r="D20" s="384" t="s">
        <v>628</v>
      </c>
      <c r="E20" s="384">
        <v>28988.88671875</v>
      </c>
      <c r="F20" s="384">
        <v>26011.61328125</v>
      </c>
      <c r="G20" s="384">
        <v>2977.27392578125</v>
      </c>
      <c r="H20" s="384">
        <v>70190.3984375</v>
      </c>
      <c r="I20" s="384">
        <v>0.27810000000000001</v>
      </c>
      <c r="J20" s="384">
        <v>8061.8095703125</v>
      </c>
      <c r="K20" s="405">
        <v>0.1148563027381897</v>
      </c>
      <c r="L20" s="384">
        <v>827.9798583984375</v>
      </c>
      <c r="M20" s="405">
        <v>1.1796197853982449E-2</v>
      </c>
      <c r="N20" s="384">
        <v>7233.82958984375</v>
      </c>
      <c r="O20" s="405">
        <v>0.10306010395288467</v>
      </c>
    </row>
    <row r="21" spans="1:15" x14ac:dyDescent="0.35">
      <c r="A21" s="384" t="s">
        <v>73</v>
      </c>
      <c r="B21" s="384" t="s">
        <v>645</v>
      </c>
      <c r="C21" s="384">
        <v>0</v>
      </c>
      <c r="D21" s="384" t="s">
        <v>628</v>
      </c>
      <c r="E21" s="384">
        <v>15269.03125</v>
      </c>
      <c r="F21" s="384">
        <v>9942.689453125</v>
      </c>
      <c r="G21" s="384">
        <v>5326.341796875</v>
      </c>
      <c r="H21" s="384">
        <v>238695.34375</v>
      </c>
      <c r="I21" s="384">
        <v>0.2974</v>
      </c>
      <c r="J21" s="384">
        <v>4541.009765625</v>
      </c>
      <c r="K21" s="405">
        <v>1.9024292007088661E-2</v>
      </c>
      <c r="L21" s="384">
        <v>1584.0540771484375</v>
      </c>
      <c r="M21" s="405">
        <v>6.6363005898892879E-3</v>
      </c>
      <c r="N21" s="384">
        <v>2956.955810546875</v>
      </c>
      <c r="O21" s="405">
        <v>1.2387990951538086E-2</v>
      </c>
    </row>
    <row r="22" spans="1:15" x14ac:dyDescent="0.35">
      <c r="A22" s="384" t="s">
        <v>197</v>
      </c>
      <c r="B22" s="384" t="s">
        <v>646</v>
      </c>
      <c r="C22" s="384">
        <v>0</v>
      </c>
      <c r="D22" s="384" t="s">
        <v>628</v>
      </c>
      <c r="E22" s="384">
        <v>8079.56884765625</v>
      </c>
      <c r="F22" s="384">
        <v>3061.145263671875</v>
      </c>
      <c r="G22" s="384">
        <v>5018.423828125</v>
      </c>
      <c r="H22" s="384">
        <v>103723.71875</v>
      </c>
      <c r="I22" s="384">
        <v>0.27500000000000002</v>
      </c>
      <c r="J22" s="384">
        <v>2221.88134765625</v>
      </c>
      <c r="K22" s="405">
        <v>2.1421149373054504E-2</v>
      </c>
      <c r="L22" s="384">
        <v>1380.0665283203125</v>
      </c>
      <c r="M22" s="405">
        <v>1.330521609634161E-2</v>
      </c>
      <c r="N22" s="384">
        <v>841.81494140625</v>
      </c>
      <c r="O22" s="405">
        <v>8.1159351393580437E-3</v>
      </c>
    </row>
    <row r="23" spans="1:15" x14ac:dyDescent="0.35">
      <c r="A23" s="384" t="s">
        <v>198</v>
      </c>
      <c r="B23" s="384" t="s">
        <v>647</v>
      </c>
      <c r="C23" s="384">
        <v>1</v>
      </c>
      <c r="D23" s="384" t="s">
        <v>628</v>
      </c>
      <c r="E23" s="384">
        <v>696.42877197265625</v>
      </c>
      <c r="F23" s="384">
        <v>551.67803955078125</v>
      </c>
      <c r="G23" s="384">
        <v>144.75071716308594</v>
      </c>
      <c r="H23" s="384">
        <v>443.34307861328125</v>
      </c>
      <c r="I23" s="384">
        <v>0.2</v>
      </c>
      <c r="J23" s="384">
        <v>139.28575134277344</v>
      </c>
      <c r="K23" s="405">
        <v>0.31417149305343628</v>
      </c>
      <c r="L23" s="384">
        <v>28.950143814086914</v>
      </c>
      <c r="M23" s="405">
        <v>6.5299637615680695E-2</v>
      </c>
      <c r="N23" s="384">
        <v>110.33560943603516</v>
      </c>
      <c r="O23" s="405">
        <v>0.24887184798717499</v>
      </c>
    </row>
    <row r="24" spans="1:15" x14ac:dyDescent="0.35">
      <c r="A24" s="384" t="s">
        <v>81</v>
      </c>
      <c r="B24" s="384" t="s">
        <v>648</v>
      </c>
      <c r="C24" s="384">
        <v>0</v>
      </c>
      <c r="D24" s="384" t="s">
        <v>628</v>
      </c>
      <c r="E24" s="384">
        <v>16733.880859375</v>
      </c>
      <c r="F24" s="384">
        <v>3569.373046875</v>
      </c>
      <c r="G24" s="384">
        <v>13164.5078125</v>
      </c>
      <c r="H24" s="384">
        <v>64090.58203125</v>
      </c>
      <c r="I24" s="384">
        <v>0.3</v>
      </c>
      <c r="J24" s="384">
        <v>5020.1640625</v>
      </c>
      <c r="K24" s="405">
        <v>7.8329198062419891E-2</v>
      </c>
      <c r="L24" s="384">
        <v>3949.352294921875</v>
      </c>
      <c r="M24" s="405">
        <v>6.1621412634849548E-2</v>
      </c>
      <c r="N24" s="384">
        <v>1070.8118896484375</v>
      </c>
      <c r="O24" s="405">
        <v>1.6707789152860641E-2</v>
      </c>
    </row>
    <row r="25" spans="1:15" x14ac:dyDescent="0.35">
      <c r="A25" s="384" t="s">
        <v>200</v>
      </c>
      <c r="B25" s="384" t="s">
        <v>649</v>
      </c>
      <c r="C25" s="384">
        <v>0</v>
      </c>
      <c r="D25" s="384" t="s">
        <v>628</v>
      </c>
      <c r="E25" s="384">
        <v>7280.27880859375</v>
      </c>
      <c r="F25" s="384">
        <v>4426.68798828125</v>
      </c>
      <c r="G25" s="384">
        <v>2853.59033203125</v>
      </c>
      <c r="H25" s="384">
        <v>122342.96875</v>
      </c>
      <c r="I25" s="384">
        <v>0.22</v>
      </c>
      <c r="J25" s="384">
        <v>1601.661376953125</v>
      </c>
      <c r="K25" s="405">
        <v>1.309156883507967E-2</v>
      </c>
      <c r="L25" s="384">
        <v>627.78985595703125</v>
      </c>
      <c r="M25" s="405">
        <v>5.1313932053744793E-3</v>
      </c>
      <c r="N25" s="384">
        <v>973.871337890625</v>
      </c>
      <c r="O25" s="405">
        <v>7.9601742327213287E-3</v>
      </c>
    </row>
    <row r="26" spans="1:15" x14ac:dyDescent="0.35">
      <c r="A26" s="384" t="s">
        <v>199</v>
      </c>
      <c r="B26" s="384" t="s">
        <v>650</v>
      </c>
      <c r="C26" s="384">
        <v>0</v>
      </c>
      <c r="D26" s="384" t="s">
        <v>628</v>
      </c>
      <c r="E26" s="384">
        <v>2794.489501953125</v>
      </c>
      <c r="F26" s="384">
        <v>863.144287109375</v>
      </c>
      <c r="G26" s="384">
        <v>1931.345458984375</v>
      </c>
      <c r="H26" s="384">
        <v>11742.240234375</v>
      </c>
      <c r="I26" s="384">
        <v>0.28000000000000003</v>
      </c>
      <c r="J26" s="384">
        <v>782.45703125</v>
      </c>
      <c r="K26" s="405">
        <v>6.6636092960834503E-2</v>
      </c>
      <c r="L26" s="384">
        <v>540.7767333984375</v>
      </c>
      <c r="M26" s="405">
        <v>4.6053964644670486E-2</v>
      </c>
      <c r="N26" s="384">
        <v>241.68040466308594</v>
      </c>
      <c r="O26" s="405">
        <v>2.0582137629389763E-2</v>
      </c>
    </row>
    <row r="27" spans="1:15" x14ac:dyDescent="0.35">
      <c r="A27" s="384" t="s">
        <v>201</v>
      </c>
      <c r="B27" s="384" t="s">
        <v>651</v>
      </c>
      <c r="C27" s="384">
        <v>1</v>
      </c>
      <c r="D27" s="384" t="s">
        <v>628</v>
      </c>
      <c r="E27" s="384">
        <v>8498.74609375</v>
      </c>
      <c r="F27" s="384">
        <v>7471.01171875</v>
      </c>
      <c r="G27" s="384">
        <v>1027.7335205078125</v>
      </c>
      <c r="H27" s="384">
        <v>22730.072265625</v>
      </c>
      <c r="I27" s="384">
        <v>0.19</v>
      </c>
      <c r="J27" s="384">
        <v>1614.76171875</v>
      </c>
      <c r="K27" s="405">
        <v>7.1040764451026917E-2</v>
      </c>
      <c r="L27" s="384">
        <v>195.26936340332031</v>
      </c>
      <c r="M27" s="405">
        <v>8.5907941684126854E-3</v>
      </c>
      <c r="N27" s="384">
        <v>1419.4921875</v>
      </c>
      <c r="O27" s="405">
        <v>6.244996190071106E-2</v>
      </c>
    </row>
    <row r="28" spans="1:15" x14ac:dyDescent="0.35">
      <c r="A28" s="384" t="s">
        <v>202</v>
      </c>
      <c r="B28" s="384" t="s">
        <v>652</v>
      </c>
      <c r="C28" s="384">
        <v>1</v>
      </c>
      <c r="D28" s="384" t="s">
        <v>628</v>
      </c>
      <c r="E28" s="384">
        <v>3939.267333984375</v>
      </c>
      <c r="F28" s="384">
        <v>3574.464599609375</v>
      </c>
      <c r="G28" s="384">
        <v>364.8023681640625</v>
      </c>
      <c r="H28" s="384">
        <v>8887.8662109375</v>
      </c>
      <c r="I28" s="384">
        <v>0.315</v>
      </c>
      <c r="J28" s="384">
        <v>1240.8692626953125</v>
      </c>
      <c r="K28" s="405">
        <v>0.13961385190486908</v>
      </c>
      <c r="L28" s="384">
        <v>114.91274261474609</v>
      </c>
      <c r="M28" s="405">
        <v>1.2929171323776245E-2</v>
      </c>
      <c r="N28" s="384">
        <v>1125.956298828125</v>
      </c>
      <c r="O28" s="405">
        <v>0.12668466567993164</v>
      </c>
    </row>
    <row r="29" spans="1:15" x14ac:dyDescent="0.35">
      <c r="A29" s="384" t="s">
        <v>203</v>
      </c>
      <c r="B29" s="384" t="s">
        <v>653</v>
      </c>
      <c r="C29" s="384">
        <v>1</v>
      </c>
      <c r="D29" s="384" t="s">
        <v>628</v>
      </c>
      <c r="E29" s="384">
        <v>1136.4510498046875</v>
      </c>
      <c r="F29" s="384">
        <v>902.7926025390625</v>
      </c>
      <c r="G29" s="384">
        <v>233.658447265625</v>
      </c>
      <c r="H29" s="384">
        <v>4525.7841796875</v>
      </c>
      <c r="I29" s="384">
        <v>0.21</v>
      </c>
      <c r="J29" s="384">
        <v>238.65472412109375</v>
      </c>
      <c r="K29" s="405">
        <v>5.2732236683368683E-2</v>
      </c>
      <c r="L29" s="384">
        <v>49.068275451660156</v>
      </c>
      <c r="M29" s="405">
        <v>1.084193866699934E-2</v>
      </c>
      <c r="N29" s="384">
        <v>189.58644104003906</v>
      </c>
      <c r="O29" s="405">
        <v>4.1890297085046768E-2</v>
      </c>
    </row>
    <row r="30" spans="1:15" x14ac:dyDescent="0.35">
      <c r="A30" s="384" t="s">
        <v>204</v>
      </c>
      <c r="B30" s="384" t="s">
        <v>654</v>
      </c>
      <c r="C30" s="384">
        <v>1</v>
      </c>
      <c r="D30" s="384" t="s">
        <v>628</v>
      </c>
      <c r="E30" s="384">
        <v>780.42681884765625</v>
      </c>
      <c r="F30" s="384">
        <v>616.57708740234375</v>
      </c>
      <c r="G30" s="384">
        <v>163.84970092773438</v>
      </c>
      <c r="H30" s="384">
        <v>1519.5621337890625</v>
      </c>
      <c r="I30" s="384">
        <v>0.19</v>
      </c>
      <c r="J30" s="384">
        <v>148.28109741210938</v>
      </c>
      <c r="K30" s="405">
        <v>9.7581461071968079E-2</v>
      </c>
      <c r="L30" s="384">
        <v>31.131443023681641</v>
      </c>
      <c r="M30" s="405">
        <v>2.0487114787101746E-2</v>
      </c>
      <c r="N30" s="384">
        <v>117.14964294433594</v>
      </c>
      <c r="O30" s="405">
        <v>7.7094338834285736E-2</v>
      </c>
    </row>
    <row r="31" spans="1:15" x14ac:dyDescent="0.35">
      <c r="A31" s="384" t="s">
        <v>205</v>
      </c>
      <c r="B31" s="384" t="s">
        <v>655</v>
      </c>
      <c r="C31" s="384">
        <v>1</v>
      </c>
      <c r="D31" s="384" t="s">
        <v>628</v>
      </c>
      <c r="E31" s="384">
        <v>14951.2412109375</v>
      </c>
      <c r="F31" s="384">
        <v>13243.1630859375</v>
      </c>
      <c r="G31" s="384">
        <v>1708.078125</v>
      </c>
      <c r="H31" s="384">
        <v>21322.24609375</v>
      </c>
      <c r="I31" s="384">
        <v>0.20600000000000002</v>
      </c>
      <c r="J31" s="384">
        <v>3079.955810546875</v>
      </c>
      <c r="K31" s="405">
        <v>0.14444799721240997</v>
      </c>
      <c r="L31" s="384">
        <v>351.86410522460938</v>
      </c>
      <c r="M31" s="405">
        <v>1.6502207145094872E-2</v>
      </c>
      <c r="N31" s="384">
        <v>2728.091552734375</v>
      </c>
      <c r="O31" s="405">
        <v>0.12794578075408936</v>
      </c>
    </row>
    <row r="32" spans="1:15" x14ac:dyDescent="0.35">
      <c r="A32" s="384" t="s">
        <v>206</v>
      </c>
      <c r="B32" s="384" t="s">
        <v>656</v>
      </c>
      <c r="C32" s="384">
        <v>0</v>
      </c>
      <c r="D32" s="384" t="s">
        <v>628</v>
      </c>
      <c r="E32" s="384">
        <v>4239.93212890625</v>
      </c>
      <c r="F32" s="384">
        <v>2373.8720703125</v>
      </c>
      <c r="G32" s="384">
        <v>1866.06005859375</v>
      </c>
      <c r="H32" s="384">
        <v>97198.828125</v>
      </c>
      <c r="I32" s="384">
        <v>0.23</v>
      </c>
      <c r="J32" s="384">
        <v>975.18438720703125</v>
      </c>
      <c r="K32" s="405">
        <v>1.0032881982624531E-2</v>
      </c>
      <c r="L32" s="384">
        <v>429.19381713867188</v>
      </c>
      <c r="M32" s="405">
        <v>4.4156275689601898E-3</v>
      </c>
      <c r="N32" s="384">
        <v>545.9906005859375</v>
      </c>
      <c r="O32" s="405">
        <v>5.6172548793256283E-3</v>
      </c>
    </row>
    <row r="33" spans="1:15" x14ac:dyDescent="0.35">
      <c r="A33" s="384" t="s">
        <v>67</v>
      </c>
      <c r="B33" s="384" t="s">
        <v>80</v>
      </c>
      <c r="C33" s="384">
        <v>0</v>
      </c>
      <c r="D33" s="384" t="s">
        <v>628</v>
      </c>
      <c r="E33" s="384">
        <v>165012.546875</v>
      </c>
      <c r="F33" s="384">
        <v>54263.05078125</v>
      </c>
      <c r="G33" s="384">
        <v>110749.5</v>
      </c>
      <c r="H33" s="384">
        <v>511930</v>
      </c>
      <c r="I33" s="384">
        <v>0.25808084999999997</v>
      </c>
      <c r="J33" s="384">
        <v>42586.578125</v>
      </c>
      <c r="K33" s="405">
        <v>8.3188280463218689E-2</v>
      </c>
      <c r="L33" s="384">
        <v>28582.32421875</v>
      </c>
      <c r="M33" s="405">
        <v>5.5832486599683762E-2</v>
      </c>
      <c r="N33" s="384">
        <v>14004.25390625</v>
      </c>
      <c r="O33" s="405">
        <v>2.7355797588825226E-2</v>
      </c>
    </row>
    <row r="34" spans="1:15" ht="34" x14ac:dyDescent="0.35">
      <c r="A34" s="391" t="s">
        <v>913</v>
      </c>
      <c r="K34" s="384"/>
      <c r="M34" s="384"/>
    </row>
    <row r="35" spans="1:15" x14ac:dyDescent="0.35">
      <c r="A35" s="384" t="s">
        <v>83</v>
      </c>
      <c r="B35" s="384" t="s">
        <v>665</v>
      </c>
      <c r="C35" s="384">
        <v>0</v>
      </c>
      <c r="D35" s="384" t="s">
        <v>666</v>
      </c>
      <c r="E35" s="384">
        <v>20816.107421875</v>
      </c>
      <c r="F35" s="384">
        <v>8731.0517578125</v>
      </c>
      <c r="G35" s="384">
        <v>12085.0556640625</v>
      </c>
      <c r="H35" s="384">
        <v>131768.125</v>
      </c>
      <c r="I35" s="384">
        <v>0.34</v>
      </c>
      <c r="J35" s="384">
        <v>7077.4765625</v>
      </c>
      <c r="K35" s="405">
        <v>5.3711596876382828E-2</v>
      </c>
      <c r="L35" s="384">
        <v>4108.9189453125</v>
      </c>
      <c r="M35" s="405">
        <v>3.1182950362563133E-2</v>
      </c>
      <c r="N35" s="384">
        <v>2968.5576171875</v>
      </c>
      <c r="O35" s="405">
        <v>2.2528646513819695E-2</v>
      </c>
    </row>
    <row r="36" spans="1:15" x14ac:dyDescent="0.35">
      <c r="A36" s="384" t="s">
        <v>208</v>
      </c>
      <c r="B36" s="384" t="s">
        <v>667</v>
      </c>
      <c r="C36" s="384">
        <v>0</v>
      </c>
      <c r="D36" s="384" t="s">
        <v>666</v>
      </c>
      <c r="E36" s="384">
        <v>77750.34375</v>
      </c>
      <c r="F36" s="384">
        <v>8432.1767578125</v>
      </c>
      <c r="G36" s="384">
        <v>69318.171875</v>
      </c>
      <c r="H36" s="384">
        <v>742821.4375</v>
      </c>
      <c r="I36" s="384">
        <v>0.25</v>
      </c>
      <c r="J36" s="384">
        <v>19437.5859375</v>
      </c>
      <c r="K36" s="405">
        <v>2.6167238131165504E-2</v>
      </c>
      <c r="L36" s="384">
        <v>17329.54296875</v>
      </c>
      <c r="M36" s="405">
        <v>2.3329352959990501E-2</v>
      </c>
      <c r="N36" s="384">
        <v>2108.044189453125</v>
      </c>
      <c r="O36" s="405">
        <v>2.8378881979733706E-3</v>
      </c>
    </row>
    <row r="37" spans="1:15" x14ac:dyDescent="0.35">
      <c r="A37" s="384" t="s">
        <v>209</v>
      </c>
      <c r="B37" s="384" t="s">
        <v>668</v>
      </c>
      <c r="C37" s="384">
        <v>0</v>
      </c>
      <c r="D37" s="384" t="s">
        <v>666</v>
      </c>
      <c r="E37" s="384">
        <v>1091.5755615234375</v>
      </c>
      <c r="F37" s="384">
        <v>138.4107666015625</v>
      </c>
      <c r="G37" s="384">
        <v>953.16473388671875</v>
      </c>
      <c r="H37" s="384">
        <v>26047.35546875</v>
      </c>
      <c r="I37" s="384">
        <v>0.35</v>
      </c>
      <c r="J37" s="384">
        <v>382.05145263671875</v>
      </c>
      <c r="K37" s="405">
        <v>1.4667571522295475E-2</v>
      </c>
      <c r="L37" s="384">
        <v>333.607666015625</v>
      </c>
      <c r="M37" s="405">
        <v>1.2807736173272133E-2</v>
      </c>
      <c r="N37" s="384">
        <v>48.443767547607422</v>
      </c>
      <c r="O37" s="405">
        <v>1.8598344177007675E-3</v>
      </c>
    </row>
    <row r="38" spans="1:15" x14ac:dyDescent="0.35">
      <c r="A38" s="384" t="s">
        <v>210</v>
      </c>
      <c r="B38" s="384" t="s">
        <v>669</v>
      </c>
      <c r="C38" s="384">
        <v>0</v>
      </c>
      <c r="D38" s="384" t="s">
        <v>666</v>
      </c>
      <c r="E38" s="384">
        <v>1233.6009521484375</v>
      </c>
      <c r="F38" s="384">
        <v>156.41944885253906</v>
      </c>
      <c r="G38" s="384">
        <v>1077.181396484375</v>
      </c>
      <c r="H38" s="384">
        <v>3171.80517578125</v>
      </c>
      <c r="I38" s="384">
        <v>0.3</v>
      </c>
      <c r="J38" s="384">
        <v>370.08029174804688</v>
      </c>
      <c r="K38" s="405">
        <v>0.11667812615633011</v>
      </c>
      <c r="L38" s="384">
        <v>323.1544189453125</v>
      </c>
      <c r="M38" s="405">
        <v>0.10188344120979309</v>
      </c>
      <c r="N38" s="384">
        <v>46.925834655761719</v>
      </c>
      <c r="O38" s="405">
        <v>1.4794677495956421E-2</v>
      </c>
    </row>
    <row r="39" spans="1:15" x14ac:dyDescent="0.35">
      <c r="A39" s="384" t="s">
        <v>84</v>
      </c>
      <c r="B39" s="384" t="s">
        <v>670</v>
      </c>
      <c r="C39" s="384">
        <v>0</v>
      </c>
      <c r="D39" s="384" t="s">
        <v>666</v>
      </c>
      <c r="E39" s="384">
        <v>15636.1845703125</v>
      </c>
      <c r="F39" s="384">
        <v>3837.095458984375</v>
      </c>
      <c r="G39" s="384">
        <v>11799.08984375</v>
      </c>
      <c r="H39" s="384">
        <v>143244.640625</v>
      </c>
      <c r="I39" s="384">
        <v>0.25170000000000003</v>
      </c>
      <c r="J39" s="384">
        <v>3935.627685546875</v>
      </c>
      <c r="K39" s="405">
        <v>2.7474869042634964E-2</v>
      </c>
      <c r="L39" s="384">
        <v>2969.830810546875</v>
      </c>
      <c r="M39" s="405">
        <v>2.0732579752802849E-2</v>
      </c>
      <c r="N39" s="384">
        <v>965.79693603515625</v>
      </c>
      <c r="O39" s="405">
        <v>6.7422902211546898E-3</v>
      </c>
    </row>
    <row r="40" spans="1:15" x14ac:dyDescent="0.35">
      <c r="A40" s="384" t="s">
        <v>211</v>
      </c>
      <c r="B40" s="384" t="s">
        <v>671</v>
      </c>
      <c r="C40" s="384">
        <v>0</v>
      </c>
      <c r="D40" s="384" t="s">
        <v>666</v>
      </c>
      <c r="E40" s="384">
        <v>4889.689453125</v>
      </c>
      <c r="F40" s="384">
        <v>4434.642578125</v>
      </c>
      <c r="G40" s="384">
        <v>455.04656982421875</v>
      </c>
      <c r="H40" s="384">
        <v>106650.2265625</v>
      </c>
      <c r="I40" s="384">
        <v>0.2</v>
      </c>
      <c r="J40" s="384">
        <v>977.9378662109375</v>
      </c>
      <c r="K40" s="405">
        <v>9.169580414891243E-3</v>
      </c>
      <c r="L40" s="384">
        <v>91.009315490722656</v>
      </c>
      <c r="M40" s="405">
        <v>8.5334386676549911E-4</v>
      </c>
      <c r="N40" s="384">
        <v>886.92852783203125</v>
      </c>
      <c r="O40" s="405">
        <v>8.3162365481257439E-3</v>
      </c>
    </row>
    <row r="41" spans="1:15" x14ac:dyDescent="0.35">
      <c r="A41" s="384" t="s">
        <v>86</v>
      </c>
      <c r="B41" s="384" t="s">
        <v>672</v>
      </c>
      <c r="C41" s="384">
        <v>0</v>
      </c>
      <c r="D41" s="384" t="s">
        <v>666</v>
      </c>
      <c r="E41" s="384">
        <v>6332.8095703125</v>
      </c>
      <c r="F41" s="384">
        <v>2798.24072265625</v>
      </c>
      <c r="G41" s="384">
        <v>3534.569091796875</v>
      </c>
      <c r="H41" s="384">
        <v>26623.7265625</v>
      </c>
      <c r="I41" s="384">
        <v>0.27</v>
      </c>
      <c r="J41" s="384">
        <v>1709.858642578125</v>
      </c>
      <c r="K41" s="405">
        <v>6.4223118126392365E-2</v>
      </c>
      <c r="L41" s="384">
        <v>954.33367919921875</v>
      </c>
      <c r="M41" s="405">
        <v>3.5845231264829636E-2</v>
      </c>
      <c r="N41" s="384">
        <v>755.5250244140625</v>
      </c>
      <c r="O41" s="405">
        <v>2.837788313627243E-2</v>
      </c>
    </row>
    <row r="42" spans="1:15" x14ac:dyDescent="0.35">
      <c r="A42" s="384" t="s">
        <v>212</v>
      </c>
      <c r="B42" s="384" t="s">
        <v>738</v>
      </c>
      <c r="C42" s="384">
        <v>0</v>
      </c>
      <c r="D42" s="384" t="s">
        <v>914</v>
      </c>
      <c r="E42" s="384">
        <v>3031.487548828125</v>
      </c>
      <c r="F42" s="384">
        <v>641.851318359375</v>
      </c>
      <c r="G42" s="384">
        <v>2389.63623046875</v>
      </c>
      <c r="H42" s="384">
        <v>63261.671875</v>
      </c>
      <c r="I42" s="384">
        <v>0.3</v>
      </c>
      <c r="J42" s="384">
        <v>909.4462890625</v>
      </c>
      <c r="K42" s="405">
        <v>1.4375944621860981E-2</v>
      </c>
      <c r="L42" s="384">
        <v>716.890869140625</v>
      </c>
      <c r="M42" s="405">
        <v>1.1332151480019093E-2</v>
      </c>
      <c r="N42" s="384">
        <v>192.55538940429688</v>
      </c>
      <c r="O42" s="405">
        <v>3.0437922105193138E-3</v>
      </c>
    </row>
    <row r="43" spans="1:15" x14ac:dyDescent="0.35">
      <c r="A43" s="384" t="s">
        <v>213</v>
      </c>
      <c r="B43" s="384" t="s">
        <v>767</v>
      </c>
      <c r="C43" s="384">
        <v>0</v>
      </c>
      <c r="D43" s="384" t="s">
        <v>914</v>
      </c>
      <c r="E43" s="384">
        <v>808.91571044921875</v>
      </c>
      <c r="F43" s="384">
        <v>808.91571044921875</v>
      </c>
      <c r="G43" s="384">
        <v>0</v>
      </c>
      <c r="H43" s="384">
        <v>23276.67578125</v>
      </c>
      <c r="I43" s="384">
        <v>0.22500000000000001</v>
      </c>
      <c r="J43" s="384">
        <v>182.00604248046875</v>
      </c>
      <c r="K43" s="405">
        <v>7.8192455694079399E-3</v>
      </c>
      <c r="L43" s="384">
        <v>0</v>
      </c>
      <c r="M43" s="405">
        <v>0</v>
      </c>
      <c r="N43" s="384">
        <v>182.00604248046875</v>
      </c>
      <c r="O43" s="405">
        <v>7.8192455694079399E-3</v>
      </c>
    </row>
    <row r="44" spans="1:15" x14ac:dyDescent="0.35">
      <c r="A44" s="384" t="s">
        <v>214</v>
      </c>
      <c r="B44" s="384" t="s">
        <v>816</v>
      </c>
      <c r="C44" s="384">
        <v>0</v>
      </c>
      <c r="D44" s="384" t="s">
        <v>914</v>
      </c>
      <c r="E44" s="384">
        <v>4672.5654296875</v>
      </c>
      <c r="F44" s="384">
        <v>586.13226318359375</v>
      </c>
      <c r="G44" s="384">
        <v>4086.432861328125</v>
      </c>
      <c r="H44" s="384">
        <v>26526.419921875</v>
      </c>
      <c r="I44" s="384">
        <v>0.24</v>
      </c>
      <c r="J44" s="384">
        <v>1121.4156494140625</v>
      </c>
      <c r="K44" s="405">
        <v>4.2275425046682358E-2</v>
      </c>
      <c r="L44" s="384">
        <v>980.743896484375</v>
      </c>
      <c r="M44" s="405">
        <v>3.6972343921661377E-2</v>
      </c>
      <c r="N44" s="384">
        <v>140.67173767089844</v>
      </c>
      <c r="O44" s="405">
        <v>5.3030801936984062E-3</v>
      </c>
    </row>
    <row r="45" spans="1:15" x14ac:dyDescent="0.35">
      <c r="A45" s="384" t="s">
        <v>215</v>
      </c>
      <c r="B45" s="384" t="s">
        <v>820</v>
      </c>
      <c r="C45" s="384">
        <v>0</v>
      </c>
      <c r="D45" s="384" t="s">
        <v>914</v>
      </c>
      <c r="E45" s="384">
        <v>1828.3271484375</v>
      </c>
      <c r="F45" s="384">
        <v>495.88406372070312</v>
      </c>
      <c r="G45" s="384">
        <v>1332.443115234375</v>
      </c>
      <c r="H45" s="384">
        <v>22762.86328125</v>
      </c>
      <c r="I45" s="384">
        <v>0.3</v>
      </c>
      <c r="J45" s="384">
        <v>548.4981689453125</v>
      </c>
      <c r="K45" s="405">
        <v>2.4096185341477394E-2</v>
      </c>
      <c r="L45" s="384">
        <v>399.73294067382812</v>
      </c>
      <c r="M45" s="405">
        <v>1.7560750246047974E-2</v>
      </c>
      <c r="N45" s="384">
        <v>148.76521301269531</v>
      </c>
      <c r="O45" s="405">
        <v>6.5354350954294205E-3</v>
      </c>
    </row>
    <row r="46" spans="1:15" x14ac:dyDescent="0.35">
      <c r="A46" s="384" t="s">
        <v>216</v>
      </c>
      <c r="B46" s="384" t="s">
        <v>852</v>
      </c>
      <c r="C46" s="384">
        <v>0</v>
      </c>
      <c r="D46" s="384" t="s">
        <v>914</v>
      </c>
      <c r="E46" s="384">
        <v>7716.96630859375</v>
      </c>
      <c r="F46" s="384">
        <v>1733.4918212890625</v>
      </c>
      <c r="G46" s="384">
        <v>5983.474609375</v>
      </c>
      <c r="H46" s="384">
        <v>24212.509765625</v>
      </c>
      <c r="I46" s="384">
        <v>0.2</v>
      </c>
      <c r="J46" s="384">
        <v>1543.393310546875</v>
      </c>
      <c r="K46" s="405">
        <v>6.3743628561496735E-2</v>
      </c>
      <c r="L46" s="384">
        <v>1196.6949462890625</v>
      </c>
      <c r="M46" s="405">
        <v>4.9424655735492706E-2</v>
      </c>
      <c r="N46" s="384">
        <v>346.6983642578125</v>
      </c>
      <c r="O46" s="405">
        <v>1.4318976551294327E-2</v>
      </c>
    </row>
    <row r="47" spans="1:15" x14ac:dyDescent="0.35">
      <c r="A47" s="384" t="s">
        <v>217</v>
      </c>
      <c r="B47" s="384" t="s">
        <v>862</v>
      </c>
      <c r="C47" s="384">
        <v>0</v>
      </c>
      <c r="D47" s="384" t="s">
        <v>914</v>
      </c>
      <c r="E47" s="384">
        <v>881.89801025390625</v>
      </c>
      <c r="F47" s="384">
        <v>167.44783020019531</v>
      </c>
      <c r="G47" s="384">
        <v>714.4501953125</v>
      </c>
      <c r="H47" s="384">
        <v>2619.578125</v>
      </c>
      <c r="I47" s="384">
        <v>0.25</v>
      </c>
      <c r="J47" s="384">
        <v>220.47450256347656</v>
      </c>
      <c r="K47" s="405">
        <v>8.4164127707481384E-2</v>
      </c>
      <c r="L47" s="384">
        <v>178.612548828125</v>
      </c>
      <c r="M47" s="405">
        <v>6.818370521068573E-2</v>
      </c>
      <c r="N47" s="384">
        <v>41.861957550048828</v>
      </c>
      <c r="O47" s="405">
        <v>1.5980418771505356E-2</v>
      </c>
    </row>
    <row r="48" spans="1:15" x14ac:dyDescent="0.35">
      <c r="A48" s="384" t="s">
        <v>218</v>
      </c>
      <c r="B48" s="384" t="s">
        <v>916</v>
      </c>
      <c r="C48" s="384">
        <v>0</v>
      </c>
      <c r="D48" s="384" t="s">
        <v>714</v>
      </c>
      <c r="E48" s="384">
        <v>956049.8125</v>
      </c>
      <c r="F48" s="384">
        <v>459338.71875</v>
      </c>
      <c r="G48" s="384">
        <v>496711.0625</v>
      </c>
      <c r="H48" s="384">
        <v>0</v>
      </c>
      <c r="I48" s="384">
        <v>0</v>
      </c>
      <c r="J48" s="384">
        <v>6.3300997018814087E-2</v>
      </c>
      <c r="K48" s="405">
        <v>0</v>
      </c>
      <c r="L48" s="384">
        <v>3.3283773809671402E-2</v>
      </c>
      <c r="M48" s="405">
        <v>0</v>
      </c>
      <c r="N48" s="384">
        <v>3.0017223209142685E-2</v>
      </c>
      <c r="O48" s="405">
        <v>0</v>
      </c>
    </row>
    <row r="49" spans="1:15" x14ac:dyDescent="0.35">
      <c r="A49" s="384" t="s">
        <v>219</v>
      </c>
      <c r="B49" s="384" t="s">
        <v>713</v>
      </c>
      <c r="C49" s="384">
        <v>0</v>
      </c>
      <c r="D49" s="384" t="s">
        <v>714</v>
      </c>
      <c r="E49" s="384">
        <v>153960.4375</v>
      </c>
      <c r="F49" s="384">
        <v>19522.041015625</v>
      </c>
      <c r="G49" s="384">
        <v>134438.375</v>
      </c>
      <c r="H49" s="384">
        <v>503395.5625</v>
      </c>
      <c r="I49" s="384">
        <v>0.2379</v>
      </c>
      <c r="J49" s="384">
        <v>36627.1875</v>
      </c>
      <c r="K49" s="405">
        <v>7.2760254144668579E-2</v>
      </c>
      <c r="L49" s="384">
        <v>31982.888671875</v>
      </c>
      <c r="M49" s="405">
        <v>6.353430449962616E-2</v>
      </c>
      <c r="N49" s="384">
        <v>4644.29345703125</v>
      </c>
      <c r="O49" s="405">
        <v>9.2259328812360764E-3</v>
      </c>
    </row>
    <row r="50" spans="1:15" x14ac:dyDescent="0.35">
      <c r="A50" s="384" t="s">
        <v>715</v>
      </c>
      <c r="B50" s="384" t="s">
        <v>716</v>
      </c>
      <c r="C50" s="384">
        <v>0</v>
      </c>
      <c r="D50" s="384" t="s">
        <v>714</v>
      </c>
      <c r="E50" s="384">
        <v>1199847</v>
      </c>
      <c r="F50" s="384">
        <v>569925.5625</v>
      </c>
      <c r="G50" s="384">
        <v>629921.4375</v>
      </c>
      <c r="H50" s="384">
        <v>3487652.5</v>
      </c>
    </row>
  </sheetData>
  <mergeCells count="1">
    <mergeCell ref="A1:O1"/>
  </mergeCells>
  <pageMargins left="0.7" right="0.7" top="0.75" bottom="0.75" header="0.3" footer="0.3"/>
  <pageSetup scale="62" fitToHeight="2" orientation="landscape" horizontalDpi="4294967292" verticalDpi="4294967292"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P10"/>
  <sheetViews>
    <sheetView workbookViewId="0">
      <selection activeCell="B5" sqref="B5"/>
    </sheetView>
  </sheetViews>
  <sheetFormatPr baseColWidth="10" defaultColWidth="8.6640625" defaultRowHeight="15" x14ac:dyDescent="0.2"/>
  <cols>
    <col min="1" max="16384" width="8.6640625" style="77"/>
  </cols>
  <sheetData>
    <row r="1" spans="1:16" x14ac:dyDescent="0.2">
      <c r="A1" s="77" t="s">
        <v>954</v>
      </c>
      <c r="B1" s="78" t="s">
        <v>955</v>
      </c>
      <c r="C1" s="77" t="s">
        <v>601</v>
      </c>
      <c r="D1" s="78" t="s">
        <v>956</v>
      </c>
      <c r="E1" s="77" t="s">
        <v>957</v>
      </c>
      <c r="F1" s="77" t="s">
        <v>958</v>
      </c>
      <c r="G1" s="77" t="s">
        <v>959</v>
      </c>
      <c r="H1" s="77" t="s">
        <v>960</v>
      </c>
      <c r="I1" s="77" t="s">
        <v>961</v>
      </c>
      <c r="J1" s="77" t="s">
        <v>962</v>
      </c>
      <c r="K1" s="77" t="s">
        <v>963</v>
      </c>
      <c r="L1" s="77" t="s">
        <v>964</v>
      </c>
      <c r="M1" s="77" t="s">
        <v>965</v>
      </c>
      <c r="N1" s="77" t="s">
        <v>966</v>
      </c>
      <c r="O1" s="77" t="s">
        <v>967</v>
      </c>
      <c r="P1" s="77" t="s">
        <v>968</v>
      </c>
    </row>
    <row r="2" spans="1:16" x14ac:dyDescent="0.2">
      <c r="A2" s="77" t="s">
        <v>969</v>
      </c>
      <c r="B2" s="78" t="s">
        <v>970</v>
      </c>
      <c r="C2" s="77" t="s">
        <v>715</v>
      </c>
      <c r="D2" s="78" t="s">
        <v>716</v>
      </c>
      <c r="E2" s="77">
        <v>15.802938251987564</v>
      </c>
      <c r="F2" s="77">
        <v>15.665791836504388</v>
      </c>
      <c r="G2" s="77">
        <v>16.494416436466278</v>
      </c>
      <c r="H2" s="77">
        <v>16.637102443630265</v>
      </c>
      <c r="I2" s="77">
        <v>16.802408362635443</v>
      </c>
      <c r="J2" s="77">
        <v>17.047442363087278</v>
      </c>
      <c r="K2" s="77">
        <v>17.064440194124401</v>
      </c>
      <c r="L2" s="77">
        <v>16.938735178395316</v>
      </c>
      <c r="M2" s="77">
        <v>17.236719819218727</v>
      </c>
      <c r="N2" s="77">
        <v>17.434189233963973</v>
      </c>
      <c r="O2" s="77">
        <v>18.515699851037414</v>
      </c>
      <c r="P2" s="77" t="s">
        <v>971</v>
      </c>
    </row>
    <row r="3" spans="1:16" x14ac:dyDescent="0.2">
      <c r="B3" s="78"/>
      <c r="D3" s="78"/>
    </row>
    <row r="4" spans="1:16" x14ac:dyDescent="0.2">
      <c r="B4" s="78"/>
      <c r="D4" s="78"/>
    </row>
    <row r="5" spans="1:16" x14ac:dyDescent="0.2">
      <c r="B5" s="78"/>
      <c r="D5" s="78"/>
    </row>
    <row r="6" spans="1:16" x14ac:dyDescent="0.2">
      <c r="A6" s="77" t="s">
        <v>972</v>
      </c>
      <c r="B6" s="78"/>
      <c r="D6" s="78"/>
    </row>
    <row r="7" spans="1:16" x14ac:dyDescent="0.2">
      <c r="A7" s="77" t="s">
        <v>973</v>
      </c>
    </row>
    <row r="9" spans="1:16" x14ac:dyDescent="0.2">
      <c r="A9" s="77" t="s">
        <v>974</v>
      </c>
      <c r="B9" s="77" t="s">
        <v>975</v>
      </c>
      <c r="C9" s="77" t="s">
        <v>976</v>
      </c>
      <c r="D9" s="77" t="s">
        <v>977</v>
      </c>
      <c r="E9" s="77" t="s">
        <v>228</v>
      </c>
      <c r="F9" s="77" t="s">
        <v>978</v>
      </c>
      <c r="G9" s="77" t="s">
        <v>979</v>
      </c>
      <c r="H9" s="77" t="s">
        <v>980</v>
      </c>
      <c r="I9" s="77" t="s">
        <v>981</v>
      </c>
    </row>
    <row r="10" spans="1:16" x14ac:dyDescent="0.2">
      <c r="A10" s="77" t="s">
        <v>970</v>
      </c>
      <c r="B10" s="77" t="s">
        <v>982</v>
      </c>
      <c r="C10" s="77" t="s">
        <v>969</v>
      </c>
      <c r="D10" s="77" t="s">
        <v>983</v>
      </c>
      <c r="E10" s="77" t="s">
        <v>984</v>
      </c>
      <c r="F10" s="77" t="s">
        <v>985</v>
      </c>
      <c r="G10" s="77" t="s">
        <v>986</v>
      </c>
      <c r="H10" s="77" t="s">
        <v>987</v>
      </c>
      <c r="I10" s="77" t="s">
        <v>988</v>
      </c>
    </row>
  </sheetData>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18"/>
  <sheetViews>
    <sheetView zoomScale="86" zoomScaleNormal="100" workbookViewId="0">
      <pane xSplit="2" ySplit="2" topLeftCell="C3" activePane="bottomRight" state="frozen"/>
      <selection pane="topRight" activeCell="B5" sqref="B5"/>
      <selection pane="bottomLeft" activeCell="B5" sqref="B5"/>
      <selection pane="bottomRight" activeCell="J6" sqref="J6"/>
    </sheetView>
  </sheetViews>
  <sheetFormatPr baseColWidth="10" defaultColWidth="12" defaultRowHeight="16" x14ac:dyDescent="0.2"/>
  <cols>
    <col min="1" max="1" width="12" style="336" customWidth="1"/>
    <col min="2" max="2" width="18.83203125" style="336" customWidth="1"/>
    <col min="3" max="16384" width="12" style="336"/>
  </cols>
  <sheetData>
    <row r="1" spans="1:10" x14ac:dyDescent="0.2">
      <c r="C1" s="336" t="s">
        <v>50</v>
      </c>
      <c r="G1" s="336" t="s">
        <v>51</v>
      </c>
    </row>
    <row r="2" spans="1:10" s="337" customFormat="1" ht="51" x14ac:dyDescent="0.2">
      <c r="C2" s="338" t="s">
        <v>52</v>
      </c>
      <c r="D2" s="338" t="s">
        <v>53</v>
      </c>
      <c r="E2" s="338" t="s">
        <v>54</v>
      </c>
      <c r="H2" s="337" t="s">
        <v>55</v>
      </c>
      <c r="I2" s="337" t="s">
        <v>56</v>
      </c>
      <c r="J2" s="337" t="s">
        <v>57</v>
      </c>
    </row>
    <row r="3" spans="1:10" s="337" customFormat="1" ht="17" x14ac:dyDescent="0.2">
      <c r="A3" s="337" t="str">
        <f>+B3</f>
        <v>Puerto Rico</v>
      </c>
      <c r="B3" s="339" t="s">
        <v>58</v>
      </c>
      <c r="C3" s="340">
        <v>0.47996308817683037</v>
      </c>
      <c r="D3" s="340">
        <v>16.745534629218685</v>
      </c>
      <c r="E3" s="340">
        <v>0.36081676937669838</v>
      </c>
      <c r="G3" s="337" t="s">
        <v>58</v>
      </c>
      <c r="H3" s="341">
        <v>0.49546158313751221</v>
      </c>
      <c r="I3" s="341">
        <v>14.745115280151367</v>
      </c>
      <c r="J3" s="311">
        <v>33.141658782958984</v>
      </c>
    </row>
    <row r="4" spans="1:10" x14ac:dyDescent="0.2">
      <c r="A4" s="336" t="str">
        <f t="shared" ref="A4:A10" si="0">B4</f>
        <v>Ireland</v>
      </c>
      <c r="B4" s="339" t="s">
        <v>59</v>
      </c>
      <c r="C4" s="340">
        <v>0.68416351867003244</v>
      </c>
      <c r="D4" s="340">
        <v>7.9996490577609283</v>
      </c>
      <c r="E4" s="340">
        <v>0.36081676937669838</v>
      </c>
      <c r="G4" s="336" t="s">
        <v>59</v>
      </c>
      <c r="H4" s="341">
        <v>0.70660412311553955</v>
      </c>
      <c r="I4" s="341">
        <v>6.6655206680297852</v>
      </c>
      <c r="J4" s="311">
        <v>183.83470153808594</v>
      </c>
    </row>
    <row r="5" spans="1:10" x14ac:dyDescent="0.2">
      <c r="A5" s="336" t="str">
        <f t="shared" si="0"/>
        <v>Luxembourg</v>
      </c>
      <c r="B5" s="339" t="s">
        <v>60</v>
      </c>
      <c r="C5" s="340">
        <v>0.40461450275815142</v>
      </c>
      <c r="D5" s="340">
        <v>4.6076539817790847</v>
      </c>
      <c r="E5" s="340">
        <v>0.36081676937669838</v>
      </c>
      <c r="G5" s="336" t="s">
        <v>60</v>
      </c>
      <c r="H5" s="341">
        <v>-6.7121095955371857E-2</v>
      </c>
      <c r="I5" s="341">
        <v>5.7087173461914062</v>
      </c>
      <c r="J5" s="311">
        <v>97.495506286621094</v>
      </c>
    </row>
    <row r="6" spans="1:10" x14ac:dyDescent="0.2">
      <c r="A6" s="336" t="str">
        <f t="shared" si="0"/>
        <v>Switzerland</v>
      </c>
      <c r="B6" s="336" t="s">
        <v>61</v>
      </c>
      <c r="C6" s="342">
        <v>0.11438915202699569</v>
      </c>
      <c r="D6" s="342">
        <v>3.1934639833073937</v>
      </c>
      <c r="E6" s="340">
        <v>0.36081676937669838</v>
      </c>
      <c r="G6" s="336" t="s">
        <v>62</v>
      </c>
      <c r="H6" s="341">
        <v>0.49546158313751221</v>
      </c>
      <c r="I6" s="341">
        <v>3.1629881858825684</v>
      </c>
      <c r="J6" s="311">
        <v>132.35733032226562</v>
      </c>
    </row>
    <row r="7" spans="1:10" x14ac:dyDescent="0.2">
      <c r="A7" s="336" t="str">
        <f t="shared" si="0"/>
        <v>Singapore</v>
      </c>
      <c r="B7" s="339" t="s">
        <v>62</v>
      </c>
      <c r="C7" s="340">
        <v>0.47996308817683037</v>
      </c>
      <c r="D7" s="340">
        <v>2.1814755318098822</v>
      </c>
      <c r="E7" s="340">
        <v>0.36081676937669838</v>
      </c>
      <c r="G7" s="336" t="s">
        <v>63</v>
      </c>
      <c r="H7" s="341">
        <v>0.49546158313751221</v>
      </c>
      <c r="I7" s="341">
        <v>3.0346629619598389</v>
      </c>
      <c r="J7" s="311">
        <v>94.981979370117188</v>
      </c>
    </row>
    <row r="8" spans="1:10" x14ac:dyDescent="0.2">
      <c r="A8" s="336" t="str">
        <f t="shared" si="0"/>
        <v>Hong Kong</v>
      </c>
      <c r="B8" s="339" t="s">
        <v>63</v>
      </c>
      <c r="C8" s="340">
        <v>0.47996308817683037</v>
      </c>
      <c r="D8" s="340">
        <v>2.1348906384735855</v>
      </c>
      <c r="E8" s="340">
        <v>0.36081676937669838</v>
      </c>
      <c r="G8" s="336" t="s">
        <v>64</v>
      </c>
      <c r="H8" s="341">
        <v>0.38709536194801331</v>
      </c>
      <c r="I8" s="341">
        <v>2.0186409950256348</v>
      </c>
      <c r="J8" s="311">
        <v>164.25357055664062</v>
      </c>
    </row>
    <row r="9" spans="1:10" x14ac:dyDescent="0.2">
      <c r="A9" s="336" t="str">
        <f t="shared" si="0"/>
        <v>Netherlands</v>
      </c>
      <c r="B9" s="339" t="s">
        <v>64</v>
      </c>
      <c r="C9" s="340">
        <v>0.41153378760859277</v>
      </c>
      <c r="D9" s="340">
        <v>1.1495705968665206</v>
      </c>
      <c r="E9" s="340">
        <v>0.36081676937669838</v>
      </c>
      <c r="G9" s="336" t="s">
        <v>61</v>
      </c>
      <c r="H9" s="341">
        <v>-2.9831655323505402E-2</v>
      </c>
      <c r="I9" s="341">
        <v>2.0111763477325439</v>
      </c>
      <c r="J9" s="311">
        <v>103.00428771972656</v>
      </c>
    </row>
    <row r="10" spans="1:10" x14ac:dyDescent="0.2">
      <c r="A10" s="336" t="str">
        <f t="shared" si="0"/>
        <v>Belgium</v>
      </c>
      <c r="B10" s="339" t="s">
        <v>65</v>
      </c>
      <c r="C10" s="343">
        <v>0.4031489417707429</v>
      </c>
      <c r="D10" s="343">
        <v>0.67980103327038299</v>
      </c>
      <c r="E10" s="340">
        <v>0.36081676937669838</v>
      </c>
      <c r="G10" s="336" t="s">
        <v>65</v>
      </c>
      <c r="H10" s="341">
        <v>0.26076745986938477</v>
      </c>
      <c r="I10" s="341">
        <v>0.87842172384262085</v>
      </c>
      <c r="J10" s="311">
        <v>33.442207336425781</v>
      </c>
    </row>
    <row r="11" spans="1:10" x14ac:dyDescent="0.2">
      <c r="A11" s="336" t="s">
        <v>66</v>
      </c>
      <c r="B11" s="339" t="s">
        <v>67</v>
      </c>
      <c r="C11" s="344">
        <v>0.3159171001923794</v>
      </c>
      <c r="D11" s="344">
        <v>0.28343272646330486</v>
      </c>
      <c r="E11" s="340">
        <v>0.36081676937669838</v>
      </c>
      <c r="G11" s="336" t="s">
        <v>68</v>
      </c>
      <c r="H11" s="341">
        <v>1.0335067510604858</v>
      </c>
      <c r="I11" s="341">
        <v>0.73481583595275879</v>
      </c>
      <c r="J11" s="311">
        <v>0</v>
      </c>
    </row>
    <row r="12" spans="1:10" x14ac:dyDescent="0.2">
      <c r="A12" s="336" t="str">
        <f>B12</f>
        <v>Australia</v>
      </c>
      <c r="B12" s="339" t="s">
        <v>68</v>
      </c>
      <c r="C12" s="344">
        <v>0.38244922547378107</v>
      </c>
      <c r="D12" s="344">
        <v>0.27383940346897767</v>
      </c>
      <c r="E12" s="340">
        <v>0.36081676937669838</v>
      </c>
      <c r="G12" s="336" t="s">
        <v>67</v>
      </c>
      <c r="H12" s="341">
        <v>0.33218008279800415</v>
      </c>
      <c r="I12" s="341">
        <v>0.45955154299736023</v>
      </c>
      <c r="J12" s="311">
        <v>0</v>
      </c>
    </row>
    <row r="13" spans="1:10" x14ac:dyDescent="0.2">
      <c r="A13" s="336" t="s">
        <v>69</v>
      </c>
      <c r="B13" s="339" t="s">
        <v>70</v>
      </c>
      <c r="C13" s="345">
        <v>0.48210280844721259</v>
      </c>
      <c r="D13" s="345">
        <v>0.25723407405999843</v>
      </c>
      <c r="E13" s="340">
        <v>0.36081676937669838</v>
      </c>
      <c r="G13" s="336" t="s">
        <v>71</v>
      </c>
      <c r="H13" s="341">
        <v>0.14355485141277313</v>
      </c>
      <c r="I13" s="341">
        <v>0.42066633701324463</v>
      </c>
      <c r="J13" s="311">
        <v>0</v>
      </c>
    </row>
    <row r="14" spans="1:10" x14ac:dyDescent="0.2">
      <c r="A14" s="336" t="str">
        <f>B14</f>
        <v>Spain</v>
      </c>
      <c r="B14" s="339" t="s">
        <v>72</v>
      </c>
      <c r="C14" s="345">
        <v>0.44755015816737814</v>
      </c>
      <c r="D14" s="345">
        <v>0.24643753940062663</v>
      </c>
      <c r="E14" s="340">
        <v>0.36081676937669838</v>
      </c>
      <c r="G14" s="336" t="s">
        <v>70</v>
      </c>
      <c r="H14" s="341">
        <v>0.35812658071517944</v>
      </c>
      <c r="I14" s="341">
        <v>0.33046984672546387</v>
      </c>
      <c r="J14" s="311">
        <v>0</v>
      </c>
    </row>
    <row r="15" spans="1:10" ht="17" x14ac:dyDescent="0.2">
      <c r="A15" s="336" t="str">
        <f>B15</f>
        <v>Japan</v>
      </c>
      <c r="B15" s="337" t="s">
        <v>73</v>
      </c>
      <c r="C15" s="345">
        <v>0.43664443770241151</v>
      </c>
      <c r="D15" s="345">
        <v>0.23732566147384185</v>
      </c>
      <c r="E15" s="340">
        <v>0.36081676937669838</v>
      </c>
      <c r="G15" s="336" t="s">
        <v>72</v>
      </c>
      <c r="H15" s="341">
        <v>0.39120540022850037</v>
      </c>
      <c r="I15" s="341">
        <v>0.28150844573974609</v>
      </c>
      <c r="J15" s="311">
        <v>0</v>
      </c>
    </row>
    <row r="16" spans="1:10" x14ac:dyDescent="0.2">
      <c r="A16" s="336" t="str">
        <f>B16</f>
        <v>France</v>
      </c>
      <c r="B16" s="339" t="s">
        <v>71</v>
      </c>
      <c r="C16" s="344">
        <v>0.2171009289647885</v>
      </c>
      <c r="D16" s="344">
        <v>0.2071972615008727</v>
      </c>
      <c r="E16" s="340">
        <v>0.36081676937669838</v>
      </c>
      <c r="G16" s="336" t="s">
        <v>74</v>
      </c>
      <c r="H16" s="341">
        <v>0.64340311288833618</v>
      </c>
      <c r="I16" s="341">
        <v>0.18602465093135834</v>
      </c>
      <c r="J16" s="311">
        <v>0</v>
      </c>
    </row>
    <row r="17" spans="1:10" x14ac:dyDescent="0.2">
      <c r="A17" s="336" t="str">
        <f>B17</f>
        <v>Germany</v>
      </c>
      <c r="B17" s="339" t="s">
        <v>75</v>
      </c>
      <c r="C17" s="340">
        <v>0.51589201053413136</v>
      </c>
      <c r="D17" s="340">
        <v>0.18304850872360104</v>
      </c>
      <c r="E17" s="340">
        <v>0.36081676937669838</v>
      </c>
      <c r="G17" s="336" t="s">
        <v>75</v>
      </c>
      <c r="H17" s="341">
        <v>0.40578356385231018</v>
      </c>
      <c r="I17" s="341">
        <v>8.2017242908477783E-2</v>
      </c>
      <c r="J17" s="311">
        <v>0</v>
      </c>
    </row>
    <row r="18" spans="1:10" x14ac:dyDescent="0.2">
      <c r="A18" s="336" t="str">
        <f>B18</f>
        <v>Italy</v>
      </c>
      <c r="B18" s="339" t="s">
        <v>74</v>
      </c>
      <c r="C18" s="344">
        <v>0.48415758018996907</v>
      </c>
      <c r="D18" s="344">
        <v>0.16233602672515596</v>
      </c>
      <c r="E18" s="340">
        <v>0.36081676937669838</v>
      </c>
    </row>
  </sheetData>
  <sortState xmlns:xlrd2="http://schemas.microsoft.com/office/spreadsheetml/2017/richdata2" ref="G3:J17">
    <sortCondition descending="1" ref="I3:I17"/>
  </sortState>
  <pageMargins left="0.75" right="0.75" top="1" bottom="1" header="0.5" footer="0.5"/>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J21"/>
  <sheetViews>
    <sheetView zoomScale="66" workbookViewId="0">
      <selection activeCell="L15" sqref="L15"/>
    </sheetView>
  </sheetViews>
  <sheetFormatPr baseColWidth="10" defaultColWidth="8.83203125" defaultRowHeight="16" x14ac:dyDescent="0.2"/>
  <cols>
    <col min="1" max="1" width="8.83203125" style="307"/>
    <col min="2" max="2" width="15.83203125" style="307" bestFit="1" customWidth="1"/>
    <col min="3" max="5" width="16.5" style="307" customWidth="1"/>
    <col min="6" max="16384" width="8.83203125" style="307"/>
  </cols>
  <sheetData>
    <row r="1" spans="2:10" ht="17" thickBot="1" x14ac:dyDescent="0.25"/>
    <row r="2" spans="2:10" ht="21" thickTop="1" x14ac:dyDescent="0.2">
      <c r="C2" s="547" t="s">
        <v>76</v>
      </c>
      <c r="D2" s="547"/>
      <c r="E2" s="547"/>
    </row>
    <row r="3" spans="2:10" ht="42" x14ac:dyDescent="0.2">
      <c r="C3" s="308">
        <v>2015</v>
      </c>
      <c r="D3" s="308">
        <v>2023</v>
      </c>
      <c r="E3" s="308" t="s">
        <v>77</v>
      </c>
      <c r="F3" s="307" t="s">
        <v>78</v>
      </c>
      <c r="G3" s="307" t="s">
        <v>79</v>
      </c>
    </row>
    <row r="4" spans="2:10" ht="20" x14ac:dyDescent="0.25">
      <c r="B4" s="346" t="s">
        <v>75</v>
      </c>
      <c r="C4" s="347">
        <v>0.27916595513803488</v>
      </c>
      <c r="D4" s="347">
        <v>0.33520799875259399</v>
      </c>
      <c r="E4" s="347">
        <f t="shared" ref="E4:E20" si="0">D4-C4</f>
        <v>5.6042043614559112E-2</v>
      </c>
      <c r="F4" s="473">
        <f>+Table1!$K$18</f>
        <v>7.6224908298991118E-2</v>
      </c>
      <c r="G4" s="473">
        <f>+Table1!$C$18</f>
        <v>8.4216532033426189E-2</v>
      </c>
      <c r="H4" s="346"/>
      <c r="I4" s="346"/>
      <c r="J4" s="346"/>
    </row>
    <row r="5" spans="2:10" ht="20" x14ac:dyDescent="0.25">
      <c r="B5" s="346" t="s">
        <v>71</v>
      </c>
      <c r="C5" s="347">
        <v>0.20997996704769475</v>
      </c>
      <c r="D5" s="347">
        <v>0.24758236110210419</v>
      </c>
      <c r="E5" s="347">
        <f t="shared" si="0"/>
        <v>3.7602394054409433E-2</v>
      </c>
      <c r="F5" s="473">
        <f>+Table1!$K$18</f>
        <v>7.6224908298991118E-2</v>
      </c>
      <c r="G5" s="473">
        <f>+Table1!$C$18</f>
        <v>8.4216532033426189E-2</v>
      </c>
      <c r="H5" s="346"/>
      <c r="I5" s="346"/>
      <c r="J5" s="346"/>
    </row>
    <row r="6" spans="2:10" ht="20" x14ac:dyDescent="0.25">
      <c r="B6" s="346" t="s">
        <v>74</v>
      </c>
      <c r="C6" s="347">
        <v>0.19118227241411057</v>
      </c>
      <c r="D6" s="347">
        <v>0.15602707862854004</v>
      </c>
      <c r="E6" s="347">
        <f t="shared" si="0"/>
        <v>-3.5155193785570527E-2</v>
      </c>
      <c r="F6" s="473">
        <f>+Table1!$K$18</f>
        <v>7.6224908298991118E-2</v>
      </c>
      <c r="G6" s="473">
        <f>+Table1!$C$18</f>
        <v>8.4216532033426189E-2</v>
      </c>
      <c r="H6" s="346"/>
      <c r="I6" s="346"/>
      <c r="J6" s="346"/>
    </row>
    <row r="7" spans="2:10" ht="20" x14ac:dyDescent="0.25">
      <c r="B7" s="346" t="s">
        <v>69</v>
      </c>
      <c r="C7" s="347">
        <v>0.17523172069902965</v>
      </c>
      <c r="D7" s="347">
        <v>0.22605521976947784</v>
      </c>
      <c r="E7" s="347">
        <f t="shared" si="0"/>
        <v>5.0823499070448197E-2</v>
      </c>
      <c r="F7" s="473">
        <f>+Table1!$K$18</f>
        <v>7.6224908298991118E-2</v>
      </c>
      <c r="G7" s="473">
        <f>+Table1!$C$18</f>
        <v>8.4216532033426189E-2</v>
      </c>
      <c r="H7" s="346"/>
      <c r="I7" s="346"/>
      <c r="J7" s="346"/>
    </row>
    <row r="8" spans="2:10" ht="20" x14ac:dyDescent="0.25">
      <c r="B8" s="346" t="s">
        <v>72</v>
      </c>
      <c r="C8" s="347">
        <v>0.14169566205750209</v>
      </c>
      <c r="D8" s="347">
        <v>0.12364050000905991</v>
      </c>
      <c r="E8" s="347">
        <f t="shared" si="0"/>
        <v>-1.805516204844218E-2</v>
      </c>
      <c r="F8" s="473">
        <f>+Table1!$K$18</f>
        <v>7.6224908298991118E-2</v>
      </c>
      <c r="G8" s="473">
        <f>+Table1!$C$18</f>
        <v>8.4216532033426189E-2</v>
      </c>
      <c r="H8" s="346"/>
      <c r="I8" s="346"/>
      <c r="J8" s="346"/>
    </row>
    <row r="9" spans="2:10" ht="20" x14ac:dyDescent="0.25">
      <c r="B9" s="346" t="s">
        <v>80</v>
      </c>
      <c r="C9" s="347">
        <v>0.14080811485538131</v>
      </c>
      <c r="D9" s="347">
        <v>7.4536189436912537E-2</v>
      </c>
      <c r="E9" s="347">
        <f t="shared" si="0"/>
        <v>-6.6271925418468769E-2</v>
      </c>
      <c r="F9" s="473">
        <f>+Table1!$K$18</f>
        <v>7.6224908298991118E-2</v>
      </c>
      <c r="G9" s="473">
        <f>+Table1!$C$18</f>
        <v>8.4216532033426189E-2</v>
      </c>
      <c r="H9" s="346"/>
      <c r="I9" s="346"/>
      <c r="J9" s="346"/>
    </row>
    <row r="10" spans="2:10" ht="20" x14ac:dyDescent="0.25">
      <c r="B10" s="346" t="s">
        <v>81</v>
      </c>
      <c r="C10" s="347">
        <v>0.10509727731973387</v>
      </c>
      <c r="D10" s="347">
        <v>7.6753728091716766E-2</v>
      </c>
      <c r="E10" s="347">
        <f t="shared" si="0"/>
        <v>-2.8343549228017101E-2</v>
      </c>
      <c r="F10" s="473">
        <f>+Table1!$K$18</f>
        <v>7.6224908298991118E-2</v>
      </c>
      <c r="G10" s="473">
        <f>+Table1!$C$18</f>
        <v>8.4216532033426189E-2</v>
      </c>
      <c r="H10" s="346"/>
      <c r="I10" s="346"/>
      <c r="J10" s="346"/>
    </row>
    <row r="11" spans="2:10" ht="20" x14ac:dyDescent="0.25">
      <c r="B11" s="346" t="s">
        <v>82</v>
      </c>
      <c r="C11" s="347">
        <v>0.10131006286761744</v>
      </c>
      <c r="D11" s="347">
        <v>5.887187272310257E-2</v>
      </c>
      <c r="E11" s="347">
        <f t="shared" si="0"/>
        <v>-4.2438190144514873E-2</v>
      </c>
      <c r="F11" s="473">
        <f>+Table1!$K$18</f>
        <v>7.6224908298991118E-2</v>
      </c>
      <c r="G11" s="473">
        <f>+Table1!$C$18</f>
        <v>8.4216532033426189E-2</v>
      </c>
      <c r="H11" s="346"/>
      <c r="I11" s="346"/>
      <c r="J11" s="346"/>
    </row>
    <row r="12" spans="2:10" ht="20" x14ac:dyDescent="0.25">
      <c r="B12" s="346" t="s">
        <v>83</v>
      </c>
      <c r="C12" s="347">
        <v>9.0271246129663765E-2</v>
      </c>
      <c r="D12" s="347">
        <v>0.10257255285978317</v>
      </c>
      <c r="E12" s="347">
        <f t="shared" si="0"/>
        <v>1.2301306730119407E-2</v>
      </c>
      <c r="F12" s="473">
        <f>+Table1!$K$18</f>
        <v>7.6224908298991118E-2</v>
      </c>
      <c r="G12" s="473">
        <f>+Table1!$C$18</f>
        <v>8.4216532033426189E-2</v>
      </c>
      <c r="H12" s="346"/>
      <c r="I12" s="346"/>
      <c r="J12" s="346"/>
    </row>
    <row r="13" spans="2:10" ht="20" x14ac:dyDescent="0.25">
      <c r="B13" s="346" t="s">
        <v>84</v>
      </c>
      <c r="C13" s="347">
        <v>8.7746373397239688E-2</v>
      </c>
      <c r="D13" s="347">
        <v>3.7710230797529221E-2</v>
      </c>
      <c r="E13" s="347">
        <f t="shared" si="0"/>
        <v>-5.0036142599710468E-2</v>
      </c>
      <c r="F13" s="473">
        <f>+Table1!$K$18</f>
        <v>7.6224908298991118E-2</v>
      </c>
      <c r="G13" s="473">
        <f>+Table1!$C$18</f>
        <v>8.4216532033426189E-2</v>
      </c>
      <c r="H13" s="346"/>
      <c r="I13" s="346"/>
      <c r="J13" s="346"/>
    </row>
    <row r="14" spans="2:10" ht="20" x14ac:dyDescent="0.25">
      <c r="B14" s="346" t="s">
        <v>85</v>
      </c>
      <c r="C14" s="347">
        <v>8.1066999260363509E-2</v>
      </c>
      <c r="D14" s="347">
        <v>4.3533213436603546E-2</v>
      </c>
      <c r="E14" s="347">
        <f t="shared" si="0"/>
        <v>-3.7533785823759963E-2</v>
      </c>
      <c r="F14" s="473">
        <f>+Table1!$K$18</f>
        <v>7.6224908298991118E-2</v>
      </c>
      <c r="G14" s="473">
        <f>+Table1!$C$18</f>
        <v>8.4216532033426189E-2</v>
      </c>
      <c r="H14" s="346"/>
      <c r="I14" s="346"/>
      <c r="J14" s="346"/>
    </row>
    <row r="15" spans="2:10" ht="20" x14ac:dyDescent="0.25">
      <c r="B15" s="346" t="s">
        <v>86</v>
      </c>
      <c r="C15" s="347">
        <v>6.0818162944512984E-2</v>
      </c>
      <c r="D15" s="347">
        <v>9.3509286642074585E-2</v>
      </c>
      <c r="E15" s="347">
        <f t="shared" si="0"/>
        <v>3.2691123697561601E-2</v>
      </c>
      <c r="F15" s="473">
        <f>+Table1!$K$18</f>
        <v>7.6224908298991118E-2</v>
      </c>
      <c r="G15" s="473">
        <f>+Table1!$C$18</f>
        <v>8.4216532033426189E-2</v>
      </c>
      <c r="H15" s="346"/>
      <c r="I15" s="346"/>
      <c r="J15" s="346"/>
    </row>
    <row r="16" spans="2:10" ht="20" x14ac:dyDescent="0.25">
      <c r="B16" s="346" t="s">
        <v>68</v>
      </c>
      <c r="C16" s="347">
        <v>7.3234785047652198E-2</v>
      </c>
      <c r="D16" s="347">
        <v>6.5176770091056824E-2</v>
      </c>
      <c r="E16" s="347">
        <f t="shared" si="0"/>
        <v>-8.0580149565953746E-3</v>
      </c>
      <c r="F16" s="473">
        <f>+Table1!$K$18</f>
        <v>7.6224908298991118E-2</v>
      </c>
      <c r="G16" s="473">
        <f>+Table1!$C$18</f>
        <v>8.4216532033426189E-2</v>
      </c>
      <c r="H16" s="346"/>
      <c r="I16" s="346"/>
      <c r="J16" s="346"/>
    </row>
    <row r="17" spans="2:10" ht="20" x14ac:dyDescent="0.25">
      <c r="B17" s="346" t="s">
        <v>87</v>
      </c>
      <c r="C17" s="347">
        <v>5.640790843651218E-2</v>
      </c>
      <c r="D17" s="347">
        <v>0</v>
      </c>
      <c r="E17" s="347">
        <f t="shared" si="0"/>
        <v>-5.640790843651218E-2</v>
      </c>
      <c r="F17" s="473">
        <f>+Table1!$K$18</f>
        <v>7.6224908298991118E-2</v>
      </c>
      <c r="G17" s="473">
        <f>+Table1!$C$18</f>
        <v>8.4216532033426189E-2</v>
      </c>
      <c r="H17" s="346"/>
      <c r="I17" s="346"/>
      <c r="J17" s="346"/>
    </row>
    <row r="18" spans="2:10" ht="20" x14ac:dyDescent="0.25">
      <c r="B18" s="346" t="s">
        <v>88</v>
      </c>
      <c r="C18" s="347">
        <v>3.5861224922702772E-2</v>
      </c>
      <c r="D18" s="347">
        <v>2.8251226991415024E-2</v>
      </c>
      <c r="E18" s="347">
        <f t="shared" si="0"/>
        <v>-7.6099979312877486E-3</v>
      </c>
      <c r="F18" s="473">
        <f>+Table1!$K$18</f>
        <v>7.6224908298991118E-2</v>
      </c>
      <c r="G18" s="473">
        <f>+Table1!$C$18</f>
        <v>8.4216532033426189E-2</v>
      </c>
      <c r="H18" s="346"/>
      <c r="I18" s="346"/>
      <c r="J18" s="346"/>
    </row>
    <row r="19" spans="2:10" ht="20" x14ac:dyDescent="0.25">
      <c r="B19" s="346" t="s">
        <v>89</v>
      </c>
      <c r="C19" s="347">
        <v>2.5672298890945015E-2</v>
      </c>
      <c r="D19" s="347">
        <v>3.3351555466651917E-2</v>
      </c>
      <c r="E19" s="347">
        <f t="shared" si="0"/>
        <v>7.6792565757069012E-3</v>
      </c>
      <c r="F19" s="473">
        <f>+Table1!$K$18</f>
        <v>7.6224908298991118E-2</v>
      </c>
      <c r="G19" s="473">
        <f>+Table1!$C$18</f>
        <v>8.4216532033426189E-2</v>
      </c>
      <c r="H19" s="346"/>
      <c r="I19" s="346"/>
      <c r="J19" s="346"/>
    </row>
    <row r="20" spans="2:10" ht="20" x14ac:dyDescent="0.25">
      <c r="B20" s="346" t="s">
        <v>73</v>
      </c>
      <c r="C20" s="347">
        <v>1.7437633144078594E-2</v>
      </c>
      <c r="D20" s="347">
        <v>2.3224834352731705E-2</v>
      </c>
      <c r="E20" s="347">
        <f t="shared" si="0"/>
        <v>5.7872012086531109E-3</v>
      </c>
      <c r="F20" s="473">
        <f>+Table1!$K$18</f>
        <v>7.6224908298991118E-2</v>
      </c>
      <c r="G20" s="473">
        <f>+Table1!$C$18</f>
        <v>8.4216532033426189E-2</v>
      </c>
      <c r="H20" s="346"/>
      <c r="I20" s="346"/>
      <c r="J20" s="346"/>
    </row>
    <row r="21" spans="2:10" ht="20" x14ac:dyDescent="0.25">
      <c r="H21" s="346"/>
      <c r="I21" s="346"/>
      <c r="J21" s="346"/>
    </row>
  </sheetData>
  <autoFilter ref="B3:F21" xr:uid="{00000000-0009-0000-0000-000008000000}">
    <sortState xmlns:xlrd2="http://schemas.microsoft.com/office/spreadsheetml/2017/richdata2" ref="B4:F21">
      <sortCondition descending="1" ref="C3:C21"/>
    </sortState>
  </autoFilter>
  <sortState xmlns:xlrd2="http://schemas.microsoft.com/office/spreadsheetml/2017/richdata2" ref="B4:G20">
    <sortCondition descending="1" ref="D4:D20"/>
  </sortState>
  <mergeCells count="1">
    <mergeCell ref="C2:E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T68"/>
  <sheetViews>
    <sheetView zoomScale="65" zoomScaleNormal="87" workbookViewId="0">
      <pane xSplit="1" ySplit="4" topLeftCell="B41" activePane="bottomRight" state="frozen"/>
      <selection pane="topRight" activeCell="D1" sqref="D1"/>
      <selection pane="bottomLeft" activeCell="A4" sqref="A4"/>
      <selection pane="bottomRight" activeCell="AK55" sqref="AK55"/>
    </sheetView>
  </sheetViews>
  <sheetFormatPr baseColWidth="10" defaultColWidth="8.6640625" defaultRowHeight="16" x14ac:dyDescent="0.2"/>
  <cols>
    <col min="1" max="1" width="8.6640625" style="77"/>
    <col min="2" max="3" width="13.83203125" style="309" customWidth="1"/>
    <col min="4" max="4" width="8.6640625" style="77"/>
    <col min="5" max="5" width="10" style="77" bestFit="1" customWidth="1"/>
    <col min="6" max="6" width="8.6640625" style="77"/>
    <col min="7" max="8" width="13.83203125" style="309" customWidth="1"/>
    <col min="9" max="15" width="8.6640625" style="77"/>
    <col min="16" max="18" width="8.6640625" style="309"/>
    <col min="19" max="24" width="8.6640625" style="77"/>
    <col min="25" max="25" width="8.6640625" style="309"/>
    <col min="26" max="26" width="8.6640625" style="77"/>
    <col min="27" max="27" width="8.6640625" style="309"/>
    <col min="28" max="29" width="8.6640625" style="77"/>
    <col min="31" max="34" width="8.6640625" style="77"/>
    <col min="35" max="37" width="8.6640625" style="309"/>
    <col min="38" max="40" width="8.6640625" style="77"/>
    <col min="41" max="41" width="9.33203125" style="77" bestFit="1" customWidth="1"/>
    <col min="42" max="60" width="8.6640625" style="77"/>
    <col min="61" max="62" width="8.6640625" style="309"/>
    <col min="63" max="16384" width="8.6640625" style="77"/>
  </cols>
  <sheetData>
    <row r="1" spans="1:72" x14ac:dyDescent="0.2">
      <c r="B1" s="310" t="s">
        <v>90</v>
      </c>
      <c r="L1" s="429" t="s">
        <v>91</v>
      </c>
      <c r="O1" s="429"/>
      <c r="P1" s="310"/>
      <c r="V1" s="429" t="s">
        <v>92</v>
      </c>
      <c r="AE1" s="429" t="s">
        <v>93</v>
      </c>
      <c r="AO1" s="429" t="s">
        <v>94</v>
      </c>
      <c r="AV1" s="429" t="s">
        <v>95</v>
      </c>
      <c r="BI1" s="310" t="s">
        <v>96</v>
      </c>
    </row>
    <row r="2" spans="1:72" x14ac:dyDescent="0.2">
      <c r="B2" s="309" t="s">
        <v>97</v>
      </c>
      <c r="L2" s="429"/>
      <c r="O2" s="491"/>
      <c r="P2" s="310"/>
      <c r="V2" s="429"/>
      <c r="AE2" s="491" t="s">
        <v>98</v>
      </c>
      <c r="AO2" s="491" t="s">
        <v>99</v>
      </c>
      <c r="BT2" s="429"/>
    </row>
    <row r="3" spans="1:72" s="430" customFormat="1" ht="136" x14ac:dyDescent="0.2">
      <c r="B3" s="313" t="s">
        <v>42</v>
      </c>
      <c r="C3" s="312" t="s">
        <v>100</v>
      </c>
      <c r="D3" s="431" t="s">
        <v>101</v>
      </c>
      <c r="E3" s="492" t="s">
        <v>102</v>
      </c>
      <c r="F3" s="492" t="s">
        <v>103</v>
      </c>
      <c r="G3" s="312" t="s">
        <v>104</v>
      </c>
      <c r="H3" s="312" t="s">
        <v>105</v>
      </c>
      <c r="I3" s="492" t="s">
        <v>106</v>
      </c>
      <c r="J3" s="492" t="s">
        <v>107</v>
      </c>
      <c r="K3" s="431"/>
      <c r="L3" s="431" t="s">
        <v>108</v>
      </c>
      <c r="M3" s="492" t="s">
        <v>109</v>
      </c>
      <c r="N3" s="431" t="s">
        <v>110</v>
      </c>
      <c r="O3" s="431" t="s">
        <v>111</v>
      </c>
      <c r="P3" s="312" t="s">
        <v>112</v>
      </c>
      <c r="Q3" s="312" t="s">
        <v>113</v>
      </c>
      <c r="R3" s="312" t="s">
        <v>114</v>
      </c>
      <c r="S3" s="492" t="s">
        <v>115</v>
      </c>
      <c r="T3" s="492" t="s">
        <v>116</v>
      </c>
      <c r="V3" s="431" t="s">
        <v>117</v>
      </c>
      <c r="W3" s="432" t="s">
        <v>118</v>
      </c>
      <c r="X3" s="432" t="s">
        <v>58</v>
      </c>
      <c r="Y3" s="312" t="s">
        <v>119</v>
      </c>
      <c r="Z3" s="433" t="s">
        <v>120</v>
      </c>
      <c r="AA3" s="312" t="s">
        <v>121</v>
      </c>
      <c r="AB3" s="431" t="s">
        <v>122</v>
      </c>
      <c r="AC3" s="431" t="s">
        <v>123</v>
      </c>
      <c r="AD3" s="492"/>
      <c r="AE3" s="431" t="s">
        <v>124</v>
      </c>
      <c r="AF3" s="430" t="s">
        <v>125</v>
      </c>
      <c r="AG3" s="492" t="s">
        <v>126</v>
      </c>
      <c r="AH3" s="430" t="s">
        <v>127</v>
      </c>
      <c r="AI3" s="312" t="s">
        <v>128</v>
      </c>
      <c r="AJ3" s="314" t="s">
        <v>129</v>
      </c>
      <c r="AK3" s="312" t="s">
        <v>130</v>
      </c>
      <c r="AL3" s="431" t="s">
        <v>131</v>
      </c>
      <c r="AM3" s="431"/>
      <c r="AN3" s="431"/>
      <c r="AO3" s="492" t="s">
        <v>132</v>
      </c>
      <c r="AP3" s="492" t="s">
        <v>133</v>
      </c>
      <c r="AQ3" s="434" t="s">
        <v>134</v>
      </c>
      <c r="AR3" s="434" t="s">
        <v>135</v>
      </c>
      <c r="AS3" s="434" t="s">
        <v>136</v>
      </c>
      <c r="AT3" s="434" t="s">
        <v>137</v>
      </c>
      <c r="AU3" s="431"/>
      <c r="AV3" s="435" t="s">
        <v>138</v>
      </c>
      <c r="AW3" s="436" t="s">
        <v>133</v>
      </c>
      <c r="AX3" s="436" t="s">
        <v>134</v>
      </c>
      <c r="AY3" s="436" t="s">
        <v>135</v>
      </c>
      <c r="AZ3" s="436" t="s">
        <v>136</v>
      </c>
      <c r="BA3" s="434" t="s">
        <v>139</v>
      </c>
      <c r="BB3" s="436" t="s">
        <v>133</v>
      </c>
      <c r="BC3" s="436" t="s">
        <v>134</v>
      </c>
      <c r="BD3" s="436" t="s">
        <v>135</v>
      </c>
      <c r="BE3" s="436" t="s">
        <v>136</v>
      </c>
      <c r="BF3" s="492" t="s">
        <v>140</v>
      </c>
      <c r="BG3" s="430" t="s">
        <v>141</v>
      </c>
      <c r="BI3" s="312" t="s">
        <v>142</v>
      </c>
      <c r="BJ3" s="312" t="s">
        <v>143</v>
      </c>
      <c r="BK3" s="492" t="s">
        <v>144</v>
      </c>
      <c r="BL3" s="492" t="s">
        <v>145</v>
      </c>
    </row>
    <row r="4" spans="1:72" s="437" customFormat="1" ht="48" customHeight="1" x14ac:dyDescent="0.2">
      <c r="B4" s="315" t="s">
        <v>146</v>
      </c>
      <c r="C4" s="315"/>
      <c r="G4" s="315"/>
      <c r="H4" s="315" t="s">
        <v>147</v>
      </c>
      <c r="L4" s="437" t="s">
        <v>148</v>
      </c>
      <c r="O4" s="438"/>
      <c r="P4" s="315" t="s">
        <v>149</v>
      </c>
      <c r="Q4" s="315" t="s">
        <v>150</v>
      </c>
      <c r="R4" s="315" t="s">
        <v>151</v>
      </c>
      <c r="S4" s="437" t="s">
        <v>152</v>
      </c>
      <c r="V4" s="437" t="s">
        <v>153</v>
      </c>
      <c r="W4" s="437" t="s">
        <v>154</v>
      </c>
      <c r="Y4" s="315" t="s">
        <v>155</v>
      </c>
      <c r="Z4" s="439" t="s">
        <v>156</v>
      </c>
      <c r="AA4" s="315"/>
      <c r="AE4" s="440"/>
      <c r="AF4" s="441"/>
      <c r="AG4" s="441" t="s">
        <v>157</v>
      </c>
      <c r="AH4" s="441"/>
      <c r="AI4" s="316" t="s">
        <v>158</v>
      </c>
      <c r="AJ4" s="316" t="s">
        <v>159</v>
      </c>
      <c r="AK4" s="316" t="s">
        <v>160</v>
      </c>
      <c r="AL4" s="440"/>
      <c r="AM4" s="440"/>
      <c r="AN4" s="440"/>
      <c r="AO4" s="442" t="s">
        <v>161</v>
      </c>
      <c r="AP4" s="442" t="s">
        <v>162</v>
      </c>
      <c r="AQ4" s="442" t="s">
        <v>163</v>
      </c>
      <c r="AR4" s="442" t="s">
        <v>164</v>
      </c>
      <c r="AS4" s="442" t="s">
        <v>165</v>
      </c>
      <c r="AT4" s="442"/>
      <c r="AU4" s="440"/>
      <c r="AY4" s="442"/>
      <c r="AZ4" s="442"/>
      <c r="BA4" s="442" t="s">
        <v>166</v>
      </c>
      <c r="BG4" s="441"/>
      <c r="BI4" s="315" t="s">
        <v>167</v>
      </c>
      <c r="BJ4" s="315"/>
    </row>
    <row r="5" spans="1:72" x14ac:dyDescent="0.2">
      <c r="A5" s="77">
        <v>1975</v>
      </c>
      <c r="B5" s="317">
        <v>5128</v>
      </c>
      <c r="C5" s="318">
        <v>742</v>
      </c>
      <c r="D5" s="443">
        <f t="shared" ref="D5:D53" si="0">C5/B5</f>
        <v>0.14469578783151327</v>
      </c>
      <c r="E5" s="444">
        <f t="shared" ref="E5:E44" si="1">J5*C5</f>
        <v>171.40200000000002</v>
      </c>
      <c r="F5" s="444">
        <f t="shared" ref="F5:F53" si="2">C5-E5</f>
        <v>570.59799999999996</v>
      </c>
      <c r="G5" s="319">
        <v>3</v>
      </c>
      <c r="H5" s="318">
        <f t="shared" ref="H5:H44" si="3">H6*AA5/AA6</f>
        <v>27.626734894337034</v>
      </c>
      <c r="I5" s="493">
        <f t="shared" ref="I5:I53" si="4">E5/C5</f>
        <v>0.23100000000000001</v>
      </c>
      <c r="J5" s="493">
        <v>0.23100000000000001</v>
      </c>
      <c r="L5" s="446">
        <f t="shared" ref="L5:L44" si="5">V5+((1-AC5)*H5)/(1-S5)</f>
        <v>77.798552404687484</v>
      </c>
      <c r="M5" s="494">
        <f t="shared" ref="M5:M44" si="6">T5*L5</f>
        <v>50.171817510350444</v>
      </c>
      <c r="N5" s="443">
        <f t="shared" ref="N5:N53" si="7">L5/C5</f>
        <v>0.10484980108448448</v>
      </c>
      <c r="O5" s="443">
        <f t="shared" ref="O5:O53" si="8">H5/F5</f>
        <v>4.8417160407742466E-2</v>
      </c>
      <c r="P5" s="321">
        <v>0.72295059958701624</v>
      </c>
      <c r="Q5" s="321">
        <v>0.72295059958701624</v>
      </c>
      <c r="R5" s="322">
        <v>0.71899326248459061</v>
      </c>
      <c r="S5" s="495">
        <f t="shared" ref="S5:S45" si="9">(J5+R5)/2</f>
        <v>0.4749966312422953</v>
      </c>
      <c r="T5" s="495">
        <f t="shared" ref="T5:T44" si="10">1-H5/L5</f>
        <v>0.6448939724401288</v>
      </c>
      <c r="V5" s="446">
        <f t="shared" ref="V5:V51" si="11">W5+X5</f>
        <v>60.071302264930118</v>
      </c>
      <c r="W5" s="447">
        <f>Y5/(1-Q5)+Z5</f>
        <v>59.748490653041756</v>
      </c>
      <c r="X5" s="444">
        <v>0.32281161188835905</v>
      </c>
      <c r="Y5" s="318">
        <v>16</v>
      </c>
      <c r="Z5" s="420">
        <f t="shared" ref="Z5:Z11" si="12">Z6*Y5/Y6</f>
        <v>1.9970572402655664</v>
      </c>
      <c r="AA5" s="318">
        <v>24.46792561327544</v>
      </c>
      <c r="AB5" s="443">
        <f t="shared" ref="AB5:AB52" si="13">V5/L5</f>
        <v>0.77213907467654541</v>
      </c>
      <c r="AC5" s="443">
        <f t="shared" ref="AC5:AC52" si="14">(Y5+Z5+X5)/H5</f>
        <v>0.66312102831627617</v>
      </c>
      <c r="AD5" s="448"/>
      <c r="AE5" s="449">
        <f t="shared" ref="AE5:AE53" si="15">+AG5*AH5</f>
        <v>4.5948720718397285E-2</v>
      </c>
      <c r="AF5" s="450">
        <f t="shared" ref="AF5:AF53" si="16">AG5-AE5</f>
        <v>1.6781271914545093E-2</v>
      </c>
      <c r="AG5" s="450">
        <v>6.2729992632942377E-2</v>
      </c>
      <c r="AH5" s="451">
        <f t="shared" ref="AH5:AH51" si="17">MAX(1-AK5/AJ5,0)</f>
        <v>0.73248407643312108</v>
      </c>
      <c r="AI5" s="323">
        <v>1.42</v>
      </c>
      <c r="AJ5" s="323">
        <v>1.57</v>
      </c>
      <c r="AK5" s="325">
        <v>0.42</v>
      </c>
      <c r="AL5" s="452">
        <f t="shared" ref="AL5:AL53" si="18">+AE5*V5</f>
        <v>2.7601994909617003</v>
      </c>
      <c r="AM5" s="452"/>
      <c r="AN5" s="465"/>
      <c r="AO5" s="449">
        <f t="shared" ref="AO5:AO43" si="19">AO6*AE5/AE6</f>
        <v>3.0863196317819034E-2</v>
      </c>
      <c r="AP5" s="453">
        <f t="shared" ref="AP5:AP44" si="20">G$45/L$45</f>
        <v>0.3616659759601874</v>
      </c>
      <c r="AQ5" s="453">
        <v>0</v>
      </c>
      <c r="AR5" s="453">
        <f t="shared" ref="AR5:AR44" si="21">AE5</f>
        <v>4.5948720718397285E-2</v>
      </c>
      <c r="AS5" s="453">
        <f t="shared" ref="AS5:AS44" si="22">AE5/2</f>
        <v>2.2974360359198642E-2</v>
      </c>
      <c r="AT5" s="452">
        <f t="shared" ref="AT5:AT53" si="23">AO5*(L5-V5)</f>
        <v>0.54711960123841652</v>
      </c>
      <c r="AU5" s="452"/>
      <c r="AV5" s="454">
        <f t="shared" ref="AV5:AV44" si="24">AE5*AB5+(1-AB5)*AO5</f>
        <v>4.2511319169491968E-2</v>
      </c>
      <c r="AW5" s="107">
        <f>$AE5*$AB5+(1-$AB5)*AP5</f>
        <v>0.11788834663837289</v>
      </c>
      <c r="AX5" s="107">
        <f>$AE5*$AB5+(1-$AB5)*AQ5</f>
        <v>3.547880269807429E-2</v>
      </c>
      <c r="AY5" s="107">
        <f>$AE5*$AB5+(1-$AB5)*AR5</f>
        <v>4.5948720718397285E-2</v>
      </c>
      <c r="AZ5" s="107">
        <f>$AE5*$AB5+(1-$AB5)*AS5</f>
        <v>4.0713761708235791E-2</v>
      </c>
      <c r="BA5" s="451">
        <f t="shared" ref="BA5:BA43" si="25">+$BA$45*(AV5*N5)/($AV$45*$N$45)</f>
        <v>7.0170210017327182E-3</v>
      </c>
      <c r="BB5" s="451">
        <f t="shared" ref="BB5:BE44" si="26">+BB$45*(AW5*$N5)/(AW$45*$N$45)</f>
        <v>1.9458935182012957E-2</v>
      </c>
      <c r="BC5" s="451">
        <f t="shared" si="26"/>
        <v>5.8562168502966708E-3</v>
      </c>
      <c r="BD5" s="451">
        <f t="shared" si="26"/>
        <v>7.5844068022977362E-3</v>
      </c>
      <c r="BE5" s="451">
        <f t="shared" si="26"/>
        <v>6.720311826297203E-3</v>
      </c>
      <c r="BG5" s="95"/>
      <c r="BI5" s="329">
        <v>17</v>
      </c>
      <c r="BJ5" s="309">
        <v>2.778</v>
      </c>
      <c r="BK5" s="496">
        <f>BJ5/BI5</f>
        <v>0.16341176470588237</v>
      </c>
      <c r="BL5" s="455">
        <f t="shared" ref="BL5:BL45" si="27">AG5</f>
        <v>6.2729992632942377E-2</v>
      </c>
    </row>
    <row r="6" spans="1:72" x14ac:dyDescent="0.2">
      <c r="A6" s="77">
        <v>1976</v>
      </c>
      <c r="B6" s="317">
        <v>5574</v>
      </c>
      <c r="C6" s="318">
        <v>802</v>
      </c>
      <c r="D6" s="443">
        <f t="shared" si="0"/>
        <v>0.14388231072838178</v>
      </c>
      <c r="E6" s="444">
        <f t="shared" si="1"/>
        <v>163.60799999999998</v>
      </c>
      <c r="F6" s="444">
        <f t="shared" si="2"/>
        <v>638.39200000000005</v>
      </c>
      <c r="G6" s="319">
        <v>4</v>
      </c>
      <c r="H6" s="318">
        <f t="shared" si="3"/>
        <v>32.538343722703324</v>
      </c>
      <c r="I6" s="493">
        <f t="shared" si="4"/>
        <v>0.20399999999999996</v>
      </c>
      <c r="J6" s="493">
        <v>0.20399999999999999</v>
      </c>
      <c r="L6" s="446">
        <f t="shared" si="5"/>
        <v>100.18835836551233</v>
      </c>
      <c r="M6" s="494">
        <f t="shared" si="6"/>
        <v>67.650014642808998</v>
      </c>
      <c r="N6" s="443">
        <f t="shared" si="7"/>
        <v>0.12492314010662385</v>
      </c>
      <c r="O6" s="443">
        <f t="shared" si="8"/>
        <v>5.0969222237595903E-2</v>
      </c>
      <c r="P6" s="321">
        <v>0.75295590637735277</v>
      </c>
      <c r="Q6" s="321">
        <v>0.75295590637735277</v>
      </c>
      <c r="R6" s="322">
        <v>0.74849400064323557</v>
      </c>
      <c r="S6" s="495">
        <f t="shared" si="9"/>
        <v>0.47624700032161776</v>
      </c>
      <c r="T6" s="495">
        <f t="shared" si="10"/>
        <v>0.67522829744354862</v>
      </c>
      <c r="V6" s="446">
        <f t="shared" si="11"/>
        <v>79.735384771273459</v>
      </c>
      <c r="W6" s="447">
        <f t="shared" ref="W6:W53" si="28">Y6/(1-Q6)+Z6</f>
        <v>79.280852793710849</v>
      </c>
      <c r="X6" s="444">
        <v>0.45453197756260488</v>
      </c>
      <c r="Y6" s="318">
        <v>19</v>
      </c>
      <c r="Z6" s="420">
        <f t="shared" si="12"/>
        <v>2.3715054728153602</v>
      </c>
      <c r="AA6" s="318">
        <v>28.817946703846204</v>
      </c>
      <c r="AB6" s="443">
        <f t="shared" si="13"/>
        <v>0.79585478864099879</v>
      </c>
      <c r="AC6" s="443">
        <f t="shared" si="14"/>
        <v>0.67077899343564484</v>
      </c>
      <c r="AD6" s="448"/>
      <c r="AE6" s="449">
        <f t="shared" si="15"/>
        <v>3.8043497431201306E-2</v>
      </c>
      <c r="AF6" s="450">
        <f t="shared" si="16"/>
        <v>1.7436602989300595E-2</v>
      </c>
      <c r="AG6" s="450">
        <v>5.5480100420501902E-2</v>
      </c>
      <c r="AH6" s="451">
        <f t="shared" si="17"/>
        <v>0.68571428571428572</v>
      </c>
      <c r="AI6" s="323">
        <v>1.24</v>
      </c>
      <c r="AJ6" s="323">
        <v>1.4</v>
      </c>
      <c r="AK6" s="325">
        <v>0.44</v>
      </c>
      <c r="AL6" s="452">
        <f t="shared" si="18"/>
        <v>3.0334129057217898</v>
      </c>
      <c r="AM6" s="452"/>
      <c r="AN6" s="465"/>
      <c r="AO6" s="449">
        <f t="shared" si="19"/>
        <v>2.5553354075546608E-2</v>
      </c>
      <c r="AP6" s="453">
        <f t="shared" si="20"/>
        <v>0.3616659759601874</v>
      </c>
      <c r="AQ6" s="453">
        <v>0</v>
      </c>
      <c r="AR6" s="453">
        <f t="shared" si="21"/>
        <v>3.8043497431201306E-2</v>
      </c>
      <c r="AS6" s="453">
        <f t="shared" si="22"/>
        <v>1.9021748715600653E-2</v>
      </c>
      <c r="AT6" s="452">
        <f t="shared" si="23"/>
        <v>0.52264207615139102</v>
      </c>
      <c r="AU6" s="452"/>
      <c r="AV6" s="454">
        <f t="shared" si="24"/>
        <v>3.5493694475956954E-2</v>
      </c>
      <c r="AW6" s="107">
        <f t="shared" ref="AW6:AZ44" si="29">$AE6*$AB6+(1-$AB6)*AP6</f>
        <v>0.10410947671102501</v>
      </c>
      <c r="AX6" s="107">
        <f t="shared" si="29"/>
        <v>3.0277099607273095E-2</v>
      </c>
      <c r="AY6" s="107">
        <f t="shared" si="29"/>
        <v>3.8043497431201306E-2</v>
      </c>
      <c r="AZ6" s="107">
        <f t="shared" si="29"/>
        <v>3.4160298519237201E-2</v>
      </c>
      <c r="BA6" s="451">
        <f t="shared" si="25"/>
        <v>6.9803095541385975E-3</v>
      </c>
      <c r="BB6" s="451">
        <f t="shared" si="26"/>
        <v>2.0474520494185453E-2</v>
      </c>
      <c r="BC6" s="451">
        <f t="shared" si="26"/>
        <v>5.9543964295803642E-3</v>
      </c>
      <c r="BD6" s="451">
        <f t="shared" si="26"/>
        <v>7.4817623950571288E-3</v>
      </c>
      <c r="BE6" s="451">
        <f t="shared" si="26"/>
        <v>6.7180794123187461E-3</v>
      </c>
      <c r="BG6" s="95"/>
      <c r="BI6" s="329">
        <v>19</v>
      </c>
      <c r="BJ6" s="309">
        <v>3.4769999999999999</v>
      </c>
      <c r="BK6" s="496">
        <f t="shared" ref="BK6:BK45" si="30">BJ6/BI6</f>
        <v>0.183</v>
      </c>
      <c r="BL6" s="455">
        <f t="shared" si="27"/>
        <v>5.5480100420501902E-2</v>
      </c>
    </row>
    <row r="7" spans="1:72" x14ac:dyDescent="0.2">
      <c r="A7" s="77">
        <v>1977</v>
      </c>
      <c r="B7" s="317">
        <v>6300</v>
      </c>
      <c r="C7" s="318">
        <v>911</v>
      </c>
      <c r="D7" s="443">
        <f t="shared" si="0"/>
        <v>0.14460317460317459</v>
      </c>
      <c r="E7" s="444">
        <f t="shared" si="1"/>
        <v>198.59800000000001</v>
      </c>
      <c r="F7" s="444">
        <f t="shared" si="2"/>
        <v>712.40200000000004</v>
      </c>
      <c r="G7" s="319">
        <v>4</v>
      </c>
      <c r="H7" s="318">
        <f t="shared" si="3"/>
        <v>32.469479625058376</v>
      </c>
      <c r="I7" s="493">
        <f t="shared" si="4"/>
        <v>0.21800000000000003</v>
      </c>
      <c r="J7" s="493">
        <v>0.218</v>
      </c>
      <c r="L7" s="446">
        <f t="shared" si="5"/>
        <v>92.878548160095448</v>
      </c>
      <c r="M7" s="494">
        <f t="shared" si="6"/>
        <v>60.409068535037072</v>
      </c>
      <c r="N7" s="443">
        <f t="shared" si="7"/>
        <v>0.10195230313951202</v>
      </c>
      <c r="O7" s="443">
        <f t="shared" si="8"/>
        <v>4.5577468374679429E-2</v>
      </c>
      <c r="P7" s="321">
        <v>0.72876939648898076</v>
      </c>
      <c r="Q7" s="321">
        <v>0.72876939648898076</v>
      </c>
      <c r="R7" s="322">
        <v>0.72284329126015279</v>
      </c>
      <c r="S7" s="495">
        <f t="shared" si="9"/>
        <v>0.47042164563007638</v>
      </c>
      <c r="T7" s="495">
        <f t="shared" si="10"/>
        <v>0.65040926814348465</v>
      </c>
      <c r="V7" s="446">
        <f t="shared" si="11"/>
        <v>72.985806247328739</v>
      </c>
      <c r="W7" s="447">
        <f t="shared" si="28"/>
        <v>72.422597621154324</v>
      </c>
      <c r="X7" s="444">
        <v>0.56320862617441159</v>
      </c>
      <c r="Y7" s="318">
        <v>19</v>
      </c>
      <c r="Z7" s="420">
        <f t="shared" si="12"/>
        <v>2.3715054728153602</v>
      </c>
      <c r="AA7" s="318">
        <v>28.756956448390891</v>
      </c>
      <c r="AB7" s="443">
        <f t="shared" si="13"/>
        <v>0.78581984422842788</v>
      </c>
      <c r="AC7" s="443">
        <f t="shared" si="14"/>
        <v>0.67554867993824019</v>
      </c>
      <c r="AD7" s="448"/>
      <c r="AE7" s="449">
        <f t="shared" si="15"/>
        <v>4.9555912006022482E-2</v>
      </c>
      <c r="AF7" s="450">
        <f t="shared" si="16"/>
        <v>2.0836008457077643E-2</v>
      </c>
      <c r="AG7" s="450">
        <v>7.0391920463100124E-2</v>
      </c>
      <c r="AH7" s="451">
        <f t="shared" si="17"/>
        <v>0.70399999999999996</v>
      </c>
      <c r="AI7" s="323">
        <v>1.0900000000000001</v>
      </c>
      <c r="AJ7" s="323">
        <v>1.25</v>
      </c>
      <c r="AK7" s="325">
        <v>0.37</v>
      </c>
      <c r="AL7" s="452">
        <f t="shared" si="18"/>
        <v>3.616878192081229</v>
      </c>
      <c r="AM7" s="452"/>
      <c r="AN7" s="465"/>
      <c r="AO7" s="449">
        <f t="shared" si="19"/>
        <v>3.3286102791063414E-2</v>
      </c>
      <c r="AP7" s="453">
        <f t="shared" si="20"/>
        <v>0.3616659759601874</v>
      </c>
      <c r="AQ7" s="453">
        <v>0</v>
      </c>
      <c r="AR7" s="453">
        <f t="shared" si="21"/>
        <v>4.9555912006022482E-2</v>
      </c>
      <c r="AS7" s="453">
        <f t="shared" si="22"/>
        <v>2.4777956003011241E-2</v>
      </c>
      <c r="AT7" s="452">
        <f t="shared" si="23"/>
        <v>0.66215185210444816</v>
      </c>
      <c r="AU7" s="452"/>
      <c r="AV7" s="454">
        <f t="shared" si="24"/>
        <v>4.6071241733988792E-2</v>
      </c>
      <c r="AW7" s="107">
        <f t="shared" si="29"/>
        <v>0.11640369412160087</v>
      </c>
      <c r="AX7" s="107">
        <f t="shared" si="29"/>
        <v>3.8942019053170268E-2</v>
      </c>
      <c r="AY7" s="107">
        <f t="shared" si="29"/>
        <v>4.9555912006022482E-2</v>
      </c>
      <c r="AZ7" s="107">
        <f t="shared" si="29"/>
        <v>4.4248965529596375E-2</v>
      </c>
      <c r="BA7" s="451">
        <f t="shared" si="25"/>
        <v>7.3944783635180745E-3</v>
      </c>
      <c r="BB7" s="451">
        <f t="shared" si="26"/>
        <v>1.8682904241774417E-2</v>
      </c>
      <c r="BC7" s="451">
        <f t="shared" si="26"/>
        <v>6.2502313044438375E-3</v>
      </c>
      <c r="BD7" s="451">
        <f t="shared" si="26"/>
        <v>7.9537712751206295E-3</v>
      </c>
      <c r="BE7" s="451">
        <f t="shared" si="26"/>
        <v>7.1020012897822339E-3</v>
      </c>
      <c r="BG7" s="95"/>
      <c r="BI7" s="329">
        <v>20</v>
      </c>
      <c r="BJ7" s="309">
        <v>3.9470000000000001</v>
      </c>
      <c r="BK7" s="496">
        <f t="shared" si="30"/>
        <v>0.19735</v>
      </c>
      <c r="BL7" s="455">
        <f t="shared" si="27"/>
        <v>7.0391920463100124E-2</v>
      </c>
    </row>
    <row r="8" spans="1:72" x14ac:dyDescent="0.2">
      <c r="A8" s="77">
        <v>1978</v>
      </c>
      <c r="B8" s="317">
        <v>7409</v>
      </c>
      <c r="C8" s="318">
        <v>1073</v>
      </c>
      <c r="D8" s="443">
        <f t="shared" si="0"/>
        <v>0.14482386286948307</v>
      </c>
      <c r="E8" s="444">
        <f t="shared" si="1"/>
        <v>238.20600000000002</v>
      </c>
      <c r="F8" s="444">
        <f t="shared" si="2"/>
        <v>834.79399999999998</v>
      </c>
      <c r="G8" s="319">
        <v>7</v>
      </c>
      <c r="H8" s="318">
        <f t="shared" si="3"/>
        <v>42.021527822678415</v>
      </c>
      <c r="I8" s="493">
        <f t="shared" si="4"/>
        <v>0.222</v>
      </c>
      <c r="J8" s="493">
        <v>0.222</v>
      </c>
      <c r="L8" s="446">
        <f t="shared" si="5"/>
        <v>103.0052396407827</v>
      </c>
      <c r="M8" s="494">
        <f t="shared" si="6"/>
        <v>60.98371181810429</v>
      </c>
      <c r="N8" s="443">
        <f t="shared" si="7"/>
        <v>9.599742743782172E-2</v>
      </c>
      <c r="O8" s="443">
        <f t="shared" si="8"/>
        <v>5.0337601639061154E-2</v>
      </c>
      <c r="P8" s="321">
        <v>0.66921848108341808</v>
      </c>
      <c r="Q8" s="321">
        <v>0.66921848108341808</v>
      </c>
      <c r="R8" s="322">
        <v>0.66221465469567864</v>
      </c>
      <c r="S8" s="495">
        <f t="shared" si="9"/>
        <v>0.44210732734783931</v>
      </c>
      <c r="T8" s="495">
        <f t="shared" si="10"/>
        <v>0.59204475452682803</v>
      </c>
      <c r="V8" s="446">
        <f t="shared" si="11"/>
        <v>79.469949483282448</v>
      </c>
      <c r="W8" s="447">
        <f t="shared" si="28"/>
        <v>78.698989526130902</v>
      </c>
      <c r="X8" s="444">
        <v>0.77095995715155363</v>
      </c>
      <c r="Y8" s="318">
        <v>25</v>
      </c>
      <c r="Z8" s="420">
        <f t="shared" si="12"/>
        <v>3.1204019379149477</v>
      </c>
      <c r="AA8" s="318">
        <v>37.216834376335861</v>
      </c>
      <c r="AB8" s="443">
        <f t="shared" si="13"/>
        <v>0.77151366047420011</v>
      </c>
      <c r="AC8" s="443">
        <f t="shared" si="14"/>
        <v>0.68753715992863662</v>
      </c>
      <c r="AD8" s="448"/>
      <c r="AE8" s="449">
        <f t="shared" si="15"/>
        <v>7.0780078356024415E-2</v>
      </c>
      <c r="AF8" s="450">
        <f t="shared" si="16"/>
        <v>2.4593078072855934E-2</v>
      </c>
      <c r="AG8" s="450">
        <v>9.5373156428880349E-2</v>
      </c>
      <c r="AH8" s="451">
        <f t="shared" si="17"/>
        <v>0.74213836477987427</v>
      </c>
      <c r="AI8" s="323">
        <v>1.4</v>
      </c>
      <c r="AJ8" s="323">
        <v>1.59</v>
      </c>
      <c r="AK8" s="325">
        <v>0.41</v>
      </c>
      <c r="AL8" s="452">
        <f t="shared" si="18"/>
        <v>5.6248892513760334</v>
      </c>
      <c r="AM8" s="452"/>
      <c r="AN8" s="465"/>
      <c r="AO8" s="449">
        <f t="shared" si="19"/>
        <v>4.7542116941200273E-2</v>
      </c>
      <c r="AP8" s="453">
        <f t="shared" si="20"/>
        <v>0.3616659759601874</v>
      </c>
      <c r="AQ8" s="453">
        <v>0</v>
      </c>
      <c r="AR8" s="453">
        <f t="shared" si="21"/>
        <v>7.0780078356024415E-2</v>
      </c>
      <c r="AS8" s="453">
        <f t="shared" si="22"/>
        <v>3.5390039178012207E-2</v>
      </c>
      <c r="AT8" s="452">
        <f t="shared" si="23"/>
        <v>1.118917516912957</v>
      </c>
      <c r="AU8" s="452"/>
      <c r="AV8" s="454">
        <f t="shared" si="24"/>
        <v>6.5470521614309468E-2</v>
      </c>
      <c r="AW8" s="107">
        <f t="shared" si="29"/>
        <v>0.13724353231927627</v>
      </c>
      <c r="AX8" s="107">
        <f t="shared" si="29"/>
        <v>5.46077973411071E-2</v>
      </c>
      <c r="AY8" s="107">
        <f t="shared" si="29"/>
        <v>7.0780078356024415E-2</v>
      </c>
      <c r="AZ8" s="107">
        <f t="shared" si="29"/>
        <v>6.2693937848565751E-2</v>
      </c>
      <c r="BA8" s="451">
        <f t="shared" si="25"/>
        <v>9.8943206262068102E-3</v>
      </c>
      <c r="BB8" s="451">
        <f t="shared" si="26"/>
        <v>2.0741113392065937E-2</v>
      </c>
      <c r="BC8" s="451">
        <f t="shared" si="26"/>
        <v>8.2526768118148935E-3</v>
      </c>
      <c r="BD8" s="451">
        <f t="shared" si="26"/>
        <v>1.0696734529292064E-2</v>
      </c>
      <c r="BE8" s="451">
        <f t="shared" si="26"/>
        <v>9.474705670553479E-3</v>
      </c>
      <c r="BG8" s="95"/>
      <c r="BI8" s="329">
        <v>25</v>
      </c>
      <c r="BJ8" s="309">
        <v>5.375</v>
      </c>
      <c r="BK8" s="496">
        <f t="shared" si="30"/>
        <v>0.215</v>
      </c>
      <c r="BL8" s="455">
        <f t="shared" si="27"/>
        <v>9.5373156428880349E-2</v>
      </c>
    </row>
    <row r="9" spans="1:72" x14ac:dyDescent="0.2">
      <c r="A9" s="77">
        <v>1979</v>
      </c>
      <c r="B9" s="317">
        <v>8601</v>
      </c>
      <c r="C9" s="318">
        <v>1220</v>
      </c>
      <c r="D9" s="443">
        <f t="shared" si="0"/>
        <v>0.14184397163120568</v>
      </c>
      <c r="E9" s="444">
        <f t="shared" si="1"/>
        <v>267.18</v>
      </c>
      <c r="F9" s="444">
        <f t="shared" si="2"/>
        <v>952.81999999999994</v>
      </c>
      <c r="G9" s="319">
        <v>12</v>
      </c>
      <c r="H9" s="318">
        <f t="shared" si="3"/>
        <v>66.109333644256083</v>
      </c>
      <c r="I9" s="493">
        <f t="shared" si="4"/>
        <v>0.219</v>
      </c>
      <c r="J9" s="493">
        <v>0.219</v>
      </c>
      <c r="L9" s="446">
        <f t="shared" si="5"/>
        <v>152.51418226467743</v>
      </c>
      <c r="M9" s="494">
        <f t="shared" si="6"/>
        <v>86.404848620421348</v>
      </c>
      <c r="N9" s="443">
        <f t="shared" si="7"/>
        <v>0.12501162480711264</v>
      </c>
      <c r="O9" s="443">
        <f t="shared" si="8"/>
        <v>6.9382814848823582E-2</v>
      </c>
      <c r="P9" s="321">
        <v>0.64980950301371143</v>
      </c>
      <c r="Q9" s="321">
        <v>0.64980950301371143</v>
      </c>
      <c r="R9" s="322">
        <v>0.64315839178004419</v>
      </c>
      <c r="S9" s="495">
        <f t="shared" si="9"/>
        <v>0.43107919589002208</v>
      </c>
      <c r="T9" s="495">
        <f t="shared" si="10"/>
        <v>0.56653648426263681</v>
      </c>
      <c r="V9" s="446">
        <f t="shared" si="11"/>
        <v>111.3429319675444</v>
      </c>
      <c r="W9" s="447">
        <f t="shared" si="28"/>
        <v>110.27497401666054</v>
      </c>
      <c r="X9" s="444">
        <v>1.0679579508838724</v>
      </c>
      <c r="Y9" s="318">
        <v>37</v>
      </c>
      <c r="Z9" s="420">
        <f t="shared" si="12"/>
        <v>4.6181948681141227</v>
      </c>
      <c r="AA9" s="318">
        <v>58.550468020831332</v>
      </c>
      <c r="AB9" s="443">
        <f t="shared" si="13"/>
        <v>0.73004969317749557</v>
      </c>
      <c r="AC9" s="443">
        <f t="shared" si="14"/>
        <v>0.64569025984588468</v>
      </c>
      <c r="AD9" s="448"/>
      <c r="AE9" s="449">
        <f t="shared" si="15"/>
        <v>8.8670042306996932E-2</v>
      </c>
      <c r="AF9" s="450">
        <f t="shared" si="16"/>
        <v>2.0389368017116938E-2</v>
      </c>
      <c r="AG9" s="450">
        <v>0.10905941032411387</v>
      </c>
      <c r="AH9" s="451">
        <f t="shared" si="17"/>
        <v>0.81304347826086953</v>
      </c>
      <c r="AI9" s="323">
        <v>2.06</v>
      </c>
      <c r="AJ9" s="323">
        <v>2.2999999999999998</v>
      </c>
      <c r="AK9" s="325">
        <v>0.43</v>
      </c>
      <c r="AL9" s="452">
        <f t="shared" si="18"/>
        <v>9.8727824881472426</v>
      </c>
      <c r="AM9" s="452"/>
      <c r="AN9" s="465"/>
      <c r="AO9" s="449">
        <f t="shared" si="19"/>
        <v>5.9558587931142319E-2</v>
      </c>
      <c r="AP9" s="453">
        <f t="shared" si="20"/>
        <v>0.3616659759601874</v>
      </c>
      <c r="AQ9" s="453">
        <v>0</v>
      </c>
      <c r="AR9" s="453">
        <f t="shared" si="21"/>
        <v>8.8670042306996932E-2</v>
      </c>
      <c r="AS9" s="453">
        <f t="shared" si="22"/>
        <v>4.4335021153498466E-2</v>
      </c>
      <c r="AT9" s="452">
        <f t="shared" si="23"/>
        <v>2.4521015310568668</v>
      </c>
      <c r="AU9" s="452"/>
      <c r="AV9" s="454">
        <f t="shared" si="24"/>
        <v>8.0811396266185637E-2</v>
      </c>
      <c r="AW9" s="107">
        <f t="shared" si="29"/>
        <v>0.16236537835797177</v>
      </c>
      <c r="AX9" s="107">
        <f t="shared" si="29"/>
        <v>6.4733537180258663E-2</v>
      </c>
      <c r="AY9" s="107">
        <f t="shared" si="29"/>
        <v>8.8670042306996932E-2</v>
      </c>
      <c r="AZ9" s="107">
        <f t="shared" si="29"/>
        <v>7.6701789743627791E-2</v>
      </c>
      <c r="BA9" s="451">
        <f t="shared" si="25"/>
        <v>1.5903898456036004E-2</v>
      </c>
      <c r="BB9" s="451">
        <f t="shared" si="26"/>
        <v>3.1953939784376058E-2</v>
      </c>
      <c r="BC9" s="451">
        <f t="shared" si="26"/>
        <v>1.2739732879057442E-2</v>
      </c>
      <c r="BD9" s="451">
        <f t="shared" si="26"/>
        <v>1.7450500970158007E-2</v>
      </c>
      <c r="BE9" s="451">
        <f t="shared" si="26"/>
        <v>1.5095116924607722E-2</v>
      </c>
      <c r="BG9" s="95"/>
      <c r="BI9" s="329">
        <v>38</v>
      </c>
      <c r="BJ9" s="309">
        <v>8.1430000000000007</v>
      </c>
      <c r="BK9" s="496">
        <f t="shared" si="30"/>
        <v>0.21428947368421056</v>
      </c>
      <c r="BL9" s="455">
        <f t="shared" si="27"/>
        <v>0.10905941032411387</v>
      </c>
    </row>
    <row r="10" spans="1:72" x14ac:dyDescent="0.2">
      <c r="A10" s="77">
        <v>1980</v>
      </c>
      <c r="B10" s="317">
        <v>9674</v>
      </c>
      <c r="C10" s="318">
        <v>1344</v>
      </c>
      <c r="D10" s="443">
        <f t="shared" si="0"/>
        <v>0.13892908827785819</v>
      </c>
      <c r="E10" s="444">
        <f t="shared" si="1"/>
        <v>318.52799999999996</v>
      </c>
      <c r="F10" s="444">
        <f t="shared" si="2"/>
        <v>1025.472</v>
      </c>
      <c r="G10" s="319">
        <v>13</v>
      </c>
      <c r="H10" s="318">
        <f t="shared" si="3"/>
        <v>65.586364038459394</v>
      </c>
      <c r="I10" s="493">
        <f t="shared" si="4"/>
        <v>0.23699999999999996</v>
      </c>
      <c r="J10" s="493">
        <v>0.23699999999999999</v>
      </c>
      <c r="L10" s="446">
        <f t="shared" si="5"/>
        <v>116.68695932360812</v>
      </c>
      <c r="M10" s="494">
        <f t="shared" si="6"/>
        <v>51.100595285148735</v>
      </c>
      <c r="N10" s="443">
        <f t="shared" si="7"/>
        <v>8.6820654258636998E-2</v>
      </c>
      <c r="O10" s="443">
        <f t="shared" si="8"/>
        <v>6.3957245091488993E-2</v>
      </c>
      <c r="P10" s="321">
        <v>0.50571869430380745</v>
      </c>
      <c r="Q10" s="321">
        <v>0.50571869430380745</v>
      </c>
      <c r="R10" s="322">
        <v>0.49763924657811892</v>
      </c>
      <c r="S10" s="495">
        <f t="shared" si="9"/>
        <v>0.36731962328905943</v>
      </c>
      <c r="T10" s="495">
        <f t="shared" si="10"/>
        <v>0.43792893037371361</v>
      </c>
      <c r="V10" s="446">
        <f t="shared" si="11"/>
        <v>80.629979338089328</v>
      </c>
      <c r="W10" s="447">
        <f t="shared" si="28"/>
        <v>79.474353848040934</v>
      </c>
      <c r="X10" s="444">
        <v>1.1556254900483982</v>
      </c>
      <c r="Y10" s="318">
        <v>37</v>
      </c>
      <c r="Z10" s="420">
        <f t="shared" si="12"/>
        <v>4.6181948681141227</v>
      </c>
      <c r="AA10" s="318">
        <v>58.087294161829249</v>
      </c>
      <c r="AB10" s="443">
        <f t="shared" si="13"/>
        <v>0.69099391916176411</v>
      </c>
      <c r="AC10" s="443">
        <f t="shared" si="14"/>
        <v>0.6521755091207716</v>
      </c>
      <c r="AD10" s="448"/>
      <c r="AE10" s="449">
        <f t="shared" si="15"/>
        <v>0.12653627025609712</v>
      </c>
      <c r="AF10" s="450">
        <f t="shared" si="16"/>
        <v>3.0339105733918015E-2</v>
      </c>
      <c r="AG10" s="450">
        <v>0.15687537599001514</v>
      </c>
      <c r="AH10" s="451">
        <f t="shared" si="17"/>
        <v>0.80660377358490565</v>
      </c>
      <c r="AI10" s="323">
        <v>1.88</v>
      </c>
      <c r="AJ10" s="323">
        <v>2.12</v>
      </c>
      <c r="AK10" s="325">
        <v>0.41</v>
      </c>
      <c r="AL10" s="452">
        <f t="shared" si="18"/>
        <v>10.202616856267998</v>
      </c>
      <c r="AM10" s="452"/>
      <c r="AN10" s="465"/>
      <c r="AO10" s="449">
        <f t="shared" si="19"/>
        <v>8.4992872253675009E-2</v>
      </c>
      <c r="AP10" s="453">
        <f t="shared" si="20"/>
        <v>0.3616659759601874</v>
      </c>
      <c r="AQ10" s="453">
        <v>0</v>
      </c>
      <c r="AR10" s="453">
        <f t="shared" si="21"/>
        <v>0.12653627025609712</v>
      </c>
      <c r="AS10" s="453">
        <f t="shared" si="22"/>
        <v>6.3268135128048561E-2</v>
      </c>
      <c r="AT10" s="452">
        <f t="shared" si="23"/>
        <v>3.0645862937625155</v>
      </c>
      <c r="AU10" s="452"/>
      <c r="AV10" s="454">
        <f t="shared" si="24"/>
        <v>0.11369910765466566</v>
      </c>
      <c r="AW10" s="107">
        <f t="shared" si="29"/>
        <v>0.19919277910436584</v>
      </c>
      <c r="AX10" s="107">
        <f t="shared" si="29"/>
        <v>8.7435793300372711E-2</v>
      </c>
      <c r="AY10" s="107">
        <f t="shared" si="29"/>
        <v>0.12653627025609712</v>
      </c>
      <c r="AZ10" s="107">
        <f t="shared" si="29"/>
        <v>0.10698603177823492</v>
      </c>
      <c r="BA10" s="451">
        <f t="shared" si="25"/>
        <v>1.5540346365024365E-2</v>
      </c>
      <c r="BB10" s="451">
        <f t="shared" si="26"/>
        <v>2.7225585534897619E-2</v>
      </c>
      <c r="BC10" s="451">
        <f t="shared" si="26"/>
        <v>1.1950687570173826E-2</v>
      </c>
      <c r="BD10" s="451">
        <f t="shared" si="26"/>
        <v>1.7294924367309995E-2</v>
      </c>
      <c r="BE10" s="451">
        <f t="shared" si="26"/>
        <v>1.462280596874191E-2</v>
      </c>
      <c r="BG10" s="95"/>
      <c r="BI10" s="329">
        <v>37</v>
      </c>
      <c r="BJ10" s="309">
        <v>7.8029999999999999</v>
      </c>
      <c r="BK10" s="496">
        <f t="shared" si="30"/>
        <v>0.21089189189189189</v>
      </c>
      <c r="BL10" s="455">
        <f t="shared" si="27"/>
        <v>0.15687537599001514</v>
      </c>
    </row>
    <row r="11" spans="1:72" x14ac:dyDescent="0.2">
      <c r="A11" s="77">
        <v>1981</v>
      </c>
      <c r="B11" s="317">
        <v>9918</v>
      </c>
      <c r="C11" s="318">
        <v>1432</v>
      </c>
      <c r="D11" s="443">
        <f t="shared" si="0"/>
        <v>0.14438394837668886</v>
      </c>
      <c r="E11" s="444">
        <f t="shared" si="1"/>
        <v>322.2</v>
      </c>
      <c r="F11" s="444">
        <f t="shared" si="2"/>
        <v>1109.8</v>
      </c>
      <c r="G11" s="319">
        <v>12</v>
      </c>
      <c r="H11" s="318">
        <f t="shared" si="3"/>
        <v>57.441174601853696</v>
      </c>
      <c r="I11" s="493">
        <f t="shared" si="4"/>
        <v>0.22500000000000001</v>
      </c>
      <c r="J11" s="493">
        <v>0.22500000000000001</v>
      </c>
      <c r="L11" s="446">
        <f t="shared" si="5"/>
        <v>103.55488528820121</v>
      </c>
      <c r="M11" s="494">
        <f t="shared" si="6"/>
        <v>46.11371068634751</v>
      </c>
      <c r="N11" s="443">
        <f t="shared" si="7"/>
        <v>7.2314864028073467E-2</v>
      </c>
      <c r="O11" s="443">
        <f t="shared" si="8"/>
        <v>5.1758131737118129E-2</v>
      </c>
      <c r="P11" s="321">
        <v>0.51758781050669933</v>
      </c>
      <c r="Q11" s="321">
        <v>0.51758781050669933</v>
      </c>
      <c r="R11" s="322">
        <v>0.50870789167691577</v>
      </c>
      <c r="S11" s="495">
        <f t="shared" si="9"/>
        <v>0.36685394583845787</v>
      </c>
      <c r="T11" s="495">
        <f t="shared" si="10"/>
        <v>0.44530695541798448</v>
      </c>
      <c r="V11" s="446">
        <f t="shared" si="11"/>
        <v>71.4429365114066</v>
      </c>
      <c r="W11" s="447">
        <f t="shared" si="28"/>
        <v>70.327430049549093</v>
      </c>
      <c r="X11" s="444">
        <v>1.1155064618575015</v>
      </c>
      <c r="Y11" s="318">
        <v>32</v>
      </c>
      <c r="Z11" s="420">
        <f t="shared" si="12"/>
        <v>3.9941144805311328</v>
      </c>
      <c r="AA11" s="318">
        <v>50.873416372682442</v>
      </c>
      <c r="AB11" s="443">
        <f t="shared" si="13"/>
        <v>0.68990406693586126</v>
      </c>
      <c r="AC11" s="443">
        <f t="shared" si="14"/>
        <v>0.64604564930312303</v>
      </c>
      <c r="AD11" s="448"/>
      <c r="AE11" s="449">
        <f t="shared" si="15"/>
        <v>0.12639460933162869</v>
      </c>
      <c r="AF11" s="450">
        <f t="shared" si="16"/>
        <v>2.8685301408596597E-2</v>
      </c>
      <c r="AG11" s="450">
        <v>0.15507991074022529</v>
      </c>
      <c r="AH11" s="451">
        <f t="shared" si="17"/>
        <v>0.81502890173410403</v>
      </c>
      <c r="AI11" s="323">
        <v>1.52</v>
      </c>
      <c r="AJ11" s="323">
        <v>1.73</v>
      </c>
      <c r="AK11" s="325">
        <v>0.32</v>
      </c>
      <c r="AL11" s="452">
        <f t="shared" si="18"/>
        <v>9.0300020498635885</v>
      </c>
      <c r="AM11" s="452"/>
      <c r="AN11" s="465"/>
      <c r="AO11" s="449">
        <f t="shared" si="19"/>
        <v>8.4897720335317409E-2</v>
      </c>
      <c r="AP11" s="453">
        <f t="shared" si="20"/>
        <v>0.3616659759601874</v>
      </c>
      <c r="AQ11" s="453">
        <v>0</v>
      </c>
      <c r="AR11" s="453">
        <f t="shared" si="21"/>
        <v>0.12639460933162869</v>
      </c>
      <c r="AS11" s="453">
        <f t="shared" si="22"/>
        <v>6.3197304665814344E-2</v>
      </c>
      <c r="AT11" s="452">
        <f t="shared" si="23"/>
        <v>2.7262312466743466</v>
      </c>
      <c r="AU11" s="452"/>
      <c r="AV11" s="454">
        <f t="shared" si="24"/>
        <v>0.11352659281905855</v>
      </c>
      <c r="AW11" s="107">
        <f t="shared" si="29"/>
        <v>0.19935130328958667</v>
      </c>
      <c r="AX11" s="107">
        <f t="shared" si="29"/>
        <v>8.7200155016659994E-2</v>
      </c>
      <c r="AY11" s="107">
        <f t="shared" si="29"/>
        <v>0.12639460933162869</v>
      </c>
      <c r="AZ11" s="107">
        <f t="shared" si="29"/>
        <v>0.10679738217414433</v>
      </c>
      <c r="BA11" s="451">
        <f t="shared" si="25"/>
        <v>1.2924262242310296E-2</v>
      </c>
      <c r="BB11" s="451">
        <f t="shared" si="26"/>
        <v>2.2694845833763296E-2</v>
      </c>
      <c r="BC11" s="456">
        <f t="shared" si="26"/>
        <v>9.927168983232499E-3</v>
      </c>
      <c r="BD11" s="451">
        <f t="shared" si="26"/>
        <v>1.4389202005030946E-2</v>
      </c>
      <c r="BE11" s="451">
        <f t="shared" si="26"/>
        <v>1.2158185494131722E-2</v>
      </c>
      <c r="BG11" s="95"/>
      <c r="BI11" s="329">
        <v>33</v>
      </c>
      <c r="BJ11" s="309">
        <v>6.7960000000000003</v>
      </c>
      <c r="BK11" s="496">
        <f t="shared" si="30"/>
        <v>0.20593939393939395</v>
      </c>
      <c r="BL11" s="455">
        <f t="shared" si="27"/>
        <v>0.15507991074022529</v>
      </c>
    </row>
    <row r="12" spans="1:72" x14ac:dyDescent="0.2">
      <c r="A12" s="77">
        <v>1982</v>
      </c>
      <c r="B12" s="317">
        <v>9822</v>
      </c>
      <c r="C12" s="318">
        <v>1426</v>
      </c>
      <c r="D12" s="443">
        <f t="shared" si="0"/>
        <v>0.14518428018733456</v>
      </c>
      <c r="E12" s="444">
        <f t="shared" si="1"/>
        <v>303.738</v>
      </c>
      <c r="F12" s="444">
        <f t="shared" si="2"/>
        <v>1122.2619999999999</v>
      </c>
      <c r="G12" s="319">
        <v>14</v>
      </c>
      <c r="H12" s="318">
        <f t="shared" si="3"/>
        <v>52.214254508805539</v>
      </c>
      <c r="I12" s="493">
        <f t="shared" si="4"/>
        <v>0.21299999999999999</v>
      </c>
      <c r="J12" s="493">
        <v>0.21299999999999999</v>
      </c>
      <c r="L12" s="446">
        <f t="shared" si="5"/>
        <v>100.22154218664544</v>
      </c>
      <c r="M12" s="494">
        <f t="shared" si="6"/>
        <v>48.007287677839891</v>
      </c>
      <c r="N12" s="443">
        <f t="shared" si="7"/>
        <v>7.0281586386146871E-2</v>
      </c>
      <c r="O12" s="443">
        <f t="shared" si="8"/>
        <v>4.6525904386681131E-2</v>
      </c>
      <c r="P12" s="321">
        <v>0.56287447503499766</v>
      </c>
      <c r="Q12" s="321">
        <v>0.56287447503499766</v>
      </c>
      <c r="R12" s="322">
        <v>0.55029994531811555</v>
      </c>
      <c r="S12" s="495">
        <f t="shared" si="9"/>
        <v>0.38164997265905776</v>
      </c>
      <c r="T12" s="495">
        <f t="shared" si="10"/>
        <v>0.47901166386398797</v>
      </c>
      <c r="V12" s="446">
        <f t="shared" si="11"/>
        <v>68.448197384006846</v>
      </c>
      <c r="W12" s="447">
        <f t="shared" si="28"/>
        <v>67.223991502626063</v>
      </c>
      <c r="X12" s="444">
        <v>1.2242058813807779</v>
      </c>
      <c r="Y12" s="332">
        <v>27.864999999999998</v>
      </c>
      <c r="Z12" s="194">
        <v>3.4780000000000002</v>
      </c>
      <c r="AA12" s="318">
        <v>46.244136346925487</v>
      </c>
      <c r="AB12" s="443">
        <f t="shared" si="13"/>
        <v>0.68296890958366829</v>
      </c>
      <c r="AC12" s="443">
        <f t="shared" si="14"/>
        <v>0.62372251002623369</v>
      </c>
      <c r="AD12" s="448"/>
      <c r="AE12" s="449">
        <f t="shared" si="15"/>
        <v>0.1583758285576711</v>
      </c>
      <c r="AF12" s="450">
        <f t="shared" si="16"/>
        <v>2.7306177337529491E-2</v>
      </c>
      <c r="AG12" s="450">
        <v>0.18568200589520059</v>
      </c>
      <c r="AH12" s="451">
        <f t="shared" si="17"/>
        <v>0.8529411764705882</v>
      </c>
      <c r="AI12" s="323">
        <v>1.47</v>
      </c>
      <c r="AJ12" s="323">
        <v>1.7</v>
      </c>
      <c r="AK12" s="325">
        <v>0.25</v>
      </c>
      <c r="AL12" s="452">
        <f t="shared" si="18"/>
        <v>10.840539973971099</v>
      </c>
      <c r="AM12" s="452"/>
      <c r="AN12" s="465"/>
      <c r="AO12" s="449">
        <f t="shared" si="19"/>
        <v>0.10637911594382139</v>
      </c>
      <c r="AP12" s="453">
        <f t="shared" si="20"/>
        <v>0.3616659759601874</v>
      </c>
      <c r="AQ12" s="453">
        <v>0</v>
      </c>
      <c r="AR12" s="453">
        <f t="shared" si="21"/>
        <v>0.1583758285576711</v>
      </c>
      <c r="AS12" s="453">
        <f t="shared" si="22"/>
        <v>7.918791427883555E-2</v>
      </c>
      <c r="AT12" s="452">
        <f t="shared" si="23"/>
        <v>3.3800203306829055</v>
      </c>
      <c r="AU12" s="452"/>
      <c r="AV12" s="454">
        <f t="shared" si="24"/>
        <v>0.14189125405963771</v>
      </c>
      <c r="AW12" s="107">
        <f t="shared" si="29"/>
        <v>0.22282512565958765</v>
      </c>
      <c r="AX12" s="107">
        <f t="shared" si="29"/>
        <v>0.10816576693444263</v>
      </c>
      <c r="AY12" s="107">
        <f t="shared" si="29"/>
        <v>0.1583758285576711</v>
      </c>
      <c r="AZ12" s="107">
        <f t="shared" si="29"/>
        <v>0.13327079774605688</v>
      </c>
      <c r="BA12" s="451">
        <f t="shared" si="25"/>
        <v>1.5699208833893426E-2</v>
      </c>
      <c r="BB12" s="451">
        <f t="shared" si="26"/>
        <v>2.4653938005919002E-2</v>
      </c>
      <c r="BC12" s="456">
        <f t="shared" si="26"/>
        <v>1.1967735256383954E-2</v>
      </c>
      <c r="BD12" s="451">
        <f t="shared" si="26"/>
        <v>1.7523104036579612E-2</v>
      </c>
      <c r="BE12" s="451">
        <f t="shared" si="26"/>
        <v>1.4745419646481786E-2</v>
      </c>
      <c r="BG12" s="95">
        <v>7.0475828557671094E-2</v>
      </c>
      <c r="BI12" s="329">
        <v>25</v>
      </c>
      <c r="BJ12" s="309">
        <v>5.6669999999999998</v>
      </c>
      <c r="BK12" s="496">
        <f t="shared" si="30"/>
        <v>0.22667999999999999</v>
      </c>
      <c r="BL12" s="455">
        <f t="shared" si="27"/>
        <v>0.18568200589520059</v>
      </c>
    </row>
    <row r="13" spans="1:72" x14ac:dyDescent="0.2">
      <c r="A13" s="77">
        <v>1983</v>
      </c>
      <c r="B13" s="317">
        <v>10039</v>
      </c>
      <c r="C13" s="318">
        <v>1513</v>
      </c>
      <c r="D13" s="443">
        <f t="shared" si="0"/>
        <v>0.15071222233290169</v>
      </c>
      <c r="E13" s="444">
        <f t="shared" si="1"/>
        <v>285.95699999999999</v>
      </c>
      <c r="F13" s="444">
        <f t="shared" si="2"/>
        <v>1227.0430000000001</v>
      </c>
      <c r="G13" s="319">
        <v>13</v>
      </c>
      <c r="H13" s="318">
        <f t="shared" si="3"/>
        <v>56.813535553566055</v>
      </c>
      <c r="I13" s="493">
        <f t="shared" si="4"/>
        <v>0.189</v>
      </c>
      <c r="J13" s="493">
        <v>0.189</v>
      </c>
      <c r="L13" s="446">
        <f t="shared" si="5"/>
        <v>102.48075660417531</v>
      </c>
      <c r="M13" s="494">
        <f t="shared" si="6"/>
        <v>45.667221050609257</v>
      </c>
      <c r="N13" s="443">
        <f t="shared" si="7"/>
        <v>6.7733480901636028E-2</v>
      </c>
      <c r="O13" s="443">
        <f t="shared" si="8"/>
        <v>4.630117734550953E-2</v>
      </c>
      <c r="P13" s="321">
        <v>0.51904056242892094</v>
      </c>
      <c r="Q13" s="321">
        <v>0.51904056242892094</v>
      </c>
      <c r="R13" s="322">
        <v>0.50769531210266405</v>
      </c>
      <c r="S13" s="495">
        <f t="shared" si="9"/>
        <v>0.348347656051332</v>
      </c>
      <c r="T13" s="495">
        <f t="shared" si="10"/>
        <v>0.44561752434162516</v>
      </c>
      <c r="V13" s="446">
        <f t="shared" si="11"/>
        <v>71.473924929511526</v>
      </c>
      <c r="W13" s="447">
        <f t="shared" si="28"/>
        <v>70.177063915161938</v>
      </c>
      <c r="X13" s="444">
        <v>1.2968610143495936</v>
      </c>
      <c r="Y13" s="318">
        <v>32.308</v>
      </c>
      <c r="Z13" s="194">
        <v>3.0030000000000001</v>
      </c>
      <c r="AA13" s="318">
        <v>50.317540855571046</v>
      </c>
      <c r="AB13" s="443">
        <f t="shared" si="13"/>
        <v>0.69743752191032815</v>
      </c>
      <c r="AC13" s="443">
        <f t="shared" si="14"/>
        <v>0.64435104518067265</v>
      </c>
      <c r="AD13" s="448"/>
      <c r="AE13" s="449">
        <f t="shared" si="15"/>
        <v>0.14345412192631868</v>
      </c>
      <c r="AF13" s="450">
        <f t="shared" si="16"/>
        <v>3.1228108174436719E-2</v>
      </c>
      <c r="AG13" s="450">
        <v>0.1746822301007554</v>
      </c>
      <c r="AH13" s="451">
        <f t="shared" si="17"/>
        <v>0.82122905027932958</v>
      </c>
      <c r="AI13" s="323">
        <v>1.54</v>
      </c>
      <c r="AJ13" s="323">
        <v>1.79</v>
      </c>
      <c r="AK13" s="325">
        <v>0.32</v>
      </c>
      <c r="AL13" s="452">
        <f t="shared" si="18"/>
        <v>10.253229141390694</v>
      </c>
      <c r="AM13" s="452"/>
      <c r="AN13" s="465"/>
      <c r="AO13" s="449">
        <f t="shared" si="19"/>
        <v>9.6356387259321996E-2</v>
      </c>
      <c r="AP13" s="453">
        <f t="shared" si="20"/>
        <v>0.3616659759601874</v>
      </c>
      <c r="AQ13" s="453">
        <v>0</v>
      </c>
      <c r="AR13" s="453">
        <f t="shared" si="21"/>
        <v>0.14345412192631868</v>
      </c>
      <c r="AS13" s="453">
        <f t="shared" si="22"/>
        <v>7.1727060963159339E-2</v>
      </c>
      <c r="AT13" s="452">
        <f t="shared" si="23"/>
        <v>2.9877062805285153</v>
      </c>
      <c r="AU13" s="452"/>
      <c r="AV13" s="454">
        <f t="shared" si="24"/>
        <v>0.1292041146130623</v>
      </c>
      <c r="AW13" s="107">
        <f t="shared" si="29"/>
        <v>0.20947684123134774</v>
      </c>
      <c r="AX13" s="107">
        <f t="shared" si="29"/>
        <v>0.10005028730411376</v>
      </c>
      <c r="AY13" s="107">
        <f t="shared" si="29"/>
        <v>0.14345412192631868</v>
      </c>
      <c r="AZ13" s="107">
        <f t="shared" si="29"/>
        <v>0.12175220461521621</v>
      </c>
      <c r="BA13" s="451">
        <f t="shared" si="25"/>
        <v>1.3777179701490153E-2</v>
      </c>
      <c r="BB13" s="451">
        <f t="shared" si="26"/>
        <v>2.2336750602623846E-2</v>
      </c>
      <c r="BC13" s="456">
        <f t="shared" si="26"/>
        <v>1.0668474386458427E-2</v>
      </c>
      <c r="BD13" s="451">
        <f t="shared" si="26"/>
        <v>1.5296673969070033E-2</v>
      </c>
      <c r="BE13" s="451">
        <f t="shared" si="26"/>
        <v>1.2982574177764229E-2</v>
      </c>
      <c r="BG13" s="95">
        <v>4.8154121926318683E-2</v>
      </c>
      <c r="BI13" s="329">
        <v>27</v>
      </c>
      <c r="BJ13" s="309">
        <v>4.569</v>
      </c>
      <c r="BK13" s="496">
        <f t="shared" si="30"/>
        <v>0.16922222222222222</v>
      </c>
      <c r="BL13" s="455">
        <f t="shared" si="27"/>
        <v>0.1746822301007554</v>
      </c>
    </row>
    <row r="14" spans="1:72" x14ac:dyDescent="0.2">
      <c r="A14" s="77">
        <v>1984</v>
      </c>
      <c r="B14" s="317">
        <v>10412</v>
      </c>
      <c r="C14" s="318">
        <v>1620</v>
      </c>
      <c r="D14" s="443">
        <f t="shared" si="0"/>
        <v>0.155589704187476</v>
      </c>
      <c r="E14" s="444">
        <f t="shared" si="1"/>
        <v>314.28000000000003</v>
      </c>
      <c r="F14" s="444">
        <f t="shared" si="2"/>
        <v>1305.72</v>
      </c>
      <c r="G14" s="319">
        <v>14</v>
      </c>
      <c r="H14" s="318">
        <f t="shared" si="3"/>
        <v>65.836140886997683</v>
      </c>
      <c r="I14" s="493">
        <f t="shared" si="4"/>
        <v>0.19400000000000001</v>
      </c>
      <c r="J14" s="493">
        <v>0.19400000000000001</v>
      </c>
      <c r="L14" s="446">
        <f t="shared" si="5"/>
        <v>118.39413884251414</v>
      </c>
      <c r="M14" s="494">
        <f t="shared" si="6"/>
        <v>52.557997955516448</v>
      </c>
      <c r="N14" s="443">
        <f t="shared" si="7"/>
        <v>7.3082801754638355E-2</v>
      </c>
      <c r="O14" s="443">
        <f t="shared" si="8"/>
        <v>5.0421331439357349E-2</v>
      </c>
      <c r="P14" s="321">
        <v>0.5210518150791188</v>
      </c>
      <c r="Q14" s="321">
        <v>0.51887841804418355</v>
      </c>
      <c r="R14" s="322">
        <v>0.50806386305888196</v>
      </c>
      <c r="S14" s="495">
        <f t="shared" si="9"/>
        <v>0.35103193152944101</v>
      </c>
      <c r="T14" s="495">
        <f t="shared" si="10"/>
        <v>0.44392398533704613</v>
      </c>
      <c r="V14" s="446">
        <f t="shared" si="11"/>
        <v>80.176064510791278</v>
      </c>
      <c r="W14" s="447">
        <f t="shared" si="28"/>
        <v>78.79823350351603</v>
      </c>
      <c r="X14" s="444">
        <v>1.3778310072752502</v>
      </c>
      <c r="Y14" s="318">
        <v>36.293999999999997</v>
      </c>
      <c r="Z14" s="194">
        <v>3.3620000000000001</v>
      </c>
      <c r="AA14" s="318">
        <v>58.308511811085587</v>
      </c>
      <c r="AB14" s="443">
        <f t="shared" si="13"/>
        <v>0.67719623027487963</v>
      </c>
      <c r="AC14" s="443">
        <f t="shared" si="14"/>
        <v>0.62327211854210041</v>
      </c>
      <c r="AD14" s="448"/>
      <c r="AE14" s="449">
        <f t="shared" si="15"/>
        <v>0.13407237602798033</v>
      </c>
      <c r="AF14" s="450">
        <f t="shared" si="16"/>
        <v>3.2450638783842356E-2</v>
      </c>
      <c r="AG14" s="450">
        <v>0.16652301481182269</v>
      </c>
      <c r="AH14" s="451">
        <f t="shared" si="17"/>
        <v>0.80512820512820515</v>
      </c>
      <c r="AI14" s="323">
        <v>1.68</v>
      </c>
      <c r="AJ14" s="323">
        <v>1.95</v>
      </c>
      <c r="AK14" s="325">
        <v>0.38</v>
      </c>
      <c r="AL14" s="452">
        <f t="shared" si="18"/>
        <v>10.749395469534416</v>
      </c>
      <c r="AM14" s="452"/>
      <c r="AN14" s="465"/>
      <c r="AO14" s="449">
        <f t="shared" si="19"/>
        <v>9.0054782754620796E-2</v>
      </c>
      <c r="AP14" s="453">
        <f t="shared" si="20"/>
        <v>0.3616659759601874</v>
      </c>
      <c r="AQ14" s="453">
        <v>0</v>
      </c>
      <c r="AR14" s="453">
        <f t="shared" si="21"/>
        <v>0.13407237602798033</v>
      </c>
      <c r="AS14" s="453">
        <f t="shared" si="22"/>
        <v>6.7036188013990167E-2</v>
      </c>
      <c r="AT14" s="452">
        <f t="shared" si="23"/>
        <v>3.4417203812432517</v>
      </c>
      <c r="AU14" s="452"/>
      <c r="AV14" s="454">
        <f t="shared" si="24"/>
        <v>0.11986333098511279</v>
      </c>
      <c r="AW14" s="107">
        <f t="shared" si="29"/>
        <v>0.2075404480514077</v>
      </c>
      <c r="AX14" s="107">
        <f t="shared" si="29"/>
        <v>9.0793307630144426E-2</v>
      </c>
      <c r="AY14" s="107">
        <f t="shared" si="29"/>
        <v>0.13407237602798033</v>
      </c>
      <c r="AZ14" s="107">
        <f t="shared" si="29"/>
        <v>0.11243284182906238</v>
      </c>
      <c r="BA14" s="451">
        <f t="shared" si="25"/>
        <v>1.3790566747600983E-2</v>
      </c>
      <c r="BB14" s="451">
        <f t="shared" si="26"/>
        <v>2.3878031572770408E-2</v>
      </c>
      <c r="BC14" s="456">
        <f t="shared" si="26"/>
        <v>1.0445990102381586E-2</v>
      </c>
      <c r="BD14" s="451">
        <f t="shared" si="26"/>
        <v>1.5425351818839087E-2</v>
      </c>
      <c r="BE14" s="451">
        <f t="shared" si="26"/>
        <v>1.2935670960610338E-2</v>
      </c>
      <c r="BG14" s="95">
        <v>3.1372376027980334E-2</v>
      </c>
      <c r="BI14" s="329">
        <v>31</v>
      </c>
      <c r="BJ14" s="309">
        <v>4.3330000000000002</v>
      </c>
      <c r="BK14" s="496">
        <f t="shared" si="30"/>
        <v>0.1397741935483871</v>
      </c>
      <c r="BL14" s="455">
        <f t="shared" si="27"/>
        <v>0.16652301481182269</v>
      </c>
    </row>
    <row r="15" spans="1:72" x14ac:dyDescent="0.2">
      <c r="A15" s="77">
        <v>1985</v>
      </c>
      <c r="B15" s="317">
        <v>10941</v>
      </c>
      <c r="C15" s="318">
        <v>1727</v>
      </c>
      <c r="D15" s="443">
        <f t="shared" si="0"/>
        <v>0.15784663193492368</v>
      </c>
      <c r="E15" s="444">
        <f t="shared" si="1"/>
        <v>343.673</v>
      </c>
      <c r="F15" s="444">
        <f t="shared" si="2"/>
        <v>1383.327</v>
      </c>
      <c r="G15" s="319">
        <v>15</v>
      </c>
      <c r="H15" s="318">
        <f t="shared" si="3"/>
        <v>66.328341253677976</v>
      </c>
      <c r="I15" s="493">
        <f t="shared" si="4"/>
        <v>0.19900000000000001</v>
      </c>
      <c r="J15" s="493">
        <v>0.19900000000000001</v>
      </c>
      <c r="L15" s="446">
        <f t="shared" si="5"/>
        <v>118.00339229508396</v>
      </c>
      <c r="M15" s="494">
        <f t="shared" si="6"/>
        <v>51.675051041405979</v>
      </c>
      <c r="N15" s="443">
        <f t="shared" si="7"/>
        <v>6.8328542151177743E-2</v>
      </c>
      <c r="O15" s="443">
        <f t="shared" si="8"/>
        <v>4.7948418019512364E-2</v>
      </c>
      <c r="P15" s="321">
        <v>0.52815047622086431</v>
      </c>
      <c r="Q15" s="321">
        <v>0.52551789824589246</v>
      </c>
      <c r="R15" s="322">
        <v>0.51389134404295223</v>
      </c>
      <c r="S15" s="495">
        <f t="shared" si="9"/>
        <v>0.35644567202147615</v>
      </c>
      <c r="T15" s="495">
        <f t="shared" si="10"/>
        <v>0.43791157217061438</v>
      </c>
      <c r="V15" s="446">
        <f t="shared" si="11"/>
        <v>78.505392853609123</v>
      </c>
      <c r="W15" s="447">
        <f t="shared" si="28"/>
        <v>77.0801600869856</v>
      </c>
      <c r="X15" s="444">
        <v>1.4252327666235287</v>
      </c>
      <c r="Y15" s="318">
        <v>33.945</v>
      </c>
      <c r="Z15" s="194">
        <v>5.5389999999999997</v>
      </c>
      <c r="AA15" s="318">
        <v>58.744434550592125</v>
      </c>
      <c r="AB15" s="443">
        <f t="shared" si="13"/>
        <v>0.66528081376928072</v>
      </c>
      <c r="AC15" s="443">
        <f t="shared" si="14"/>
        <v>0.61676851845522473</v>
      </c>
      <c r="AD15" s="448"/>
      <c r="AE15" s="449">
        <f t="shared" si="15"/>
        <v>0.14440767095738724</v>
      </c>
      <c r="AF15" s="450">
        <f t="shared" si="16"/>
        <v>3.1064440845484487E-2</v>
      </c>
      <c r="AG15" s="450">
        <v>0.17547211180287173</v>
      </c>
      <c r="AH15" s="451">
        <f t="shared" si="17"/>
        <v>0.82296650717703346</v>
      </c>
      <c r="AI15" s="323">
        <v>1.8</v>
      </c>
      <c r="AJ15" s="323">
        <v>2.09</v>
      </c>
      <c r="AK15" s="325">
        <v>0.37</v>
      </c>
      <c r="AL15" s="452">
        <f t="shared" si="18"/>
        <v>11.336780939584406</v>
      </c>
      <c r="AM15" s="452"/>
      <c r="AN15" s="465"/>
      <c r="AO15" s="449">
        <f t="shared" si="19"/>
        <v>9.6996874534798022E-2</v>
      </c>
      <c r="AP15" s="453">
        <f t="shared" si="20"/>
        <v>0.3616659759601874</v>
      </c>
      <c r="AQ15" s="453">
        <v>0</v>
      </c>
      <c r="AR15" s="453">
        <f t="shared" si="21"/>
        <v>0.14440767095738724</v>
      </c>
      <c r="AS15" s="453">
        <f t="shared" si="22"/>
        <v>7.220383547869362E-2</v>
      </c>
      <c r="AT15" s="452">
        <f t="shared" si="23"/>
        <v>3.8311824962002565</v>
      </c>
      <c r="AU15" s="452"/>
      <c r="AV15" s="454">
        <f t="shared" si="24"/>
        <v>0.12853836776026789</v>
      </c>
      <c r="AW15" s="107">
        <f t="shared" si="29"/>
        <v>0.21712819400978992</v>
      </c>
      <c r="AX15" s="107">
        <f t="shared" si="29"/>
        <v>9.607165284905711E-2</v>
      </c>
      <c r="AY15" s="107">
        <f t="shared" si="29"/>
        <v>0.14440767095738724</v>
      </c>
      <c r="AZ15" s="107">
        <f t="shared" si="29"/>
        <v>0.12023966190322218</v>
      </c>
      <c r="BA15" s="451">
        <f t="shared" si="25"/>
        <v>1.3826603827250858E-2</v>
      </c>
      <c r="BB15" s="451">
        <f t="shared" si="26"/>
        <v>2.3356026458177977E-2</v>
      </c>
      <c r="BC15" s="456">
        <f t="shared" si="26"/>
        <v>1.0334227095916877E-2</v>
      </c>
      <c r="BD15" s="451">
        <f t="shared" si="26"/>
        <v>1.553363163649085E-2</v>
      </c>
      <c r="BE15" s="451">
        <f t="shared" si="26"/>
        <v>1.2933929366203861E-2</v>
      </c>
      <c r="BG15" s="95">
        <v>3.4307670957387237E-2</v>
      </c>
      <c r="BI15" s="329">
        <v>29</v>
      </c>
      <c r="BJ15" s="309">
        <v>4.524</v>
      </c>
      <c r="BK15" s="496">
        <f t="shared" si="30"/>
        <v>0.156</v>
      </c>
      <c r="BL15" s="455">
        <f t="shared" si="27"/>
        <v>0.17547211180287173</v>
      </c>
    </row>
    <row r="16" spans="1:72" x14ac:dyDescent="0.2">
      <c r="A16" s="77">
        <v>1986</v>
      </c>
      <c r="B16" s="317">
        <v>12942</v>
      </c>
      <c r="C16" s="318">
        <v>2034</v>
      </c>
      <c r="D16" s="443">
        <f t="shared" si="0"/>
        <v>0.15716272600834491</v>
      </c>
      <c r="E16" s="444">
        <f t="shared" si="1"/>
        <v>410.86800000000005</v>
      </c>
      <c r="F16" s="444">
        <f t="shared" si="2"/>
        <v>1623.1320000000001</v>
      </c>
      <c r="G16" s="319">
        <v>13</v>
      </c>
      <c r="H16" s="318">
        <f t="shared" si="3"/>
        <v>69.478840354565349</v>
      </c>
      <c r="I16" s="493">
        <f t="shared" si="4"/>
        <v>0.20200000000000001</v>
      </c>
      <c r="J16" s="493">
        <v>0.20200000000000001</v>
      </c>
      <c r="L16" s="446">
        <f t="shared" si="5"/>
        <v>108.793610893909</v>
      </c>
      <c r="M16" s="494">
        <f t="shared" si="6"/>
        <v>39.314770539343655</v>
      </c>
      <c r="N16" s="443">
        <f t="shared" si="7"/>
        <v>5.3487517646956244E-2</v>
      </c>
      <c r="O16" s="443">
        <f t="shared" si="8"/>
        <v>4.2805415920926543E-2</v>
      </c>
      <c r="P16" s="321">
        <v>0.43388928317955999</v>
      </c>
      <c r="Q16" s="321">
        <v>0.42804880183444488</v>
      </c>
      <c r="R16" s="322">
        <v>0.41778949258721598</v>
      </c>
      <c r="S16" s="495">
        <f t="shared" si="9"/>
        <v>0.30989474629360803</v>
      </c>
      <c r="T16" s="495">
        <f t="shared" si="10"/>
        <v>0.3613702148160316</v>
      </c>
      <c r="V16" s="446">
        <f t="shared" si="11"/>
        <v>68.253460178439852</v>
      </c>
      <c r="W16" s="447">
        <f t="shared" si="28"/>
        <v>66.850590818668707</v>
      </c>
      <c r="X16" s="444">
        <v>1.4028693597711464</v>
      </c>
      <c r="Y16" s="318">
        <v>35.744999999999997</v>
      </c>
      <c r="Z16" s="194">
        <v>4.3540000000000001</v>
      </c>
      <c r="AA16" s="318">
        <v>61.534709186376347</v>
      </c>
      <c r="AB16" s="443">
        <f t="shared" si="13"/>
        <v>0.62736643831959749</v>
      </c>
      <c r="AC16" s="443">
        <f t="shared" si="14"/>
        <v>0.59733106004617009</v>
      </c>
      <c r="AD16" s="448"/>
      <c r="AE16" s="449">
        <f t="shared" si="15"/>
        <v>0.137171529646264</v>
      </c>
      <c r="AF16" s="450">
        <f t="shared" si="16"/>
        <v>4.7222985615926943E-2</v>
      </c>
      <c r="AG16" s="450">
        <v>0.18439451526219094</v>
      </c>
      <c r="AH16" s="451">
        <f t="shared" si="17"/>
        <v>0.74390243902439024</v>
      </c>
      <c r="AI16" s="323">
        <v>1.4</v>
      </c>
      <c r="AJ16" s="323">
        <v>1.64</v>
      </c>
      <c r="AK16" s="325">
        <v>0.42</v>
      </c>
      <c r="AL16" s="452">
        <f t="shared" si="18"/>
        <v>9.3624315363269623</v>
      </c>
      <c r="AM16" s="452"/>
      <c r="AN16" s="465"/>
      <c r="AO16" s="449">
        <f t="shared" si="19"/>
        <v>9.213644651031859E-2</v>
      </c>
      <c r="AP16" s="453">
        <f t="shared" si="20"/>
        <v>0.3616659759601874</v>
      </c>
      <c r="AQ16" s="453">
        <v>0</v>
      </c>
      <c r="AR16" s="453">
        <f t="shared" si="21"/>
        <v>0.137171529646264</v>
      </c>
      <c r="AS16" s="453">
        <f t="shared" si="22"/>
        <v>6.8585764823132001E-2</v>
      </c>
      <c r="AT16" s="452">
        <f t="shared" si="23"/>
        <v>3.7352254279160775</v>
      </c>
      <c r="AU16" s="452"/>
      <c r="AV16" s="454">
        <f t="shared" si="24"/>
        <v>0.12038994621674363</v>
      </c>
      <c r="AW16" s="107">
        <f t="shared" si="29"/>
        <v>0.22082569475369118</v>
      </c>
      <c r="AX16" s="107">
        <f t="shared" si="29"/>
        <v>8.6056813993027725E-2</v>
      </c>
      <c r="AY16" s="107">
        <f t="shared" si="29"/>
        <v>0.137171529646264</v>
      </c>
      <c r="AZ16" s="107">
        <f t="shared" si="29"/>
        <v>0.11161417181964586</v>
      </c>
      <c r="BA16" s="451">
        <f t="shared" si="25"/>
        <v>1.0137322124985155E-2</v>
      </c>
      <c r="BB16" s="451">
        <f t="shared" si="26"/>
        <v>1.8594419812777301E-2</v>
      </c>
      <c r="BC16" s="456">
        <f t="shared" si="26"/>
        <v>7.246333036204331E-3</v>
      </c>
      <c r="BD16" s="451">
        <f t="shared" si="26"/>
        <v>1.1550399564907634E-2</v>
      </c>
      <c r="BE16" s="451">
        <f t="shared" si="26"/>
        <v>9.3983663005559812E-3</v>
      </c>
      <c r="BG16" s="95">
        <v>1.9671529646263994E-2</v>
      </c>
      <c r="BI16" s="329">
        <v>31</v>
      </c>
      <c r="BJ16" s="309">
        <v>6.0030000000000001</v>
      </c>
      <c r="BK16" s="496">
        <f t="shared" si="30"/>
        <v>0.19364516129032258</v>
      </c>
      <c r="BL16" s="455">
        <f t="shared" si="27"/>
        <v>0.18439451526219094</v>
      </c>
    </row>
    <row r="17" spans="1:64" x14ac:dyDescent="0.2">
      <c r="A17" s="77">
        <v>1987</v>
      </c>
      <c r="B17" s="317">
        <v>14713</v>
      </c>
      <c r="C17" s="318">
        <v>2330</v>
      </c>
      <c r="D17" s="443">
        <f t="shared" si="0"/>
        <v>0.15836335213756542</v>
      </c>
      <c r="E17" s="444">
        <f t="shared" si="1"/>
        <v>496.28999999999996</v>
      </c>
      <c r="F17" s="444">
        <f t="shared" si="2"/>
        <v>1833.71</v>
      </c>
      <c r="G17" s="319">
        <v>19</v>
      </c>
      <c r="H17" s="318">
        <f t="shared" si="3"/>
        <v>89.273150301236996</v>
      </c>
      <c r="I17" s="493">
        <f t="shared" si="4"/>
        <v>0.21299999999999999</v>
      </c>
      <c r="J17" s="493">
        <v>0.21299999999999999</v>
      </c>
      <c r="L17" s="446">
        <f t="shared" si="5"/>
        <v>133.30462658576738</v>
      </c>
      <c r="M17" s="494">
        <f t="shared" si="6"/>
        <v>44.031476284530392</v>
      </c>
      <c r="N17" s="443">
        <f t="shared" si="7"/>
        <v>5.7212286088312178E-2</v>
      </c>
      <c r="O17" s="443">
        <f t="shared" si="8"/>
        <v>4.8684443178712553E-2</v>
      </c>
      <c r="P17" s="321">
        <v>0.39543510888341404</v>
      </c>
      <c r="Q17" s="321">
        <v>0.38909942041908152</v>
      </c>
      <c r="R17" s="322">
        <v>0.37807839072384458</v>
      </c>
      <c r="S17" s="495">
        <f t="shared" si="9"/>
        <v>0.2955391953619223</v>
      </c>
      <c r="T17" s="495">
        <f t="shared" si="10"/>
        <v>0.33030718747185273</v>
      </c>
      <c r="V17" s="446">
        <f t="shared" si="11"/>
        <v>78.533841356719634</v>
      </c>
      <c r="W17" s="447">
        <f t="shared" si="28"/>
        <v>76.441562488596958</v>
      </c>
      <c r="X17" s="444">
        <v>2.0922788681226812</v>
      </c>
      <c r="Y17" s="318">
        <v>43.716999999999999</v>
      </c>
      <c r="Z17" s="194">
        <v>4.88</v>
      </c>
      <c r="AA17" s="318">
        <v>79.065760365376065</v>
      </c>
      <c r="AB17" s="443">
        <f t="shared" si="13"/>
        <v>0.58913065036187207</v>
      </c>
      <c r="AC17" s="443">
        <f t="shared" si="14"/>
        <v>0.56779982219827996</v>
      </c>
      <c r="AD17" s="448"/>
      <c r="AE17" s="449">
        <f t="shared" si="15"/>
        <v>0.16245661898654001</v>
      </c>
      <c r="AF17" s="450">
        <f t="shared" si="16"/>
        <v>5.1986118075692811E-2</v>
      </c>
      <c r="AG17" s="450">
        <v>0.21444273706223282</v>
      </c>
      <c r="AH17" s="451">
        <f t="shared" si="17"/>
        <v>0.75757575757575757</v>
      </c>
      <c r="AI17" s="323">
        <v>1.69</v>
      </c>
      <c r="AJ17" s="323">
        <v>1.98</v>
      </c>
      <c r="AK17" s="325">
        <v>0.48</v>
      </c>
      <c r="AL17" s="452">
        <f t="shared" si="18"/>
        <v>12.758342342837981</v>
      </c>
      <c r="AM17" s="452"/>
      <c r="AN17" s="465"/>
      <c r="AO17" s="449">
        <f t="shared" si="19"/>
        <v>0.10912013319455043</v>
      </c>
      <c r="AP17" s="453">
        <f t="shared" si="20"/>
        <v>0.3616659759601874</v>
      </c>
      <c r="AQ17" s="453">
        <v>0</v>
      </c>
      <c r="AR17" s="453">
        <f t="shared" si="21"/>
        <v>0.16245661898654001</v>
      </c>
      <c r="AS17" s="453">
        <f t="shared" si="22"/>
        <v>8.1228309493270007E-2</v>
      </c>
      <c r="AT17" s="452">
        <f t="shared" si="23"/>
        <v>5.9765953793638049</v>
      </c>
      <c r="AU17" s="452"/>
      <c r="AV17" s="454">
        <f t="shared" si="24"/>
        <v>0.14054229175720201</v>
      </c>
      <c r="AW17" s="107">
        <f t="shared" si="29"/>
        <v>0.24430563792813217</v>
      </c>
      <c r="AX17" s="107">
        <f t="shared" si="29"/>
        <v>9.5708173599131169E-2</v>
      </c>
      <c r="AY17" s="107">
        <f t="shared" si="29"/>
        <v>0.16245661898654001</v>
      </c>
      <c r="AZ17" s="107">
        <f t="shared" si="29"/>
        <v>0.12908239629283558</v>
      </c>
      <c r="BA17" s="451">
        <f t="shared" si="25"/>
        <v>1.2658344660792308E-2</v>
      </c>
      <c r="BB17" s="451">
        <f t="shared" si="26"/>
        <v>2.2004088084827726E-2</v>
      </c>
      <c r="BC17" s="456">
        <f t="shared" si="26"/>
        <v>8.6202311996286512E-3</v>
      </c>
      <c r="BD17" s="451">
        <f t="shared" si="26"/>
        <v>1.4632121405215796E-2</v>
      </c>
      <c r="BE17" s="451">
        <f t="shared" si="26"/>
        <v>1.1626176302422221E-2</v>
      </c>
      <c r="BG17" s="95">
        <v>3.7556618986540002E-2</v>
      </c>
      <c r="BI17" s="329">
        <v>40</v>
      </c>
      <c r="BJ17" s="309">
        <v>7.9779999999999998</v>
      </c>
      <c r="BK17" s="496">
        <f t="shared" si="30"/>
        <v>0.19944999999999999</v>
      </c>
      <c r="BL17" s="455">
        <f t="shared" si="27"/>
        <v>0.21444273706223282</v>
      </c>
    </row>
    <row r="18" spans="1:64" x14ac:dyDescent="0.2">
      <c r="A18" s="77">
        <v>1988</v>
      </c>
      <c r="B18" s="317">
        <v>16462</v>
      </c>
      <c r="C18" s="318">
        <v>2667</v>
      </c>
      <c r="D18" s="443">
        <f t="shared" si="0"/>
        <v>0.16200947636982141</v>
      </c>
      <c r="E18" s="444">
        <f t="shared" si="1"/>
        <v>576.072</v>
      </c>
      <c r="F18" s="444">
        <f t="shared" si="2"/>
        <v>2090.9279999999999</v>
      </c>
      <c r="G18" s="319">
        <v>17</v>
      </c>
      <c r="H18" s="318">
        <f t="shared" si="3"/>
        <v>117.36164001310547</v>
      </c>
      <c r="I18" s="493">
        <f t="shared" si="4"/>
        <v>0.216</v>
      </c>
      <c r="J18" s="493">
        <v>0.216</v>
      </c>
      <c r="L18" s="446">
        <f t="shared" si="5"/>
        <v>174.51648204013651</v>
      </c>
      <c r="M18" s="494">
        <f t="shared" si="6"/>
        <v>57.154842027031037</v>
      </c>
      <c r="N18" s="443">
        <f t="shared" si="7"/>
        <v>6.5435501327385265E-2</v>
      </c>
      <c r="O18" s="443">
        <f t="shared" si="8"/>
        <v>5.6128972405126085E-2</v>
      </c>
      <c r="P18" s="321">
        <v>0.38424259035469122</v>
      </c>
      <c r="Q18" s="321">
        <v>0.37896418258892917</v>
      </c>
      <c r="R18" s="322">
        <v>0.3702297661204923</v>
      </c>
      <c r="S18" s="495">
        <f t="shared" si="9"/>
        <v>0.29311488306024613</v>
      </c>
      <c r="T18" s="495">
        <f t="shared" si="10"/>
        <v>0.32750397761219008</v>
      </c>
      <c r="V18" s="446">
        <f t="shared" si="11"/>
        <v>95.726289024537238</v>
      </c>
      <c r="W18" s="447">
        <f t="shared" si="28"/>
        <v>93.806263814969441</v>
      </c>
      <c r="X18" s="444">
        <v>1.9200252095678005</v>
      </c>
      <c r="Y18" s="318">
        <v>55.817</v>
      </c>
      <c r="Z18" s="194">
        <v>3.9289999999999998</v>
      </c>
      <c r="AA18" s="318">
        <v>103.94264427828925</v>
      </c>
      <c r="AB18" s="443">
        <f t="shared" si="13"/>
        <v>0.54852291259527819</v>
      </c>
      <c r="AC18" s="443">
        <f t="shared" si="14"/>
        <v>0.52543595337183191</v>
      </c>
      <c r="AE18" s="449">
        <f t="shared" si="15"/>
        <v>0.11692066382662823</v>
      </c>
      <c r="AF18" s="450">
        <f t="shared" si="16"/>
        <v>5.8987001570190808E-2</v>
      </c>
      <c r="AG18" s="450">
        <v>0.17590766539681904</v>
      </c>
      <c r="AH18" s="451">
        <f t="shared" si="17"/>
        <v>0.66467065868263475</v>
      </c>
      <c r="AI18" s="323">
        <v>1.43</v>
      </c>
      <c r="AJ18" s="323">
        <v>1.67</v>
      </c>
      <c r="AK18" s="325">
        <v>0.56000000000000005</v>
      </c>
      <c r="AL18" s="452">
        <f t="shared" si="18"/>
        <v>11.19238125840857</v>
      </c>
      <c r="AM18" s="452"/>
      <c r="AN18" s="465"/>
      <c r="AO18" s="449">
        <f t="shared" si="19"/>
        <v>7.8534186477277335E-2</v>
      </c>
      <c r="AP18" s="453">
        <f t="shared" si="20"/>
        <v>0.3616659759601874</v>
      </c>
      <c r="AQ18" s="453">
        <v>0</v>
      </c>
      <c r="AR18" s="453">
        <f t="shared" si="21"/>
        <v>0.11692066382662823</v>
      </c>
      <c r="AS18" s="453">
        <f t="shared" si="22"/>
        <v>5.8460331913314116E-2</v>
      </c>
      <c r="AT18" s="452">
        <f t="shared" si="23"/>
        <v>6.187723710867747</v>
      </c>
      <c r="AU18" s="452"/>
      <c r="AV18" s="454">
        <f t="shared" si="24"/>
        <v>9.9590048837215964E-2</v>
      </c>
      <c r="AW18" s="107">
        <f t="shared" si="29"/>
        <v>0.22741756450464706</v>
      </c>
      <c r="AX18" s="107">
        <f t="shared" si="29"/>
        <v>6.41336630647555E-2</v>
      </c>
      <c r="AY18" s="107">
        <f t="shared" si="29"/>
        <v>0.11692066382662823</v>
      </c>
      <c r="AZ18" s="107">
        <f t="shared" si="29"/>
        <v>9.0527163445691866E-2</v>
      </c>
      <c r="BA18" s="451">
        <f t="shared" si="25"/>
        <v>1.0259116535999811E-2</v>
      </c>
      <c r="BB18" s="451">
        <f t="shared" si="26"/>
        <v>2.3427072522074786E-2</v>
      </c>
      <c r="BC18" s="456">
        <f t="shared" si="26"/>
        <v>6.6066311940194706E-3</v>
      </c>
      <c r="BD18" s="451">
        <f t="shared" si="26"/>
        <v>1.2044403328132443E-2</v>
      </c>
      <c r="BE18" s="451">
        <f t="shared" si="26"/>
        <v>9.3255172610759562E-3</v>
      </c>
      <c r="BG18" s="95">
        <v>-1.5379336173371769E-2</v>
      </c>
      <c r="BI18" s="329">
        <v>52</v>
      </c>
      <c r="BJ18" s="309">
        <v>9.76</v>
      </c>
      <c r="BK18" s="496">
        <f t="shared" si="30"/>
        <v>0.18769230769230769</v>
      </c>
      <c r="BL18" s="455">
        <f t="shared" si="27"/>
        <v>0.17590766539681904</v>
      </c>
    </row>
    <row r="19" spans="1:64" x14ac:dyDescent="0.2">
      <c r="A19" s="77">
        <v>1989</v>
      </c>
      <c r="B19" s="317">
        <v>17265</v>
      </c>
      <c r="C19" s="318">
        <v>2818</v>
      </c>
      <c r="D19" s="443">
        <f t="shared" si="0"/>
        <v>0.16322038806834638</v>
      </c>
      <c r="E19" s="444">
        <f t="shared" si="1"/>
        <v>628.41399999999999</v>
      </c>
      <c r="F19" s="444">
        <f t="shared" si="2"/>
        <v>2189.5860000000002</v>
      </c>
      <c r="G19" s="319">
        <v>24</v>
      </c>
      <c r="H19" s="318">
        <f t="shared" si="3"/>
        <v>122.03670654247962</v>
      </c>
      <c r="I19" s="493">
        <f t="shared" si="4"/>
        <v>0.223</v>
      </c>
      <c r="J19" s="493">
        <v>0.223</v>
      </c>
      <c r="L19" s="446">
        <f t="shared" si="5"/>
        <v>180.51606165870589</v>
      </c>
      <c r="M19" s="494">
        <f t="shared" si="6"/>
        <v>58.47935511622628</v>
      </c>
      <c r="N19" s="443">
        <f t="shared" si="7"/>
        <v>6.4058219183359077E-2</v>
      </c>
      <c r="O19" s="443">
        <f t="shared" si="8"/>
        <v>5.5735059752153884E-2</v>
      </c>
      <c r="P19" s="321">
        <v>0.38894081360843047</v>
      </c>
      <c r="Q19" s="321">
        <v>0.37950138504155123</v>
      </c>
      <c r="R19" s="322">
        <v>0.36887141974801491</v>
      </c>
      <c r="S19" s="495">
        <f t="shared" si="9"/>
        <v>0.29593570987400747</v>
      </c>
      <c r="T19" s="495">
        <f t="shared" si="10"/>
        <v>0.32395651987350982</v>
      </c>
      <c r="V19" s="446">
        <f t="shared" si="11"/>
        <v>98.545215145224063</v>
      </c>
      <c r="W19" s="447">
        <f t="shared" si="28"/>
        <v>96.017254464285713</v>
      </c>
      <c r="X19" s="444">
        <v>2.5279606809383548</v>
      </c>
      <c r="Y19" s="318">
        <v>55.953000000000003</v>
      </c>
      <c r="Z19" s="194">
        <v>5.843</v>
      </c>
      <c r="AA19" s="318">
        <v>108.08316904588632</v>
      </c>
      <c r="AB19" s="443">
        <f t="shared" si="13"/>
        <v>0.54590829336582436</v>
      </c>
      <c r="AC19" s="443">
        <f t="shared" si="14"/>
        <v>0.527086992949518</v>
      </c>
      <c r="AE19" s="449">
        <f t="shared" si="15"/>
        <v>0.15281947054870351</v>
      </c>
      <c r="AF19" s="450">
        <f t="shared" si="16"/>
        <v>5.8162634313312533E-2</v>
      </c>
      <c r="AG19" s="450">
        <v>0.21098210486201605</v>
      </c>
      <c r="AH19" s="451">
        <f t="shared" si="17"/>
        <v>0.72432432432432425</v>
      </c>
      <c r="AI19" s="323">
        <v>1.57</v>
      </c>
      <c r="AJ19" s="323">
        <v>1.85</v>
      </c>
      <c r="AK19" s="325">
        <v>0.51</v>
      </c>
      <c r="AL19" s="452">
        <f t="shared" si="18"/>
        <v>15.05962760360122</v>
      </c>
      <c r="AM19" s="452"/>
      <c r="AN19" s="465"/>
      <c r="AO19" s="449">
        <f t="shared" si="19"/>
        <v>0.10264697791338886</v>
      </c>
      <c r="AP19" s="453">
        <f t="shared" si="20"/>
        <v>0.3616659759601874</v>
      </c>
      <c r="AQ19" s="453">
        <v>0</v>
      </c>
      <c r="AR19" s="453">
        <f t="shared" si="21"/>
        <v>0.15281947054870351</v>
      </c>
      <c r="AS19" s="453">
        <f t="shared" si="22"/>
        <v>7.6409735274351756E-2</v>
      </c>
      <c r="AT19" s="452">
        <f t="shared" si="23"/>
        <v>8.4140596716111578</v>
      </c>
      <c r="AU19" s="452"/>
      <c r="AV19" s="454">
        <f t="shared" si="24"/>
        <v>0.13003655774184286</v>
      </c>
      <c r="AW19" s="107">
        <f t="shared" si="29"/>
        <v>0.24765493661558782</v>
      </c>
      <c r="AX19" s="107">
        <f t="shared" si="29"/>
        <v>8.3425416360311588E-2</v>
      </c>
      <c r="AY19" s="107">
        <f t="shared" si="29"/>
        <v>0.15281947054870351</v>
      </c>
      <c r="AZ19" s="107">
        <f t="shared" si="29"/>
        <v>0.11812244345450755</v>
      </c>
      <c r="BA19" s="451">
        <f t="shared" si="25"/>
        <v>1.3113569110526819E-2</v>
      </c>
      <c r="BB19" s="451">
        <f t="shared" si="26"/>
        <v>2.4974823874675912E-2</v>
      </c>
      <c r="BC19" s="456">
        <f t="shared" si="26"/>
        <v>8.4130569280933404E-3</v>
      </c>
      <c r="BD19" s="451">
        <f t="shared" si="26"/>
        <v>1.5411117637034281E-2</v>
      </c>
      <c r="BE19" s="451">
        <f t="shared" si="26"/>
        <v>1.1912087282563811E-2</v>
      </c>
      <c r="BG19" s="95">
        <v>1.3119470548703521E-2</v>
      </c>
      <c r="BI19" s="329">
        <v>54</v>
      </c>
      <c r="BJ19" s="309">
        <v>11.89</v>
      </c>
      <c r="BK19" s="496">
        <f t="shared" si="30"/>
        <v>0.22018518518518521</v>
      </c>
      <c r="BL19" s="455">
        <f t="shared" si="27"/>
        <v>0.21098210486201605</v>
      </c>
    </row>
    <row r="20" spans="1:64" x14ac:dyDescent="0.2">
      <c r="A20" s="77">
        <v>1990</v>
      </c>
      <c r="B20" s="317">
        <v>19398</v>
      </c>
      <c r="C20" s="318">
        <v>3102</v>
      </c>
      <c r="D20" s="443">
        <f t="shared" si="0"/>
        <v>0.15991339313331271</v>
      </c>
      <c r="E20" s="444">
        <f t="shared" si="1"/>
        <v>673.13400000000001</v>
      </c>
      <c r="F20" s="444">
        <f t="shared" si="2"/>
        <v>2428.866</v>
      </c>
      <c r="G20" s="319">
        <v>31</v>
      </c>
      <c r="H20" s="318">
        <f t="shared" si="3"/>
        <v>127.98039742718741</v>
      </c>
      <c r="I20" s="493">
        <f t="shared" si="4"/>
        <v>0.217</v>
      </c>
      <c r="J20" s="493">
        <v>0.217</v>
      </c>
      <c r="L20" s="446">
        <f t="shared" si="5"/>
        <v>187.06249559386504</v>
      </c>
      <c r="M20" s="494">
        <f t="shared" si="6"/>
        <v>59.082098166677625</v>
      </c>
      <c r="N20" s="443">
        <f t="shared" si="7"/>
        <v>6.030383481426984E-2</v>
      </c>
      <c r="O20" s="443">
        <f t="shared" si="8"/>
        <v>5.2691419546071053E-2</v>
      </c>
      <c r="P20" s="321">
        <v>0.37473248595920783</v>
      </c>
      <c r="Q20" s="321">
        <v>0.37227632058073834</v>
      </c>
      <c r="R20" s="322">
        <v>0.36001643646700465</v>
      </c>
      <c r="S20" s="495">
        <f t="shared" si="9"/>
        <v>0.28850821823350231</v>
      </c>
      <c r="T20" s="495">
        <f t="shared" si="10"/>
        <v>0.31584149446477983</v>
      </c>
      <c r="V20" s="446">
        <f t="shared" si="11"/>
        <v>101.47991102324218</v>
      </c>
      <c r="W20" s="447">
        <f t="shared" si="28"/>
        <v>98.580819180389199</v>
      </c>
      <c r="X20" s="444">
        <v>2.8990918428529842</v>
      </c>
      <c r="Y20" s="318">
        <v>57.988999999999997</v>
      </c>
      <c r="Z20" s="194">
        <v>6.2009999999999996</v>
      </c>
      <c r="AA20" s="318">
        <v>113.34726511049742</v>
      </c>
      <c r="AB20" s="443">
        <f t="shared" si="13"/>
        <v>0.54249201958455184</v>
      </c>
      <c r="AC20" s="443">
        <f t="shared" si="14"/>
        <v>0.52421381079881657</v>
      </c>
      <c r="AE20" s="449">
        <f t="shared" si="15"/>
        <v>0.1945182377452386</v>
      </c>
      <c r="AF20" s="450">
        <f t="shared" si="16"/>
        <v>4.9943871853507238E-2</v>
      </c>
      <c r="AG20" s="450">
        <v>0.24446210959874584</v>
      </c>
      <c r="AH20" s="451">
        <f t="shared" si="17"/>
        <v>0.79569892473118276</v>
      </c>
      <c r="AI20" s="323">
        <v>1.58</v>
      </c>
      <c r="AJ20" s="323">
        <v>1.86</v>
      </c>
      <c r="AK20" s="325">
        <v>0.38</v>
      </c>
      <c r="AL20" s="452">
        <f t="shared" si="18"/>
        <v>19.739693458784682</v>
      </c>
      <c r="AM20" s="452"/>
      <c r="AN20" s="465"/>
      <c r="AO20" s="449">
        <f t="shared" si="19"/>
        <v>0.1306555321903399</v>
      </c>
      <c r="AP20" s="453">
        <f t="shared" si="20"/>
        <v>0.3616659759601874</v>
      </c>
      <c r="AQ20" s="453">
        <v>0</v>
      </c>
      <c r="AR20" s="453">
        <f t="shared" si="21"/>
        <v>0.1945182377452386</v>
      </c>
      <c r="AS20" s="453">
        <f t="shared" si="22"/>
        <v>9.7259118872619302E-2</v>
      </c>
      <c r="AT20" s="452">
        <f t="shared" si="23"/>
        <v>11.181838133299502</v>
      </c>
      <c r="AU20" s="452"/>
      <c r="AV20" s="454">
        <f t="shared" si="24"/>
        <v>0.16530054030295047</v>
      </c>
      <c r="AW20" s="107">
        <f t="shared" si="29"/>
        <v>0.27098966188696988</v>
      </c>
      <c r="AX20" s="107">
        <f t="shared" si="29"/>
        <v>0.10552459164044249</v>
      </c>
      <c r="AY20" s="107">
        <f t="shared" si="29"/>
        <v>0.1945182377452386</v>
      </c>
      <c r="AZ20" s="107">
        <f t="shared" si="29"/>
        <v>0.15002141469284055</v>
      </c>
      <c r="BA20" s="451">
        <f t="shared" si="25"/>
        <v>1.5692776421256462E-2</v>
      </c>
      <c r="BB20" s="451">
        <f t="shared" si="26"/>
        <v>2.5726353759463156E-2</v>
      </c>
      <c r="BC20" s="456">
        <f t="shared" si="26"/>
        <v>1.0017957718244038E-2</v>
      </c>
      <c r="BD20" s="451">
        <f t="shared" si="26"/>
        <v>1.8466553159465708E-2</v>
      </c>
      <c r="BE20" s="451">
        <f t="shared" si="26"/>
        <v>1.4242255438854875E-2</v>
      </c>
      <c r="BG20" s="95">
        <v>4.7418237745238595E-2</v>
      </c>
      <c r="BI20" s="329">
        <v>58</v>
      </c>
      <c r="BJ20" s="309">
        <v>14.295999999999999</v>
      </c>
      <c r="BK20" s="496">
        <f t="shared" si="30"/>
        <v>0.24648275862068963</v>
      </c>
      <c r="BL20" s="455">
        <f t="shared" si="27"/>
        <v>0.24446210959874584</v>
      </c>
    </row>
    <row r="21" spans="1:64" x14ac:dyDescent="0.2">
      <c r="A21" s="77">
        <v>1991</v>
      </c>
      <c r="B21" s="317">
        <v>20523</v>
      </c>
      <c r="C21" s="318">
        <v>3211</v>
      </c>
      <c r="D21" s="443">
        <f t="shared" si="0"/>
        <v>0.15645860741606976</v>
      </c>
      <c r="E21" s="444">
        <f t="shared" si="1"/>
        <v>671.09899999999993</v>
      </c>
      <c r="F21" s="444">
        <f t="shared" si="2"/>
        <v>2539.9009999999998</v>
      </c>
      <c r="G21" s="319">
        <v>29</v>
      </c>
      <c r="H21" s="318">
        <f t="shared" si="3"/>
        <v>111.88609420443991</v>
      </c>
      <c r="I21" s="493">
        <f t="shared" si="4"/>
        <v>0.20899999999999999</v>
      </c>
      <c r="J21" s="493">
        <v>0.20899999999999999</v>
      </c>
      <c r="L21" s="446">
        <f t="shared" si="5"/>
        <v>161.06215987490907</v>
      </c>
      <c r="M21" s="494">
        <f t="shared" si="6"/>
        <v>49.17606567046915</v>
      </c>
      <c r="N21" s="443">
        <f t="shared" si="7"/>
        <v>5.0159501673905038E-2</v>
      </c>
      <c r="O21" s="443">
        <f t="shared" si="8"/>
        <v>4.4051360350045109E-2</v>
      </c>
      <c r="P21" s="321">
        <v>0.36666621192071047</v>
      </c>
      <c r="Q21" s="321">
        <v>0.35891032917139609</v>
      </c>
      <c r="R21" s="322">
        <v>0.34661208083879746</v>
      </c>
      <c r="S21" s="495">
        <f t="shared" si="9"/>
        <v>0.27780604041939871</v>
      </c>
      <c r="T21" s="495">
        <f t="shared" si="10"/>
        <v>0.30532352048837763</v>
      </c>
      <c r="V21" s="446">
        <f t="shared" si="11"/>
        <v>89.384633183241164</v>
      </c>
      <c r="W21" s="447">
        <f t="shared" si="28"/>
        <v>86.727615793201124</v>
      </c>
      <c r="X21" s="444">
        <v>2.6570173900400404</v>
      </c>
      <c r="Y21" s="318">
        <v>52.271000000000001</v>
      </c>
      <c r="Z21" s="194">
        <v>5.1929999999999996</v>
      </c>
      <c r="AA21" s="318">
        <v>99.093166116974828</v>
      </c>
      <c r="AB21" s="443">
        <f t="shared" si="13"/>
        <v>0.55496979087243614</v>
      </c>
      <c r="AC21" s="443">
        <f t="shared" si="14"/>
        <v>0.53734128282453075</v>
      </c>
      <c r="AE21" s="449">
        <f t="shared" si="15"/>
        <v>0.2079887457111097</v>
      </c>
      <c r="AF21" s="450">
        <f t="shared" si="16"/>
        <v>5.1581208936355205E-2</v>
      </c>
      <c r="AG21" s="450">
        <v>0.25956995464746491</v>
      </c>
      <c r="AH21" s="451">
        <f t="shared" si="17"/>
        <v>0.80128205128205132</v>
      </c>
      <c r="AI21" s="323">
        <v>1.32</v>
      </c>
      <c r="AJ21" s="323">
        <v>1.56</v>
      </c>
      <c r="AK21" s="325">
        <v>0.31</v>
      </c>
      <c r="AL21" s="452">
        <f t="shared" si="18"/>
        <v>18.590997741629966</v>
      </c>
      <c r="AM21" s="452"/>
      <c r="AN21" s="465"/>
      <c r="AO21" s="449">
        <f t="shared" si="19"/>
        <v>0.13970350839841236</v>
      </c>
      <c r="AP21" s="453">
        <f t="shared" si="20"/>
        <v>0.3616659759601874</v>
      </c>
      <c r="AQ21" s="453">
        <v>0</v>
      </c>
      <c r="AR21" s="453">
        <f t="shared" si="21"/>
        <v>0.2079887457111097</v>
      </c>
      <c r="AS21" s="453">
        <f t="shared" si="22"/>
        <v>0.10399437285555485</v>
      </c>
      <c r="AT21" s="452">
        <f t="shared" si="23"/>
        <v>10.013601952146853</v>
      </c>
      <c r="AU21" s="452"/>
      <c r="AV21" s="454">
        <f t="shared" si="24"/>
        <v>0.17759975226951469</v>
      </c>
      <c r="AW21" s="107">
        <f t="shared" si="29"/>
        <v>0.27637975562700151</v>
      </c>
      <c r="AX21" s="107">
        <f t="shared" si="29"/>
        <v>0.11542747071111485</v>
      </c>
      <c r="AY21" s="107">
        <f t="shared" si="29"/>
        <v>0.2079887457111097</v>
      </c>
      <c r="AZ21" s="107">
        <f t="shared" si="29"/>
        <v>0.16170810821111228</v>
      </c>
      <c r="BA21" s="451">
        <f t="shared" si="25"/>
        <v>1.4024137222373041E-2</v>
      </c>
      <c r="BB21" s="451">
        <f t="shared" si="26"/>
        <v>2.1824285050336279E-2</v>
      </c>
      <c r="BC21" s="456">
        <f t="shared" si="26"/>
        <v>9.1147125364655374E-3</v>
      </c>
      <c r="BD21" s="451">
        <f t="shared" si="26"/>
        <v>1.6423799432644475E-2</v>
      </c>
      <c r="BE21" s="451">
        <f t="shared" si="26"/>
        <v>1.2769255984555007E-2</v>
      </c>
      <c r="BG21" s="95">
        <v>5.3488745711109675E-2</v>
      </c>
      <c r="BI21" s="329">
        <v>52</v>
      </c>
      <c r="BJ21" s="309">
        <v>12.912000000000001</v>
      </c>
      <c r="BK21" s="496">
        <f t="shared" si="30"/>
        <v>0.24830769230769231</v>
      </c>
      <c r="BL21" s="455">
        <f t="shared" si="27"/>
        <v>0.25956995464746491</v>
      </c>
    </row>
    <row r="22" spans="1:64" x14ac:dyDescent="0.2">
      <c r="A22" s="77">
        <v>1992</v>
      </c>
      <c r="B22" s="317">
        <v>21775</v>
      </c>
      <c r="C22" s="318">
        <v>3371</v>
      </c>
      <c r="D22" s="443">
        <f t="shared" si="0"/>
        <v>0.1548105625717566</v>
      </c>
      <c r="E22" s="444">
        <f t="shared" si="1"/>
        <v>691.05499999999995</v>
      </c>
      <c r="F22" s="444">
        <f t="shared" si="2"/>
        <v>2679.9450000000002</v>
      </c>
      <c r="G22" s="319">
        <v>27</v>
      </c>
      <c r="H22" s="318">
        <f t="shared" si="3"/>
        <v>112.49319079032676</v>
      </c>
      <c r="I22" s="493">
        <f t="shared" si="4"/>
        <v>0.20499999999999999</v>
      </c>
      <c r="J22" s="493">
        <v>0.20499999999999999</v>
      </c>
      <c r="L22" s="446">
        <f t="shared" si="5"/>
        <v>165.69258911860487</v>
      </c>
      <c r="M22" s="494">
        <f t="shared" si="6"/>
        <v>53.199398328278114</v>
      </c>
      <c r="N22" s="443">
        <f t="shared" si="7"/>
        <v>4.9152355122695009E-2</v>
      </c>
      <c r="O22" s="443">
        <f t="shared" si="8"/>
        <v>4.1975932636799169E-2</v>
      </c>
      <c r="P22" s="321">
        <v>0.38426425907526601</v>
      </c>
      <c r="Q22" s="321">
        <v>0.3830398024946533</v>
      </c>
      <c r="R22" s="322">
        <v>0.37029224282058071</v>
      </c>
      <c r="S22" s="495">
        <f t="shared" si="9"/>
        <v>0.28764612141029033</v>
      </c>
      <c r="T22" s="495">
        <f t="shared" si="10"/>
        <v>0.32107288932637357</v>
      </c>
      <c r="V22" s="446">
        <f t="shared" si="11"/>
        <v>90.25285306646029</v>
      </c>
      <c r="W22" s="447">
        <f t="shared" si="28"/>
        <v>87.85445085266268</v>
      </c>
      <c r="X22" s="444">
        <v>2.3984022137976133</v>
      </c>
      <c r="Y22" s="318">
        <v>50.735999999999997</v>
      </c>
      <c r="Z22" s="194">
        <v>5.6189999999999998</v>
      </c>
      <c r="AA22" s="318">
        <v>99.630847973349319</v>
      </c>
      <c r="AB22" s="443">
        <f t="shared" si="13"/>
        <v>0.54470060216064431</v>
      </c>
      <c r="AC22" s="443">
        <f t="shared" si="14"/>
        <v>0.52228407604960381</v>
      </c>
      <c r="AE22" s="449">
        <f t="shared" si="15"/>
        <v>0.19240675958185671</v>
      </c>
      <c r="AF22" s="450">
        <f t="shared" si="16"/>
        <v>5.0824427059358385E-2</v>
      </c>
      <c r="AG22" s="450">
        <v>0.2432311866412151</v>
      </c>
      <c r="AH22" s="451">
        <f t="shared" si="17"/>
        <v>0.79104477611940294</v>
      </c>
      <c r="AI22" s="323">
        <v>1.1399999999999999</v>
      </c>
      <c r="AJ22" s="323">
        <v>1.34</v>
      </c>
      <c r="AK22" s="325">
        <v>0.28000000000000003</v>
      </c>
      <c r="AL22" s="452">
        <f t="shared" si="18"/>
        <v>17.365259001535065</v>
      </c>
      <c r="AM22" s="452"/>
      <c r="AN22" s="465"/>
      <c r="AO22" s="449">
        <f t="shared" si="19"/>
        <v>0.12923727801354512</v>
      </c>
      <c r="AP22" s="453">
        <f t="shared" si="20"/>
        <v>0.3616659759601874</v>
      </c>
      <c r="AQ22" s="453">
        <v>0</v>
      </c>
      <c r="AR22" s="453">
        <f t="shared" si="21"/>
        <v>0.19240675958185671</v>
      </c>
      <c r="AS22" s="453">
        <f t="shared" si="22"/>
        <v>9.6203379790928356E-2</v>
      </c>
      <c r="AT22" s="452">
        <f t="shared" si="23"/>
        <v>9.7496261414394727</v>
      </c>
      <c r="AU22" s="452"/>
      <c r="AV22" s="454">
        <f t="shared" si="24"/>
        <v>0.16364573266198018</v>
      </c>
      <c r="AW22" s="107">
        <f t="shared" si="29"/>
        <v>0.26947037887767189</v>
      </c>
      <c r="AX22" s="107">
        <f t="shared" si="29"/>
        <v>0.10480407780401567</v>
      </c>
      <c r="AY22" s="107">
        <f t="shared" si="29"/>
        <v>0.19240675958185671</v>
      </c>
      <c r="AZ22" s="107">
        <f t="shared" si="29"/>
        <v>0.1486054186929362</v>
      </c>
      <c r="BA22" s="451">
        <f t="shared" si="25"/>
        <v>1.2662795706887452E-2</v>
      </c>
      <c r="BB22" s="451">
        <f t="shared" si="26"/>
        <v>2.0851434994847786E-2</v>
      </c>
      <c r="BC22" s="456">
        <f t="shared" si="26"/>
        <v>8.1096683970502109E-3</v>
      </c>
      <c r="BD22" s="451">
        <f t="shared" si="26"/>
        <v>1.4888304446299273E-2</v>
      </c>
      <c r="BE22" s="451">
        <f t="shared" si="26"/>
        <v>1.1498986421674743E-2</v>
      </c>
      <c r="BG22" s="95">
        <v>3.0506759581856724E-2</v>
      </c>
      <c r="BI22" s="329">
        <v>51</v>
      </c>
      <c r="BJ22" s="309">
        <v>13.539</v>
      </c>
      <c r="BK22" s="496">
        <f t="shared" si="30"/>
        <v>0.26547058823529412</v>
      </c>
      <c r="BL22" s="455">
        <f t="shared" si="27"/>
        <v>0.2432311866412151</v>
      </c>
    </row>
    <row r="23" spans="1:64" x14ac:dyDescent="0.2">
      <c r="A23" s="77">
        <v>1993</v>
      </c>
      <c r="B23" s="317">
        <v>22138</v>
      </c>
      <c r="C23" s="318">
        <v>3454</v>
      </c>
      <c r="D23" s="443">
        <f t="shared" si="0"/>
        <v>0.15602132080585418</v>
      </c>
      <c r="E23" s="444">
        <f t="shared" si="1"/>
        <v>683.89200000000005</v>
      </c>
      <c r="F23" s="444">
        <f t="shared" si="2"/>
        <v>2770.1080000000002</v>
      </c>
      <c r="G23" s="319">
        <v>29</v>
      </c>
      <c r="H23" s="318">
        <f t="shared" si="3"/>
        <v>131.69360373681531</v>
      </c>
      <c r="I23" s="493">
        <f t="shared" si="4"/>
        <v>0.19800000000000001</v>
      </c>
      <c r="J23" s="493">
        <v>0.19800000000000001</v>
      </c>
      <c r="L23" s="446">
        <f t="shared" si="5"/>
        <v>182.77588889568545</v>
      </c>
      <c r="M23" s="494">
        <f t="shared" si="6"/>
        <v>51.082285158870143</v>
      </c>
      <c r="N23" s="443">
        <f t="shared" si="7"/>
        <v>5.2917165285375059E-2</v>
      </c>
      <c r="O23" s="443">
        <f t="shared" si="8"/>
        <v>4.754096365080903E-2</v>
      </c>
      <c r="P23" s="321">
        <v>0.32954314445634059</v>
      </c>
      <c r="Q23" s="321">
        <v>0.32954314445634059</v>
      </c>
      <c r="R23" s="322">
        <v>0.31862466820921931</v>
      </c>
      <c r="S23" s="495">
        <f t="shared" si="9"/>
        <v>0.25831233410460963</v>
      </c>
      <c r="T23" s="495">
        <f t="shared" si="10"/>
        <v>0.27948043621893703</v>
      </c>
      <c r="V23" s="446">
        <f t="shared" si="11"/>
        <v>97.025364272590409</v>
      </c>
      <c r="W23" s="447">
        <f t="shared" si="28"/>
        <v>94.496866992783666</v>
      </c>
      <c r="X23" s="444">
        <v>2.5284972798067393</v>
      </c>
      <c r="Y23" s="318">
        <v>58.862000000000002</v>
      </c>
      <c r="Z23" s="194">
        <v>6.7030000000000003</v>
      </c>
      <c r="AA23" s="318">
        <v>116.63590765614056</v>
      </c>
      <c r="AB23" s="443">
        <f t="shared" si="13"/>
        <v>0.53084334514146492</v>
      </c>
      <c r="AC23" s="443">
        <f t="shared" si="14"/>
        <v>0.5170600192237812</v>
      </c>
      <c r="AE23" s="449">
        <f t="shared" si="15"/>
        <v>0.18671127071285659</v>
      </c>
      <c r="AF23" s="450">
        <f t="shared" si="16"/>
        <v>5.4381923508598995E-2</v>
      </c>
      <c r="AG23" s="450">
        <v>0.24109319422145559</v>
      </c>
      <c r="AH23" s="451">
        <f t="shared" si="17"/>
        <v>0.77443609022556392</v>
      </c>
      <c r="AI23" s="323">
        <v>1.1299999999999999</v>
      </c>
      <c r="AJ23" s="323">
        <v>1.33</v>
      </c>
      <c r="AK23" s="325">
        <v>0.3</v>
      </c>
      <c r="AL23" s="452">
        <f t="shared" si="18"/>
        <v>18.115729054713153</v>
      </c>
      <c r="AM23" s="452"/>
      <c r="AN23" s="465"/>
      <c r="AO23" s="449">
        <f t="shared" si="19"/>
        <v>0.12541168747823511</v>
      </c>
      <c r="AP23" s="453">
        <f t="shared" si="20"/>
        <v>0.3616659759601874</v>
      </c>
      <c r="AQ23" s="453">
        <v>0</v>
      </c>
      <c r="AR23" s="453">
        <f t="shared" si="21"/>
        <v>0.18671127071285659</v>
      </c>
      <c r="AS23" s="453">
        <f t="shared" si="22"/>
        <v>9.3355635356428296E-2</v>
      </c>
      <c r="AT23" s="452">
        <f t="shared" si="23"/>
        <v>10.7541179951263</v>
      </c>
      <c r="AU23" s="452"/>
      <c r="AV23" s="454">
        <f t="shared" si="24"/>
        <v>0.15795216329827924</v>
      </c>
      <c r="AW23" s="107">
        <f t="shared" si="29"/>
        <v>0.26879243497845529</v>
      </c>
      <c r="AX23" s="107">
        <f t="shared" si="29"/>
        <v>9.9114435520826424E-2</v>
      </c>
      <c r="AY23" s="107">
        <f t="shared" si="29"/>
        <v>0.18671127071285659</v>
      </c>
      <c r="AZ23" s="107">
        <f t="shared" si="29"/>
        <v>0.14291285311684152</v>
      </c>
      <c r="BA23" s="451">
        <f t="shared" si="25"/>
        <v>1.315838937117029E-2</v>
      </c>
      <c r="BB23" s="451">
        <f t="shared" si="26"/>
        <v>2.2392067608421409E-2</v>
      </c>
      <c r="BC23" s="456">
        <f t="shared" si="26"/>
        <v>8.2568437661973675E-3</v>
      </c>
      <c r="BD23" s="451">
        <f t="shared" si="26"/>
        <v>1.5554200390318528E-2</v>
      </c>
      <c r="BE23" s="451">
        <f t="shared" si="26"/>
        <v>1.1905522078257949E-2</v>
      </c>
      <c r="BG23" s="95">
        <v>1.7411270712856586E-2</v>
      </c>
      <c r="BI23" s="329">
        <v>59</v>
      </c>
      <c r="BJ23" s="309">
        <v>14.618</v>
      </c>
      <c r="BK23" s="496">
        <f t="shared" si="30"/>
        <v>0.24776271186440679</v>
      </c>
      <c r="BL23" s="455">
        <f t="shared" si="27"/>
        <v>0.24109319422145559</v>
      </c>
    </row>
    <row r="24" spans="1:64" x14ac:dyDescent="0.2">
      <c r="A24" s="77">
        <v>1994</v>
      </c>
      <c r="B24" s="317">
        <v>23751</v>
      </c>
      <c r="C24" s="318">
        <v>3829</v>
      </c>
      <c r="D24" s="443">
        <f t="shared" si="0"/>
        <v>0.16121426466254052</v>
      </c>
      <c r="E24" s="444">
        <f t="shared" si="1"/>
        <v>712.19399999999996</v>
      </c>
      <c r="F24" s="444">
        <f t="shared" si="2"/>
        <v>3116.806</v>
      </c>
      <c r="G24" s="319">
        <v>34</v>
      </c>
      <c r="H24" s="318">
        <f t="shared" si="3"/>
        <v>166.14640001612767</v>
      </c>
      <c r="I24" s="493">
        <f t="shared" si="4"/>
        <v>0.186</v>
      </c>
      <c r="J24" s="493">
        <v>0.186</v>
      </c>
      <c r="L24" s="446">
        <f t="shared" si="5"/>
        <v>232.87741911009351</v>
      </c>
      <c r="M24" s="494">
        <f t="shared" si="6"/>
        <v>66.731019093965841</v>
      </c>
      <c r="N24" s="443">
        <f t="shared" si="7"/>
        <v>6.0819383418671588E-2</v>
      </c>
      <c r="O24" s="443">
        <f t="shared" si="8"/>
        <v>5.3306622233186045E-2</v>
      </c>
      <c r="P24" s="321">
        <v>0.34484098939929325</v>
      </c>
      <c r="Q24" s="321">
        <v>0.34447582068478644</v>
      </c>
      <c r="R24" s="322">
        <v>0.33318380159444094</v>
      </c>
      <c r="S24" s="495">
        <f t="shared" si="9"/>
        <v>0.2595919007972205</v>
      </c>
      <c r="T24" s="495">
        <f t="shared" si="10"/>
        <v>0.28654997701781704</v>
      </c>
      <c r="V24" s="446">
        <f t="shared" si="11"/>
        <v>113.71478182693505</v>
      </c>
      <c r="W24" s="447">
        <f t="shared" si="28"/>
        <v>110.834363577621</v>
      </c>
      <c r="X24" s="444">
        <v>2.8804182493140544</v>
      </c>
      <c r="Y24" s="318">
        <v>68.120999999999995</v>
      </c>
      <c r="Z24" s="194">
        <v>6.9160000000000004</v>
      </c>
      <c r="AA24" s="318">
        <v>147.14941060014371</v>
      </c>
      <c r="AB24" s="443">
        <f t="shared" si="13"/>
        <v>0.48830316937330898</v>
      </c>
      <c r="AC24" s="443">
        <f t="shared" si="14"/>
        <v>0.46896844133698157</v>
      </c>
      <c r="AE24" s="449">
        <f t="shared" si="15"/>
        <v>0.17584790327476432</v>
      </c>
      <c r="AF24" s="450">
        <f t="shared" si="16"/>
        <v>6.1637409395278231E-2</v>
      </c>
      <c r="AG24" s="450">
        <v>0.23748531267004255</v>
      </c>
      <c r="AH24" s="451">
        <f t="shared" si="17"/>
        <v>0.74045801526717558</v>
      </c>
      <c r="AI24" s="323">
        <v>1.1100000000000001</v>
      </c>
      <c r="AJ24" s="323">
        <v>1.31</v>
      </c>
      <c r="AK24" s="325">
        <v>0.34</v>
      </c>
      <c r="AL24" s="452">
        <f t="shared" si="18"/>
        <v>19.996505955613802</v>
      </c>
      <c r="AM24" s="452"/>
      <c r="AN24" s="465"/>
      <c r="AO24" s="449">
        <f t="shared" si="19"/>
        <v>0.11811489582283211</v>
      </c>
      <c r="AP24" s="453">
        <f t="shared" si="20"/>
        <v>0.3616659759601874</v>
      </c>
      <c r="AQ24" s="453">
        <v>0</v>
      </c>
      <c r="AR24" s="453">
        <f t="shared" si="21"/>
        <v>0.17584790327476432</v>
      </c>
      <c r="AS24" s="453">
        <f t="shared" si="22"/>
        <v>8.7923951637382161E-2</v>
      </c>
      <c r="AT24" s="452">
        <f t="shared" si="23"/>
        <v>14.07488248867419</v>
      </c>
      <c r="AU24" s="452"/>
      <c r="AV24" s="454">
        <f t="shared" si="24"/>
        <v>0.14630610633906346</v>
      </c>
      <c r="AW24" s="107">
        <f t="shared" si="29"/>
        <v>0.27093042214105539</v>
      </c>
      <c r="AX24" s="107">
        <f t="shared" si="29"/>
        <v>8.5867088496718494E-2</v>
      </c>
      <c r="AY24" s="107">
        <f t="shared" si="29"/>
        <v>0.17584790327476432</v>
      </c>
      <c r="AZ24" s="107">
        <f t="shared" si="29"/>
        <v>0.13085749588574141</v>
      </c>
      <c r="BA24" s="451">
        <f t="shared" si="25"/>
        <v>1.4008287590167368E-2</v>
      </c>
      <c r="BB24" s="451">
        <f t="shared" si="26"/>
        <v>2.5940621107651073E-2</v>
      </c>
      <c r="BC24" s="456">
        <f t="shared" si="26"/>
        <v>8.2214673077607957E-3</v>
      </c>
      <c r="BD24" s="451">
        <f t="shared" si="26"/>
        <v>1.6836809227169819E-2</v>
      </c>
      <c r="BE24" s="451">
        <f t="shared" si="26"/>
        <v>1.2529138267465311E-2</v>
      </c>
      <c r="BG24" s="95">
        <v>-8.5209672523570146E-4</v>
      </c>
      <c r="BI24" s="329">
        <v>69</v>
      </c>
      <c r="BJ24" s="309">
        <v>20.600999999999999</v>
      </c>
      <c r="BK24" s="496">
        <f t="shared" si="30"/>
        <v>0.29856521739130432</v>
      </c>
      <c r="BL24" s="455">
        <f t="shared" si="27"/>
        <v>0.23748531267004255</v>
      </c>
    </row>
    <row r="25" spans="1:64" x14ac:dyDescent="0.2">
      <c r="A25" s="77">
        <v>1995</v>
      </c>
      <c r="B25" s="317">
        <v>26382</v>
      </c>
      <c r="C25" s="318">
        <v>4314</v>
      </c>
      <c r="D25" s="443">
        <f t="shared" si="0"/>
        <v>0.1635205822151467</v>
      </c>
      <c r="E25" s="444">
        <f t="shared" si="1"/>
        <v>811.03200000000004</v>
      </c>
      <c r="F25" s="444">
        <f t="shared" si="2"/>
        <v>3502.9679999999998</v>
      </c>
      <c r="G25" s="319">
        <v>46</v>
      </c>
      <c r="H25" s="318">
        <f t="shared" si="3"/>
        <v>197.71497354062322</v>
      </c>
      <c r="I25" s="493">
        <f t="shared" si="4"/>
        <v>0.188</v>
      </c>
      <c r="J25" s="493">
        <v>0.188</v>
      </c>
      <c r="L25" s="446">
        <f t="shared" si="5"/>
        <v>275.36715378457001</v>
      </c>
      <c r="M25" s="494">
        <f t="shared" si="6"/>
        <v>77.652180243946802</v>
      </c>
      <c r="N25" s="443">
        <f t="shared" si="7"/>
        <v>6.3831050946817347E-2</v>
      </c>
      <c r="O25" s="443">
        <f t="shared" si="8"/>
        <v>5.6442129514349897E-2</v>
      </c>
      <c r="P25" s="321">
        <v>0.33775243732590532</v>
      </c>
      <c r="Q25" s="321">
        <v>0.33414858894754523</v>
      </c>
      <c r="R25" s="322">
        <v>0.32209626954104059</v>
      </c>
      <c r="S25" s="495">
        <f t="shared" si="9"/>
        <v>0.2550481347705203</v>
      </c>
      <c r="T25" s="495">
        <f t="shared" si="10"/>
        <v>0.28199507158612314</v>
      </c>
      <c r="V25" s="446">
        <f t="shared" si="11"/>
        <v>140.36515727786633</v>
      </c>
      <c r="W25" s="447">
        <f t="shared" si="28"/>
        <v>136.02017284461573</v>
      </c>
      <c r="X25" s="444">
        <v>4.3449844332506036</v>
      </c>
      <c r="Y25" s="318">
        <v>86.123999999999995</v>
      </c>
      <c r="Z25" s="194">
        <v>6.6760000000000002</v>
      </c>
      <c r="AA25" s="318">
        <v>175.10846952146795</v>
      </c>
      <c r="AB25" s="443">
        <f t="shared" si="13"/>
        <v>0.50973819988595748</v>
      </c>
      <c r="AC25" s="443">
        <f t="shared" si="14"/>
        <v>0.49133852987260396</v>
      </c>
      <c r="AE25" s="449">
        <f t="shared" si="15"/>
        <v>0.1980500250009827</v>
      </c>
      <c r="AF25" s="450">
        <f t="shared" si="16"/>
        <v>6.3015917045767228E-2</v>
      </c>
      <c r="AG25" s="450">
        <v>0.26106594204674993</v>
      </c>
      <c r="AH25" s="451">
        <f t="shared" si="17"/>
        <v>0.75862068965517238</v>
      </c>
      <c r="AI25" s="323">
        <v>1.47</v>
      </c>
      <c r="AJ25" s="323">
        <v>1.74</v>
      </c>
      <c r="AK25" s="325">
        <v>0.42</v>
      </c>
      <c r="AL25" s="452">
        <f t="shared" si="18"/>
        <v>27.799322908148298</v>
      </c>
      <c r="AM25" s="452"/>
      <c r="AN25" s="465"/>
      <c r="AO25" s="449">
        <f t="shared" si="19"/>
        <v>0.13302779069335319</v>
      </c>
      <c r="AP25" s="453">
        <f t="shared" si="20"/>
        <v>0.3616659759601874</v>
      </c>
      <c r="AQ25" s="453">
        <v>0</v>
      </c>
      <c r="AR25" s="453">
        <f t="shared" si="21"/>
        <v>0.1980500250009827</v>
      </c>
      <c r="AS25" s="453">
        <f t="shared" si="22"/>
        <v>9.9025012500491352E-2</v>
      </c>
      <c r="AT25" s="452">
        <f t="shared" si="23"/>
        <v>17.959017334478574</v>
      </c>
      <c r="AU25" s="452"/>
      <c r="AV25" s="454">
        <f t="shared" si="24"/>
        <v>0.1661721073618872</v>
      </c>
      <c r="AW25" s="107">
        <f t="shared" si="29"/>
        <v>0.2782646756456133</v>
      </c>
      <c r="AX25" s="107">
        <f t="shared" si="29"/>
        <v>0.1009536632313698</v>
      </c>
      <c r="AY25" s="107">
        <f t="shared" si="29"/>
        <v>0.1980500250009827</v>
      </c>
      <c r="AZ25" s="107">
        <f t="shared" si="29"/>
        <v>0.14950184411617626</v>
      </c>
      <c r="BA25" s="451">
        <f t="shared" si="25"/>
        <v>1.6698240284410019E-2</v>
      </c>
      <c r="BB25" s="451">
        <f t="shared" si="26"/>
        <v>2.7962156166646678E-2</v>
      </c>
      <c r="BC25" s="456">
        <f t="shared" si="26"/>
        <v>1.0144593776846214E-2</v>
      </c>
      <c r="BD25" s="451">
        <f t="shared" si="26"/>
        <v>1.9901576493807683E-2</v>
      </c>
      <c r="BE25" s="451">
        <f t="shared" si="26"/>
        <v>1.5023085135326946E-2</v>
      </c>
      <c r="BG25" s="95">
        <v>1.3950025000982719E-2</v>
      </c>
      <c r="BI25" s="329">
        <v>87</v>
      </c>
      <c r="BJ25" s="309">
        <v>22.907</v>
      </c>
      <c r="BK25" s="496">
        <f t="shared" si="30"/>
        <v>0.26329885057471264</v>
      </c>
      <c r="BL25" s="455">
        <f t="shared" si="27"/>
        <v>0.26106594204674993</v>
      </c>
    </row>
    <row r="26" spans="1:64" x14ac:dyDescent="0.2">
      <c r="A26" s="77">
        <v>1996</v>
      </c>
      <c r="B26" s="317">
        <v>26940</v>
      </c>
      <c r="C26" s="318">
        <v>4475</v>
      </c>
      <c r="D26" s="443">
        <f t="shared" si="0"/>
        <v>0.16610987379361544</v>
      </c>
      <c r="E26" s="444">
        <f t="shared" si="1"/>
        <v>877.1</v>
      </c>
      <c r="F26" s="444">
        <f t="shared" si="2"/>
        <v>3597.9</v>
      </c>
      <c r="G26" s="319">
        <v>52</v>
      </c>
      <c r="H26" s="318">
        <f t="shared" si="3"/>
        <v>245.17443796583888</v>
      </c>
      <c r="I26" s="493">
        <f t="shared" si="4"/>
        <v>0.19600000000000001</v>
      </c>
      <c r="J26" s="493">
        <v>0.19600000000000001</v>
      </c>
      <c r="L26" s="446">
        <f t="shared" si="5"/>
        <v>344.00357971644542</v>
      </c>
      <c r="M26" s="494">
        <f t="shared" si="6"/>
        <v>98.829141750606539</v>
      </c>
      <c r="N26" s="443">
        <f t="shared" si="7"/>
        <v>7.6872308316524113E-2</v>
      </c>
      <c r="O26" s="443">
        <f t="shared" si="8"/>
        <v>6.8143761073359149E-2</v>
      </c>
      <c r="P26" s="321">
        <v>0.34686499804278248</v>
      </c>
      <c r="Q26" s="321">
        <v>0.34331555677104697</v>
      </c>
      <c r="R26" s="322">
        <v>0.33175550557276329</v>
      </c>
      <c r="S26" s="495">
        <f t="shared" si="9"/>
        <v>0.26387775278638165</v>
      </c>
      <c r="T26" s="495">
        <f t="shared" si="10"/>
        <v>0.28729102712265153</v>
      </c>
      <c r="V26" s="446">
        <f t="shared" si="11"/>
        <v>153.44604715617677</v>
      </c>
      <c r="W26" s="447">
        <f t="shared" si="28"/>
        <v>148.85924828208508</v>
      </c>
      <c r="X26" s="444">
        <v>4.5867988740916914</v>
      </c>
      <c r="Y26" s="318">
        <v>92.855999999999995</v>
      </c>
      <c r="Z26" s="194">
        <v>7.4580000000000002</v>
      </c>
      <c r="AA26" s="318">
        <v>217.14147304661853</v>
      </c>
      <c r="AB26" s="443">
        <f t="shared" si="13"/>
        <v>0.44605944880765186</v>
      </c>
      <c r="AC26" s="443">
        <f t="shared" si="14"/>
        <v>0.4278618919020748</v>
      </c>
      <c r="AE26" s="449">
        <f t="shared" si="15"/>
        <v>0.18634856047378498</v>
      </c>
      <c r="AF26" s="450">
        <f t="shared" si="16"/>
        <v>6.0704455305854221E-2</v>
      </c>
      <c r="AG26" s="450">
        <v>0.2470530157796392</v>
      </c>
      <c r="AH26" s="451">
        <f t="shared" si="17"/>
        <v>0.75428571428571423</v>
      </c>
      <c r="AI26" s="323">
        <v>1.48</v>
      </c>
      <c r="AJ26" s="323">
        <v>1.75</v>
      </c>
      <c r="AK26" s="325">
        <v>0.43</v>
      </c>
      <c r="AL26" s="452">
        <f t="shared" si="18"/>
        <v>28.594449997946068</v>
      </c>
      <c r="AM26" s="452"/>
      <c r="AN26" s="465"/>
      <c r="AO26" s="449">
        <f t="shared" si="19"/>
        <v>0.1251680594263562</v>
      </c>
      <c r="AP26" s="453">
        <f t="shared" si="20"/>
        <v>0.3616659759601874</v>
      </c>
      <c r="AQ26" s="453">
        <v>0</v>
      </c>
      <c r="AR26" s="453">
        <f t="shared" si="21"/>
        <v>0.18634856047378498</v>
      </c>
      <c r="AS26" s="453">
        <f t="shared" si="22"/>
        <v>9.317428023689249E-2</v>
      </c>
      <c r="AT26" s="452">
        <f t="shared" si="23"/>
        <v>23.85171655964351</v>
      </c>
      <c r="AU26" s="452"/>
      <c r="AV26" s="454">
        <f t="shared" si="24"/>
        <v>0.15245820000134824</v>
      </c>
      <c r="AW26" s="107">
        <f t="shared" si="29"/>
        <v>0.28346398624194064</v>
      </c>
      <c r="AX26" s="107">
        <f t="shared" si="29"/>
        <v>8.3122536171035905E-2</v>
      </c>
      <c r="AY26" s="107">
        <f t="shared" si="29"/>
        <v>0.18634856047378495</v>
      </c>
      <c r="AZ26" s="107">
        <f t="shared" si="29"/>
        <v>0.13473554832241044</v>
      </c>
      <c r="BA26" s="451">
        <f t="shared" si="25"/>
        <v>1.8450209160617018E-2</v>
      </c>
      <c r="BB26" s="451">
        <f t="shared" si="26"/>
        <v>3.4304286916806169E-2</v>
      </c>
      <c r="BC26" s="456">
        <f t="shared" si="26"/>
        <v>1.0059335465740797E-2</v>
      </c>
      <c r="BD26" s="451">
        <f t="shared" si="26"/>
        <v>2.2551557853174288E-2</v>
      </c>
      <c r="BE26" s="451">
        <f t="shared" si="26"/>
        <v>1.6305446659457545E-2</v>
      </c>
      <c r="BG26" s="95">
        <v>-5.1514395262150237E-3</v>
      </c>
      <c r="BI26" s="329">
        <v>94</v>
      </c>
      <c r="BJ26" s="309">
        <v>25.756</v>
      </c>
      <c r="BK26" s="496">
        <f t="shared" si="30"/>
        <v>0.27400000000000002</v>
      </c>
      <c r="BL26" s="455">
        <f t="shared" si="27"/>
        <v>0.2470530157796392</v>
      </c>
    </row>
    <row r="27" spans="1:64" x14ac:dyDescent="0.2">
      <c r="A27" s="77">
        <v>1997</v>
      </c>
      <c r="B27" s="317">
        <v>26818</v>
      </c>
      <c r="C27" s="318">
        <v>4534</v>
      </c>
      <c r="D27" s="443">
        <f t="shared" si="0"/>
        <v>0.1690655529867999</v>
      </c>
      <c r="E27" s="444">
        <f t="shared" si="1"/>
        <v>906.80000000000007</v>
      </c>
      <c r="F27" s="444">
        <f t="shared" si="2"/>
        <v>3627.2</v>
      </c>
      <c r="G27" s="319">
        <v>66</v>
      </c>
      <c r="H27" s="318">
        <f t="shared" si="3"/>
        <v>262.80384906898161</v>
      </c>
      <c r="I27" s="493">
        <f t="shared" si="4"/>
        <v>0.2</v>
      </c>
      <c r="J27" s="493">
        <v>0.2</v>
      </c>
      <c r="L27" s="446">
        <f t="shared" si="5"/>
        <v>361.47575547666327</v>
      </c>
      <c r="M27" s="494">
        <f t="shared" si="6"/>
        <v>98.671906407681675</v>
      </c>
      <c r="N27" s="443">
        <f t="shared" si="7"/>
        <v>7.972557465299146E-2</v>
      </c>
      <c r="O27" s="443">
        <f t="shared" si="8"/>
        <v>7.2453641670980812E-2</v>
      </c>
      <c r="P27" s="321">
        <v>0.32978229378209972</v>
      </c>
      <c r="Q27" s="321">
        <v>0.32208931581405742</v>
      </c>
      <c r="R27" s="322">
        <v>0.30981470583878651</v>
      </c>
      <c r="S27" s="495">
        <f t="shared" si="9"/>
        <v>0.25490735291939326</v>
      </c>
      <c r="T27" s="495">
        <f t="shared" si="10"/>
        <v>0.27296963880071867</v>
      </c>
      <c r="V27" s="446">
        <f t="shared" si="11"/>
        <v>168.55587773962816</v>
      </c>
      <c r="W27" s="447">
        <f t="shared" si="28"/>
        <v>162.70321104820107</v>
      </c>
      <c r="X27" s="444">
        <v>5.85266669142709</v>
      </c>
      <c r="Y27" s="318">
        <v>104.17400000000001</v>
      </c>
      <c r="Z27" s="194">
        <v>9.0340000000000007</v>
      </c>
      <c r="AA27" s="318">
        <v>232.75515744064253</v>
      </c>
      <c r="AB27" s="443">
        <f t="shared" si="13"/>
        <v>0.46629926125297239</v>
      </c>
      <c r="AC27" s="443">
        <f t="shared" si="14"/>
        <v>0.45304004151086719</v>
      </c>
      <c r="AE27" s="449">
        <f t="shared" si="15"/>
        <v>0.22285487347606114</v>
      </c>
      <c r="AF27" s="450">
        <f t="shared" si="16"/>
        <v>5.7634881071395139E-2</v>
      </c>
      <c r="AG27" s="450">
        <v>0.28048975454745628</v>
      </c>
      <c r="AH27" s="451">
        <f t="shared" si="17"/>
        <v>0.79452054794520544</v>
      </c>
      <c r="AI27" s="323">
        <v>1.86</v>
      </c>
      <c r="AJ27" s="323">
        <v>2.19</v>
      </c>
      <c r="AK27" s="325">
        <v>0.45</v>
      </c>
      <c r="AL27" s="452">
        <f t="shared" si="18"/>
        <v>37.563498807311262</v>
      </c>
      <c r="AM27" s="452"/>
      <c r="AN27" s="465"/>
      <c r="AO27" s="449">
        <f t="shared" si="19"/>
        <v>0.14968890543497818</v>
      </c>
      <c r="AP27" s="453">
        <f t="shared" si="20"/>
        <v>0.3616659759601874</v>
      </c>
      <c r="AQ27" s="453">
        <v>0</v>
      </c>
      <c r="AR27" s="453">
        <f t="shared" si="21"/>
        <v>0.22285487347606114</v>
      </c>
      <c r="AS27" s="453">
        <f t="shared" si="22"/>
        <v>0.11142743673803057</v>
      </c>
      <c r="AT27" s="452">
        <f t="shared" si="23"/>
        <v>28.877965335106598</v>
      </c>
      <c r="AU27" s="452"/>
      <c r="AV27" s="454">
        <f t="shared" si="24"/>
        <v>0.18380614228139375</v>
      </c>
      <c r="AW27" s="107">
        <f t="shared" si="29"/>
        <v>0.29693846141812869</v>
      </c>
      <c r="AX27" s="107">
        <f t="shared" si="29"/>
        <v>0.10391706286851195</v>
      </c>
      <c r="AY27" s="107">
        <f t="shared" si="29"/>
        <v>0.22285487347606114</v>
      </c>
      <c r="AZ27" s="107">
        <f t="shared" si="29"/>
        <v>0.16338596817228654</v>
      </c>
      <c r="BA27" s="451">
        <f t="shared" si="25"/>
        <v>2.3069504264433049E-2</v>
      </c>
      <c r="BB27" s="451">
        <f t="shared" si="26"/>
        <v>3.7268738775184766E-2</v>
      </c>
      <c r="BC27" s="456">
        <f t="shared" si="26"/>
        <v>1.3042627929823908E-2</v>
      </c>
      <c r="BD27" s="451">
        <f t="shared" si="26"/>
        <v>2.7970509528103548E-2</v>
      </c>
      <c r="BE27" s="451">
        <f t="shared" si="26"/>
        <v>2.0506568728963726E-2</v>
      </c>
      <c r="BG27" s="95">
        <v>2.3954873476061123E-2</v>
      </c>
      <c r="BI27" s="329">
        <v>105</v>
      </c>
      <c r="BJ27" s="309">
        <v>31.106000000000002</v>
      </c>
      <c r="BK27" s="496">
        <f t="shared" si="30"/>
        <v>0.29624761904761904</v>
      </c>
      <c r="BL27" s="455">
        <f t="shared" si="27"/>
        <v>0.28048975454745628</v>
      </c>
    </row>
    <row r="28" spans="1:64" x14ac:dyDescent="0.2">
      <c r="A28" s="77">
        <v>1998</v>
      </c>
      <c r="B28" s="317">
        <v>26720</v>
      </c>
      <c r="C28" s="318">
        <v>4481</v>
      </c>
      <c r="D28" s="443">
        <f t="shared" si="0"/>
        <v>0.16770209580838324</v>
      </c>
      <c r="E28" s="444">
        <f t="shared" si="1"/>
        <v>860.35199999999998</v>
      </c>
      <c r="F28" s="444">
        <f t="shared" si="2"/>
        <v>3620.6480000000001</v>
      </c>
      <c r="G28" s="319">
        <v>74</v>
      </c>
      <c r="H28" s="318">
        <f t="shared" si="3"/>
        <v>248.39193864255861</v>
      </c>
      <c r="I28" s="493">
        <f t="shared" si="4"/>
        <v>0.192</v>
      </c>
      <c r="J28" s="493">
        <v>0.192</v>
      </c>
      <c r="L28" s="446">
        <f t="shared" si="5"/>
        <v>337.00456414110408</v>
      </c>
      <c r="M28" s="494">
        <f t="shared" si="6"/>
        <v>88.612625498545455</v>
      </c>
      <c r="N28" s="443">
        <f t="shared" si="7"/>
        <v>7.5207445690940428E-2</v>
      </c>
      <c r="O28" s="443">
        <f t="shared" si="8"/>
        <v>6.8604277091437391E-2</v>
      </c>
      <c r="P28" s="321">
        <v>0.32643989176652494</v>
      </c>
      <c r="Q28" s="321">
        <v>0.31913335800155884</v>
      </c>
      <c r="R28" s="322">
        <v>0.30481134453165576</v>
      </c>
      <c r="S28" s="495">
        <f t="shared" si="9"/>
        <v>0.24840567226582788</v>
      </c>
      <c r="T28" s="495">
        <f t="shared" si="10"/>
        <v>0.26294191511733733</v>
      </c>
      <c r="V28" s="446">
        <f t="shared" si="11"/>
        <v>148.71314526705507</v>
      </c>
      <c r="W28" s="447">
        <f t="shared" si="28"/>
        <v>142.74496901125076</v>
      </c>
      <c r="X28" s="444">
        <v>5.9681762558043117</v>
      </c>
      <c r="Y28" s="318">
        <v>89.265000000000001</v>
      </c>
      <c r="Z28" s="194">
        <v>11.64</v>
      </c>
      <c r="AA28" s="318">
        <v>219.99108837466002</v>
      </c>
      <c r="AB28" s="443">
        <f t="shared" si="13"/>
        <v>0.44127932108595641</v>
      </c>
      <c r="AC28" s="443">
        <f t="shared" si="14"/>
        <v>0.43026024451460609</v>
      </c>
      <c r="AE28" s="449">
        <f t="shared" si="15"/>
        <v>0.26689552827564239</v>
      </c>
      <c r="AF28" s="450">
        <f t="shared" si="16"/>
        <v>5.9976523208009558E-2</v>
      </c>
      <c r="AG28" s="450">
        <v>0.32687205148365195</v>
      </c>
      <c r="AH28" s="451">
        <f t="shared" si="17"/>
        <v>0.8165137614678899</v>
      </c>
      <c r="AI28" s="323">
        <v>1.84</v>
      </c>
      <c r="AJ28" s="323">
        <v>2.1800000000000002</v>
      </c>
      <c r="AK28" s="325">
        <v>0.4</v>
      </c>
      <c r="AL28" s="452">
        <f t="shared" si="18"/>
        <v>39.69087346758301</v>
      </c>
      <c r="AM28" s="452"/>
      <c r="AN28" s="465"/>
      <c r="AO28" s="449">
        <f t="shared" si="19"/>
        <v>0.17927047710429678</v>
      </c>
      <c r="AP28" s="453">
        <f t="shared" si="20"/>
        <v>0.3616659759601874</v>
      </c>
      <c r="AQ28" s="453">
        <v>0</v>
      </c>
      <c r="AR28" s="453">
        <f t="shared" si="21"/>
        <v>0.26689552827564239</v>
      </c>
      <c r="AS28" s="453">
        <f t="shared" si="22"/>
        <v>0.1334477641378212</v>
      </c>
      <c r="AT28" s="452">
        <f t="shared" si="23"/>
        <v>33.755092496195758</v>
      </c>
      <c r="AU28" s="452"/>
      <c r="AV28" s="454">
        <f t="shared" si="24"/>
        <v>0.21793760019531033</v>
      </c>
      <c r="AW28" s="107">
        <f t="shared" si="29"/>
        <v>0.3198457371469392</v>
      </c>
      <c r="AX28" s="107">
        <f t="shared" si="29"/>
        <v>0.11777547751835316</v>
      </c>
      <c r="AY28" s="107">
        <f t="shared" si="29"/>
        <v>0.26689552827564234</v>
      </c>
      <c r="AZ28" s="107">
        <f t="shared" si="29"/>
        <v>0.19233550289699775</v>
      </c>
      <c r="BA28" s="451">
        <f t="shared" si="25"/>
        <v>2.5803201083976685E-2</v>
      </c>
      <c r="BB28" s="451">
        <f t="shared" si="26"/>
        <v>3.7868838897276325E-2</v>
      </c>
      <c r="BC28" s="456">
        <f t="shared" si="26"/>
        <v>1.394428646752088E-2</v>
      </c>
      <c r="BD28" s="451">
        <f t="shared" si="26"/>
        <v>3.1599682562067494E-2</v>
      </c>
      <c r="BE28" s="451">
        <f t="shared" si="26"/>
        <v>2.2771984514794185E-2</v>
      </c>
      <c r="BG28" s="95">
        <v>6.0595528275642407E-2</v>
      </c>
      <c r="BI28" s="329">
        <v>91</v>
      </c>
      <c r="BJ28" s="309">
        <v>31.146999999999998</v>
      </c>
      <c r="BK28" s="496">
        <f t="shared" si="30"/>
        <v>0.34227472527472524</v>
      </c>
      <c r="BL28" s="455">
        <f t="shared" si="27"/>
        <v>0.32687205148365195</v>
      </c>
    </row>
    <row r="29" spans="1:64" x14ac:dyDescent="0.2">
      <c r="A29" s="77">
        <v>1999</v>
      </c>
      <c r="B29" s="317">
        <v>27695</v>
      </c>
      <c r="C29" s="318">
        <v>4598</v>
      </c>
      <c r="D29" s="443">
        <f t="shared" si="0"/>
        <v>0.16602274778840945</v>
      </c>
      <c r="E29" s="444">
        <f t="shared" si="1"/>
        <v>892.01200000000006</v>
      </c>
      <c r="F29" s="444">
        <f t="shared" si="2"/>
        <v>3705.9879999999998</v>
      </c>
      <c r="G29" s="319">
        <v>84</v>
      </c>
      <c r="H29" s="318">
        <f t="shared" si="3"/>
        <v>319.50002797894268</v>
      </c>
      <c r="I29" s="493">
        <f t="shared" si="4"/>
        <v>0.19400000000000001</v>
      </c>
      <c r="J29" s="493">
        <v>0.19400000000000001</v>
      </c>
      <c r="L29" s="446">
        <f t="shared" si="5"/>
        <v>429.95731795229727</v>
      </c>
      <c r="M29" s="494">
        <f t="shared" si="6"/>
        <v>110.45728997335458</v>
      </c>
      <c r="N29" s="443">
        <f t="shared" si="7"/>
        <v>9.3509638528120331E-2</v>
      </c>
      <c r="O29" s="443">
        <f t="shared" si="8"/>
        <v>8.6211835542625265E-2</v>
      </c>
      <c r="P29" s="321">
        <v>0.31747865535799819</v>
      </c>
      <c r="Q29" s="321">
        <v>0.30860249659337569</v>
      </c>
      <c r="R29" s="322">
        <v>0.29608426338438543</v>
      </c>
      <c r="S29" s="495">
        <f t="shared" si="9"/>
        <v>0.24504213169219272</v>
      </c>
      <c r="T29" s="495">
        <f t="shared" si="10"/>
        <v>0.2569029188744022</v>
      </c>
      <c r="V29" s="446">
        <f t="shared" si="11"/>
        <v>181.81684517955756</v>
      </c>
      <c r="W29" s="447">
        <f t="shared" si="28"/>
        <v>175.64241956601398</v>
      </c>
      <c r="X29" s="444">
        <v>6.174425613543586</v>
      </c>
      <c r="Y29" s="318">
        <v>111.242</v>
      </c>
      <c r="Z29" s="194">
        <v>14.747999999999999</v>
      </c>
      <c r="AA29" s="318">
        <v>282.96876007705981</v>
      </c>
      <c r="AB29" s="443">
        <f t="shared" si="13"/>
        <v>0.4228718470137301</v>
      </c>
      <c r="AC29" s="443">
        <f t="shared" si="14"/>
        <v>0.41366013783965666</v>
      </c>
      <c r="AE29" s="449">
        <f t="shared" si="15"/>
        <v>0.24200588923135002</v>
      </c>
      <c r="AF29" s="450">
        <f t="shared" si="16"/>
        <v>5.7550180975747878E-2</v>
      </c>
      <c r="AG29" s="450">
        <v>0.2995560702070979</v>
      </c>
      <c r="AH29" s="451">
        <f t="shared" si="17"/>
        <v>0.80788177339901479</v>
      </c>
      <c r="AI29" s="323">
        <v>1.72</v>
      </c>
      <c r="AJ29" s="323">
        <v>2.0299999999999998</v>
      </c>
      <c r="AK29" s="325">
        <v>0.39</v>
      </c>
      <c r="AL29" s="452">
        <f t="shared" si="18"/>
        <v>44.000747294917524</v>
      </c>
      <c r="AM29" s="452"/>
      <c r="AN29" s="465"/>
      <c r="AO29" s="449">
        <f t="shared" si="19"/>
        <v>0.16255240956958777</v>
      </c>
      <c r="AP29" s="453">
        <f t="shared" si="20"/>
        <v>0.3616659759601874</v>
      </c>
      <c r="AQ29" s="453">
        <v>0</v>
      </c>
      <c r="AR29" s="453">
        <f t="shared" si="21"/>
        <v>0.24200588923135002</v>
      </c>
      <c r="AS29" s="453">
        <f t="shared" si="22"/>
        <v>0.12100294461567501</v>
      </c>
      <c r="AT29" s="452">
        <f t="shared" si="23"/>
        <v>40.335831760945531</v>
      </c>
      <c r="AU29" s="452"/>
      <c r="AV29" s="454">
        <f t="shared" si="24"/>
        <v>0.19615104926582502</v>
      </c>
      <c r="AW29" s="107">
        <f t="shared" si="29"/>
        <v>0.31106509407134086</v>
      </c>
      <c r="AX29" s="107">
        <f t="shared" si="29"/>
        <v>0.10233747736746115</v>
      </c>
      <c r="AY29" s="107">
        <f t="shared" si="29"/>
        <v>0.24200588923135002</v>
      </c>
      <c r="AZ29" s="107">
        <f t="shared" si="29"/>
        <v>0.17217168329940558</v>
      </c>
      <c r="BA29" s="451">
        <f t="shared" si="25"/>
        <v>2.8875372637709135E-2</v>
      </c>
      <c r="BB29" s="451">
        <f t="shared" si="26"/>
        <v>4.5791855508870577E-2</v>
      </c>
      <c r="BC29" s="456">
        <f t="shared" si="26"/>
        <v>1.5065087874110162E-2</v>
      </c>
      <c r="BD29" s="451">
        <f t="shared" si="26"/>
        <v>3.5625658176343486E-2</v>
      </c>
      <c r="BE29" s="451">
        <f t="shared" si="26"/>
        <v>2.5345373025226822E-2</v>
      </c>
      <c r="BG29" s="95">
        <v>2.8305889231350023E-2</v>
      </c>
      <c r="BI29" s="329">
        <v>114</v>
      </c>
      <c r="BJ29" s="309">
        <v>40.087000000000003</v>
      </c>
      <c r="BK29" s="496">
        <f t="shared" si="30"/>
        <v>0.35164035087719303</v>
      </c>
      <c r="BL29" s="455">
        <f t="shared" si="27"/>
        <v>0.2995560702070979</v>
      </c>
    </row>
    <row r="30" spans="1:64" x14ac:dyDescent="0.2">
      <c r="A30" s="77">
        <v>2000</v>
      </c>
      <c r="B30" s="317">
        <v>28572</v>
      </c>
      <c r="C30" s="318">
        <v>4621</v>
      </c>
      <c r="D30" s="443">
        <f t="shared" si="0"/>
        <v>0.16173176536469272</v>
      </c>
      <c r="E30" s="444">
        <f t="shared" si="1"/>
        <v>928.82100000000003</v>
      </c>
      <c r="F30" s="444">
        <f t="shared" si="2"/>
        <v>3692.1790000000001</v>
      </c>
      <c r="G30" s="319">
        <v>106</v>
      </c>
      <c r="H30" s="318">
        <f t="shared" si="3"/>
        <v>372.14721933471259</v>
      </c>
      <c r="I30" s="493">
        <f t="shared" si="4"/>
        <v>0.20100000000000001</v>
      </c>
      <c r="J30" s="493">
        <v>0.20100000000000001</v>
      </c>
      <c r="L30" s="446">
        <f t="shared" si="5"/>
        <v>512.71783094032355</v>
      </c>
      <c r="M30" s="494">
        <f t="shared" si="6"/>
        <v>140.57061160561096</v>
      </c>
      <c r="N30" s="443">
        <f t="shared" si="7"/>
        <v>0.11095386949585015</v>
      </c>
      <c r="O30" s="443">
        <f t="shared" si="8"/>
        <v>0.10079338497259005</v>
      </c>
      <c r="P30" s="321">
        <v>0.34736719816444483</v>
      </c>
      <c r="Q30" s="321">
        <v>0.32943853154403824</v>
      </c>
      <c r="R30" s="322">
        <v>0.31650797045526546</v>
      </c>
      <c r="S30" s="495">
        <f t="shared" si="9"/>
        <v>0.25875398522763271</v>
      </c>
      <c r="T30" s="495">
        <f t="shared" si="10"/>
        <v>0.27416758911583927</v>
      </c>
      <c r="V30" s="446">
        <f t="shared" si="11"/>
        <v>216.05887384977075</v>
      </c>
      <c r="W30" s="447">
        <f t="shared" si="28"/>
        <v>208.64292420495715</v>
      </c>
      <c r="X30" s="444">
        <v>7.4159496448136055</v>
      </c>
      <c r="Y30" s="318">
        <v>129.881</v>
      </c>
      <c r="Z30" s="194">
        <v>14.952999999999999</v>
      </c>
      <c r="AA30" s="318">
        <v>329.59633176686191</v>
      </c>
      <c r="AB30" s="443">
        <f t="shared" si="13"/>
        <v>0.42139918062439757</v>
      </c>
      <c r="AC30" s="443">
        <f t="shared" si="14"/>
        <v>0.40911215168284948</v>
      </c>
      <c r="AE30" s="449">
        <f t="shared" si="15"/>
        <v>0.2536461605528762</v>
      </c>
      <c r="AF30" s="450">
        <f t="shared" si="16"/>
        <v>4.6789097577715044E-2</v>
      </c>
      <c r="AG30" s="450">
        <v>0.30043525813059124</v>
      </c>
      <c r="AH30" s="451">
        <f t="shared" si="17"/>
        <v>0.84426229508196715</v>
      </c>
      <c r="AI30" s="323">
        <v>2.0699999999999998</v>
      </c>
      <c r="AJ30" s="323">
        <v>2.44</v>
      </c>
      <c r="AK30" s="325">
        <v>0.38</v>
      </c>
      <c r="AL30" s="452">
        <f t="shared" si="18"/>
        <v>54.802503805372574</v>
      </c>
      <c r="AM30" s="452"/>
      <c r="AN30" s="465"/>
      <c r="AO30" s="449">
        <f t="shared" si="19"/>
        <v>0.17037103810531323</v>
      </c>
      <c r="AP30" s="453">
        <f t="shared" si="20"/>
        <v>0.3616659759601874</v>
      </c>
      <c r="AQ30" s="453">
        <v>0</v>
      </c>
      <c r="AR30" s="453">
        <f t="shared" si="21"/>
        <v>0.2536461605528762</v>
      </c>
      <c r="AS30" s="453">
        <f t="shared" si="22"/>
        <v>0.1268230802764381</v>
      </c>
      <c r="AT30" s="452">
        <f t="shared" si="23"/>
        <v>50.542094482757058</v>
      </c>
      <c r="AU30" s="452"/>
      <c r="AV30" s="454">
        <f t="shared" si="24"/>
        <v>0.20546310647111266</v>
      </c>
      <c r="AW30" s="107">
        <f t="shared" si="29"/>
        <v>0.31614651425634777</v>
      </c>
      <c r="AX30" s="107">
        <f t="shared" si="29"/>
        <v>0.10688628422550642</v>
      </c>
      <c r="AY30" s="107">
        <f t="shared" si="29"/>
        <v>0.2536461605528762</v>
      </c>
      <c r="AZ30" s="107">
        <f t="shared" si="29"/>
        <v>0.18026622238919132</v>
      </c>
      <c r="BA30" s="451">
        <f t="shared" si="25"/>
        <v>3.5888630538406005E-2</v>
      </c>
      <c r="BB30" s="451">
        <f t="shared" si="26"/>
        <v>5.5221911325214902E-2</v>
      </c>
      <c r="BC30" s="456">
        <f t="shared" si="26"/>
        <v>1.8670030012086777E-2</v>
      </c>
      <c r="BD30" s="451">
        <f t="shared" si="26"/>
        <v>4.4304855990519323E-2</v>
      </c>
      <c r="BE30" s="451">
        <f t="shared" si="26"/>
        <v>3.1487443001303052E-2</v>
      </c>
      <c r="BG30" s="95">
        <v>3.254616055287618E-2</v>
      </c>
      <c r="BI30" s="329">
        <v>134</v>
      </c>
      <c r="BJ30" s="309">
        <v>41.945</v>
      </c>
      <c r="BK30" s="496">
        <f t="shared" si="30"/>
        <v>0.31302238805970151</v>
      </c>
      <c r="BL30" s="455">
        <f t="shared" si="27"/>
        <v>0.30043525813059124</v>
      </c>
    </row>
    <row r="31" spans="1:64" x14ac:dyDescent="0.2">
      <c r="A31" s="77">
        <v>2001</v>
      </c>
      <c r="B31" s="317">
        <v>28371</v>
      </c>
      <c r="C31" s="318">
        <v>4567</v>
      </c>
      <c r="D31" s="443">
        <f t="shared" si="0"/>
        <v>0.1609742342532868</v>
      </c>
      <c r="E31" s="444">
        <f t="shared" si="1"/>
        <v>840.32799999999997</v>
      </c>
      <c r="F31" s="444">
        <f t="shared" si="2"/>
        <v>3726.672</v>
      </c>
      <c r="G31" s="319">
        <v>105</v>
      </c>
      <c r="H31" s="318">
        <f t="shared" si="3"/>
        <v>307.43968509803761</v>
      </c>
      <c r="I31" s="493">
        <f t="shared" si="4"/>
        <v>0.184</v>
      </c>
      <c r="J31" s="493">
        <v>0.184</v>
      </c>
      <c r="L31" s="446">
        <f t="shared" si="5"/>
        <v>444.07829941937985</v>
      </c>
      <c r="M31" s="494">
        <f t="shared" si="6"/>
        <v>136.63861432134223</v>
      </c>
      <c r="N31" s="443">
        <f t="shared" si="7"/>
        <v>9.7236325688500075E-2</v>
      </c>
      <c r="O31" s="443">
        <f t="shared" si="8"/>
        <v>8.2497114073370986E-2</v>
      </c>
      <c r="P31" s="321">
        <v>0.39103953313786322</v>
      </c>
      <c r="Q31" s="321">
        <v>0.39103953313786322</v>
      </c>
      <c r="R31" s="322">
        <v>0.37306511490872935</v>
      </c>
      <c r="S31" s="495">
        <f t="shared" si="9"/>
        <v>0.27853255745436467</v>
      </c>
      <c r="T31" s="495">
        <f t="shared" si="10"/>
        <v>0.30769036564045904</v>
      </c>
      <c r="V31" s="446">
        <f t="shared" si="11"/>
        <v>196.83400040353257</v>
      </c>
      <c r="W31" s="447">
        <f t="shared" si="28"/>
        <v>190.03102740044662</v>
      </c>
      <c r="X31" s="444">
        <v>6.802973003085965</v>
      </c>
      <c r="Y31" s="318">
        <v>105.542</v>
      </c>
      <c r="Z31" s="194">
        <v>16.716000000000001</v>
      </c>
      <c r="AA31" s="318">
        <v>272.2873830120825</v>
      </c>
      <c r="AB31" s="443">
        <f t="shared" si="13"/>
        <v>0.4432416550434633</v>
      </c>
      <c r="AC31" s="443">
        <f t="shared" si="14"/>
        <v>0.41979282200321821</v>
      </c>
      <c r="AE31" s="449">
        <f t="shared" si="15"/>
        <v>0.28996851978883714</v>
      </c>
      <c r="AF31" s="450">
        <f t="shared" si="16"/>
        <v>4.3797328509772249E-2</v>
      </c>
      <c r="AG31" s="450">
        <v>0.33376584829860939</v>
      </c>
      <c r="AH31" s="451">
        <f t="shared" si="17"/>
        <v>0.86877828054298645</v>
      </c>
      <c r="AI31" s="323">
        <v>1.88</v>
      </c>
      <c r="AJ31" s="323">
        <v>2.21</v>
      </c>
      <c r="AK31" s="325">
        <v>0.28999999999999998</v>
      </c>
      <c r="AL31" s="452">
        <f t="shared" si="18"/>
        <v>57.075663741127713</v>
      </c>
      <c r="AM31" s="452"/>
      <c r="AN31" s="465"/>
      <c r="AO31" s="449">
        <f t="shared" si="19"/>
        <v>0.19476832460859048</v>
      </c>
      <c r="AP31" s="453">
        <f t="shared" si="20"/>
        <v>0.3616659759601874</v>
      </c>
      <c r="AQ31" s="453">
        <v>0</v>
      </c>
      <c r="AR31" s="453">
        <f t="shared" si="21"/>
        <v>0.28996851978883714</v>
      </c>
      <c r="AS31" s="453">
        <f t="shared" si="22"/>
        <v>0.14498425989441857</v>
      </c>
      <c r="AT31" s="452">
        <f t="shared" si="23"/>
        <v>48.155357888341946</v>
      </c>
      <c r="AU31" s="452"/>
      <c r="AV31" s="454">
        <f t="shared" si="24"/>
        <v>0.23696501668074377</v>
      </c>
      <c r="AW31" s="107">
        <f t="shared" si="29"/>
        <v>0.32988667682439199</v>
      </c>
      <c r="AX31" s="107">
        <f t="shared" si="29"/>
        <v>0.12852612662170743</v>
      </c>
      <c r="AY31" s="107">
        <f t="shared" si="29"/>
        <v>0.2899685197888372</v>
      </c>
      <c r="AZ31" s="107">
        <f t="shared" si="29"/>
        <v>0.20924732320527228</v>
      </c>
      <c r="BA31" s="451">
        <f t="shared" si="25"/>
        <v>3.6273825449937333E-2</v>
      </c>
      <c r="BB31" s="451">
        <f t="shared" si="26"/>
        <v>5.0497967594557103E-2</v>
      </c>
      <c r="BC31" s="456">
        <f t="shared" si="26"/>
        <v>1.9674356781167916E-2</v>
      </c>
      <c r="BD31" s="451">
        <f t="shared" si="26"/>
        <v>4.4387427393841612E-2</v>
      </c>
      <c r="BE31" s="451">
        <f t="shared" si="26"/>
        <v>3.2030892087504759E-2</v>
      </c>
      <c r="BG31" s="95">
        <v>6.1468519788837106E-2</v>
      </c>
      <c r="BI31" s="329">
        <v>110</v>
      </c>
      <c r="BJ31" s="309">
        <v>42.872999999999998</v>
      </c>
      <c r="BK31" s="496">
        <f t="shared" si="30"/>
        <v>0.38975454545454541</v>
      </c>
      <c r="BL31" s="455">
        <f t="shared" si="27"/>
        <v>0.33376584829860939</v>
      </c>
    </row>
    <row r="32" spans="1:64" x14ac:dyDescent="0.2">
      <c r="A32" s="77">
        <v>2002</v>
      </c>
      <c r="B32" s="317">
        <v>29432</v>
      </c>
      <c r="C32" s="318">
        <v>4875</v>
      </c>
      <c r="D32" s="443">
        <f t="shared" si="0"/>
        <v>0.16563604240282687</v>
      </c>
      <c r="E32" s="444">
        <f t="shared" si="1"/>
        <v>823.875</v>
      </c>
      <c r="F32" s="444">
        <f t="shared" si="2"/>
        <v>4051.125</v>
      </c>
      <c r="G32" s="319">
        <v>110</v>
      </c>
      <c r="H32" s="318">
        <f t="shared" si="3"/>
        <v>341.83897255426945</v>
      </c>
      <c r="I32" s="493">
        <f t="shared" si="4"/>
        <v>0.16900000000000001</v>
      </c>
      <c r="J32" s="493">
        <v>0.16900000000000001</v>
      </c>
      <c r="L32" s="446">
        <f t="shared" si="5"/>
        <v>464.6111743988684</v>
      </c>
      <c r="M32" s="494">
        <f t="shared" si="6"/>
        <v>122.77220184459894</v>
      </c>
      <c r="N32" s="443">
        <f t="shared" si="7"/>
        <v>9.5304856286947362E-2</v>
      </c>
      <c r="O32" s="443">
        <f t="shared" si="8"/>
        <v>8.4381245346482628E-2</v>
      </c>
      <c r="P32" s="321">
        <v>0.33306513334772458</v>
      </c>
      <c r="Q32" s="321">
        <v>0.33306513334772458</v>
      </c>
      <c r="R32" s="322">
        <v>0.31741308418621311</v>
      </c>
      <c r="S32" s="495">
        <f t="shared" si="9"/>
        <v>0.24320654209310655</v>
      </c>
      <c r="T32" s="495">
        <f t="shared" si="10"/>
        <v>0.26424719982993583</v>
      </c>
      <c r="V32" s="446">
        <f t="shared" si="11"/>
        <v>206.94416624209731</v>
      </c>
      <c r="W32" s="447">
        <f t="shared" si="28"/>
        <v>199.40589977931441</v>
      </c>
      <c r="X32" s="444">
        <v>7.538266462782893</v>
      </c>
      <c r="Y32" s="318">
        <v>120.357</v>
      </c>
      <c r="Z32" s="194">
        <v>18.943000000000001</v>
      </c>
      <c r="AA32" s="318">
        <v>302.75349527065737</v>
      </c>
      <c r="AB32" s="443">
        <f t="shared" si="13"/>
        <v>0.44541366554484951</v>
      </c>
      <c r="AC32" s="443">
        <f t="shared" si="14"/>
        <v>0.42955390769398377</v>
      </c>
      <c r="AE32" s="449">
        <f t="shared" si="15"/>
        <v>0.29063422767036329</v>
      </c>
      <c r="AF32" s="450">
        <f t="shared" si="16"/>
        <v>4.7954647565609965E-2</v>
      </c>
      <c r="AG32" s="450">
        <v>0.33858887523597325</v>
      </c>
      <c r="AH32" s="451">
        <f t="shared" si="17"/>
        <v>0.85836909871244638</v>
      </c>
      <c r="AI32" s="323">
        <v>1.97</v>
      </c>
      <c r="AJ32" s="323">
        <v>2.33</v>
      </c>
      <c r="AK32" s="325">
        <v>0.33</v>
      </c>
      <c r="AL32" s="452">
        <f t="shared" si="18"/>
        <v>60.14505792665922</v>
      </c>
      <c r="AM32" s="452"/>
      <c r="AN32" s="465"/>
      <c r="AO32" s="449">
        <f t="shared" si="19"/>
        <v>0.19521547248815344</v>
      </c>
      <c r="AP32" s="453">
        <f t="shared" si="20"/>
        <v>0.3616659759601874</v>
      </c>
      <c r="AQ32" s="453">
        <v>0</v>
      </c>
      <c r="AR32" s="453">
        <f t="shared" si="21"/>
        <v>0.29063422767036329</v>
      </c>
      <c r="AS32" s="453">
        <f t="shared" si="22"/>
        <v>0.14531711383518164</v>
      </c>
      <c r="AT32" s="452">
        <f t="shared" si="23"/>
        <v>50.300586741932953</v>
      </c>
      <c r="AU32" s="452"/>
      <c r="AV32" s="454">
        <f t="shared" si="24"/>
        <v>0.23771628999558814</v>
      </c>
      <c r="AW32" s="107">
        <f t="shared" si="29"/>
        <v>0.33002746458435772</v>
      </c>
      <c r="AX32" s="107">
        <f t="shared" si="29"/>
        <v>0.12945245667945285</v>
      </c>
      <c r="AY32" s="107">
        <f t="shared" si="29"/>
        <v>0.29063422767036329</v>
      </c>
      <c r="AZ32" s="107">
        <f t="shared" si="29"/>
        <v>0.21004334217490805</v>
      </c>
      <c r="BA32" s="451">
        <f t="shared" si="25"/>
        <v>3.5666012560009702E-2</v>
      </c>
      <c r="BB32" s="451">
        <f t="shared" si="26"/>
        <v>4.9516016328676159E-2</v>
      </c>
      <c r="BC32" s="456">
        <f t="shared" si="26"/>
        <v>1.9422534929933351E-2</v>
      </c>
      <c r="BD32" s="451">
        <f t="shared" si="26"/>
        <v>4.3605610766734901E-2</v>
      </c>
      <c r="BE32" s="451">
        <f t="shared" si="26"/>
        <v>3.1514072848334129E-2</v>
      </c>
      <c r="BG32" s="95">
        <v>5.4734227670363289E-2</v>
      </c>
      <c r="BI32" s="329">
        <v>125</v>
      </c>
      <c r="BJ32" s="309">
        <v>51.466999999999999</v>
      </c>
      <c r="BK32" s="496">
        <f t="shared" si="30"/>
        <v>0.41173599999999999</v>
      </c>
      <c r="BL32" s="455">
        <f t="shared" si="27"/>
        <v>0.33858887523597325</v>
      </c>
    </row>
    <row r="33" spans="1:64" x14ac:dyDescent="0.2">
      <c r="A33" s="77">
        <v>2003</v>
      </c>
      <c r="B33" s="317">
        <v>33022</v>
      </c>
      <c r="C33" s="318">
        <v>5623</v>
      </c>
      <c r="D33" s="443">
        <f t="shared" si="0"/>
        <v>0.17028041911452971</v>
      </c>
      <c r="E33" s="444">
        <f t="shared" si="1"/>
        <v>955.91000000000008</v>
      </c>
      <c r="F33" s="444">
        <f t="shared" si="2"/>
        <v>4667.09</v>
      </c>
      <c r="G33" s="319">
        <v>137</v>
      </c>
      <c r="H33" s="318">
        <f t="shared" si="3"/>
        <v>482.08957890249758</v>
      </c>
      <c r="I33" s="493">
        <f t="shared" si="4"/>
        <v>0.17</v>
      </c>
      <c r="J33" s="493">
        <v>0.17</v>
      </c>
      <c r="L33" s="446">
        <f t="shared" si="5"/>
        <v>629.97826282493565</v>
      </c>
      <c r="M33" s="494">
        <f t="shared" si="6"/>
        <v>147.88868392243808</v>
      </c>
      <c r="N33" s="443">
        <f t="shared" si="7"/>
        <v>0.11203597062509971</v>
      </c>
      <c r="O33" s="443">
        <f t="shared" si="8"/>
        <v>0.10329553938374823</v>
      </c>
      <c r="P33" s="321">
        <v>0.2860219727151998</v>
      </c>
      <c r="Q33" s="321">
        <v>0.2860219727151998</v>
      </c>
      <c r="R33" s="322">
        <v>0.27335484498134482</v>
      </c>
      <c r="S33" s="495">
        <f t="shared" si="9"/>
        <v>0.2216774224906724</v>
      </c>
      <c r="T33" s="495">
        <f t="shared" si="10"/>
        <v>0.23475204248997206</v>
      </c>
      <c r="V33" s="446">
        <f t="shared" si="11"/>
        <v>251.87304685668951</v>
      </c>
      <c r="W33" s="447">
        <f t="shared" si="28"/>
        <v>242.27729421631824</v>
      </c>
      <c r="X33" s="444">
        <v>9.5957526403712698</v>
      </c>
      <c r="Y33" s="318">
        <v>159.93700000000001</v>
      </c>
      <c r="Z33" s="194">
        <v>18.268999999999998</v>
      </c>
      <c r="AA33" s="318">
        <v>426.96800764318698</v>
      </c>
      <c r="AB33" s="443">
        <f t="shared" si="13"/>
        <v>0.39981228197818375</v>
      </c>
      <c r="AC33" s="443">
        <f t="shared" si="14"/>
        <v>0.38955779352856351</v>
      </c>
      <c r="AE33" s="449">
        <f t="shared" si="15"/>
        <v>0.27053735865049783</v>
      </c>
      <c r="AF33" s="450">
        <f t="shared" si="16"/>
        <v>4.89765907901763E-2</v>
      </c>
      <c r="AG33" s="450">
        <v>0.31951394944067413</v>
      </c>
      <c r="AH33" s="451">
        <f t="shared" si="17"/>
        <v>0.84671532846715336</v>
      </c>
      <c r="AI33" s="323">
        <v>2.3199999999999998</v>
      </c>
      <c r="AJ33" s="323">
        <v>2.74</v>
      </c>
      <c r="AK33" s="325">
        <v>0.42</v>
      </c>
      <c r="AL33" s="452">
        <f t="shared" si="18"/>
        <v>68.141068811861857</v>
      </c>
      <c r="AM33" s="452"/>
      <c r="AN33" s="465"/>
      <c r="AO33" s="449">
        <f t="shared" si="19"/>
        <v>0.18171665023073069</v>
      </c>
      <c r="AP33" s="453">
        <f t="shared" si="20"/>
        <v>0.3616659759601874</v>
      </c>
      <c r="AQ33" s="453">
        <v>0</v>
      </c>
      <c r="AR33" s="453">
        <f t="shared" si="21"/>
        <v>0.27053735865049783</v>
      </c>
      <c r="AS33" s="453">
        <f t="shared" si="22"/>
        <v>0.13526867932524891</v>
      </c>
      <c r="AT33" s="452">
        <f t="shared" si="23"/>
        <v>68.708013280516681</v>
      </c>
      <c r="AU33" s="452"/>
      <c r="AV33" s="454">
        <f t="shared" si="24"/>
        <v>0.21722826035095666</v>
      </c>
      <c r="AW33" s="107">
        <f t="shared" si="29"/>
        <v>0.32523163552008383</v>
      </c>
      <c r="AX33" s="107">
        <f t="shared" si="29"/>
        <v>0.10816415872240587</v>
      </c>
      <c r="AY33" s="107">
        <f t="shared" si="29"/>
        <v>0.27053735865049783</v>
      </c>
      <c r="AZ33" s="107">
        <f t="shared" si="29"/>
        <v>0.18935075868645185</v>
      </c>
      <c r="BA33" s="451">
        <f t="shared" si="25"/>
        <v>3.8313725989451652E-2</v>
      </c>
      <c r="BB33" s="451">
        <f t="shared" si="26"/>
        <v>5.736286681247562E-2</v>
      </c>
      <c r="BC33" s="456">
        <f t="shared" si="26"/>
        <v>1.9077499090009931E-2</v>
      </c>
      <c r="BD33" s="451">
        <f t="shared" si="26"/>
        <v>4.7716140673864836E-2</v>
      </c>
      <c r="BE33" s="451">
        <f t="shared" si="26"/>
        <v>3.3396819881937385E-2</v>
      </c>
      <c r="BG33" s="95">
        <v>2.7237358650497812E-2</v>
      </c>
      <c r="BI33" s="329">
        <v>165</v>
      </c>
      <c r="BJ33" s="309">
        <v>67.593000000000004</v>
      </c>
      <c r="BK33" s="496">
        <f t="shared" si="30"/>
        <v>0.40965454545454549</v>
      </c>
      <c r="BL33" s="455">
        <f t="shared" si="27"/>
        <v>0.31951394944067413</v>
      </c>
    </row>
    <row r="34" spans="1:64" x14ac:dyDescent="0.2">
      <c r="A34" s="77">
        <v>2004</v>
      </c>
      <c r="B34" s="317">
        <v>37157</v>
      </c>
      <c r="C34" s="318">
        <v>6593</v>
      </c>
      <c r="D34" s="443">
        <f t="shared" si="0"/>
        <v>0.17743628387652394</v>
      </c>
      <c r="E34" s="444">
        <f t="shared" si="1"/>
        <v>1180.1469999999999</v>
      </c>
      <c r="F34" s="444">
        <f t="shared" si="2"/>
        <v>5412.8530000000001</v>
      </c>
      <c r="G34" s="319">
        <v>210</v>
      </c>
      <c r="H34" s="318">
        <f t="shared" si="3"/>
        <v>682.20224946646567</v>
      </c>
      <c r="I34" s="493">
        <f t="shared" si="4"/>
        <v>0.17899999999999999</v>
      </c>
      <c r="J34" s="493">
        <v>0.17899999999999999</v>
      </c>
      <c r="L34" s="446">
        <f t="shared" si="5"/>
        <v>891.0988827502315</v>
      </c>
      <c r="M34" s="494">
        <f t="shared" si="6"/>
        <v>208.89663328376582</v>
      </c>
      <c r="N34" s="443">
        <f t="shared" si="7"/>
        <v>0.13515833198092395</v>
      </c>
      <c r="O34" s="443">
        <f t="shared" si="8"/>
        <v>0.12603376619805964</v>
      </c>
      <c r="P34" s="321">
        <v>0.28623875901887058</v>
      </c>
      <c r="Q34" s="321">
        <v>0.27861662190323577</v>
      </c>
      <c r="R34" s="322">
        <v>0.26580156313714109</v>
      </c>
      <c r="S34" s="495">
        <f t="shared" si="9"/>
        <v>0.22240078156857054</v>
      </c>
      <c r="T34" s="495">
        <f t="shared" si="10"/>
        <v>0.23442587273708659</v>
      </c>
      <c r="V34" s="446">
        <f t="shared" si="11"/>
        <v>339.33490080044186</v>
      </c>
      <c r="W34" s="447">
        <f t="shared" si="28"/>
        <v>326.51789245674598</v>
      </c>
      <c r="X34" s="444">
        <v>12.817008343695896</v>
      </c>
      <c r="Y34" s="318">
        <v>223.14400000000001</v>
      </c>
      <c r="Z34" s="194">
        <v>17.190000000000001</v>
      </c>
      <c r="AA34" s="318">
        <v>604.20002425173402</v>
      </c>
      <c r="AB34" s="443">
        <f t="shared" si="13"/>
        <v>0.38080498962487752</v>
      </c>
      <c r="AC34" s="443">
        <f t="shared" si="14"/>
        <v>0.37107911699452673</v>
      </c>
      <c r="AE34" s="449">
        <f t="shared" si="15"/>
        <v>0.29567793781540885</v>
      </c>
      <c r="AF34" s="450">
        <f t="shared" si="16"/>
        <v>4.5322895577544431E-2</v>
      </c>
      <c r="AG34" s="450">
        <v>0.34100083339295328</v>
      </c>
      <c r="AH34" s="451">
        <f t="shared" si="17"/>
        <v>0.86708860759493667</v>
      </c>
      <c r="AI34" s="323">
        <v>2.68</v>
      </c>
      <c r="AJ34" s="323">
        <v>3.16</v>
      </c>
      <c r="AK34" s="325">
        <v>0.42</v>
      </c>
      <c r="AL34" s="452">
        <f t="shared" si="18"/>
        <v>100.33384369747098</v>
      </c>
      <c r="AM34" s="452"/>
      <c r="AN34" s="465"/>
      <c r="AO34" s="449">
        <f t="shared" si="19"/>
        <v>0.19860327118946505</v>
      </c>
      <c r="AP34" s="453">
        <f t="shared" si="20"/>
        <v>0.3616659759601874</v>
      </c>
      <c r="AQ34" s="453">
        <v>0</v>
      </c>
      <c r="AR34" s="453">
        <f t="shared" si="21"/>
        <v>0.29567793781540885</v>
      </c>
      <c r="AS34" s="453">
        <f t="shared" si="22"/>
        <v>0.14783896890770443</v>
      </c>
      <c r="AT34" s="452">
        <f t="shared" si="23"/>
        <v>109.58213173975318</v>
      </c>
      <c r="AU34" s="452"/>
      <c r="AV34" s="454">
        <f t="shared" si="24"/>
        <v>0.235569788606796</v>
      </c>
      <c r="AW34" s="107">
        <f t="shared" si="29"/>
        <v>0.33653740177909897</v>
      </c>
      <c r="AX34" s="107">
        <f t="shared" si="29"/>
        <v>0.11259563404210195</v>
      </c>
      <c r="AY34" s="107">
        <f t="shared" si="29"/>
        <v>0.29567793781540885</v>
      </c>
      <c r="AZ34" s="107">
        <f t="shared" si="29"/>
        <v>0.20413678592875539</v>
      </c>
      <c r="BA34" s="451">
        <f t="shared" si="25"/>
        <v>5.0123685844003264E-2</v>
      </c>
      <c r="BB34" s="451">
        <f t="shared" si="26"/>
        <v>7.1607208637814349E-2</v>
      </c>
      <c r="BC34" s="456">
        <f t="shared" si="26"/>
        <v>2.3957690931042681E-2</v>
      </c>
      <c r="BD34" s="451">
        <f t="shared" si="26"/>
        <v>6.2913279982604403E-2</v>
      </c>
      <c r="BE34" s="451">
        <f t="shared" si="26"/>
        <v>4.3435485456823533E-2</v>
      </c>
      <c r="BG34" s="95">
        <v>4.4977937815408819E-2</v>
      </c>
      <c r="BI34" s="329">
        <v>228</v>
      </c>
      <c r="BJ34" s="309">
        <v>98.149000000000001</v>
      </c>
      <c r="BK34" s="496">
        <f t="shared" si="30"/>
        <v>0.4304780701754386</v>
      </c>
      <c r="BL34" s="455">
        <f t="shared" si="27"/>
        <v>0.34100083339295328</v>
      </c>
    </row>
    <row r="35" spans="1:64" x14ac:dyDescent="0.2">
      <c r="A35" s="77">
        <v>2005</v>
      </c>
      <c r="B35" s="317">
        <v>40191</v>
      </c>
      <c r="C35" s="318">
        <v>7258</v>
      </c>
      <c r="D35" s="443">
        <f t="shared" si="0"/>
        <v>0.18058769376228509</v>
      </c>
      <c r="E35" s="444">
        <f t="shared" si="1"/>
        <v>1429.826</v>
      </c>
      <c r="F35" s="444">
        <f t="shared" si="2"/>
        <v>5828.174</v>
      </c>
      <c r="G35" s="319">
        <v>237</v>
      </c>
      <c r="H35" s="318">
        <f t="shared" si="3"/>
        <v>913.44281301970079</v>
      </c>
      <c r="I35" s="493">
        <f t="shared" si="4"/>
        <v>0.19700000000000001</v>
      </c>
      <c r="J35" s="493">
        <v>0.19700000000000001</v>
      </c>
      <c r="L35" s="446">
        <f t="shared" si="5"/>
        <v>1219.6725613668095</v>
      </c>
      <c r="M35" s="494">
        <f t="shared" si="6"/>
        <v>306.2297483471088</v>
      </c>
      <c r="N35" s="443">
        <f t="shared" si="7"/>
        <v>0.16804526885737248</v>
      </c>
      <c r="O35" s="443">
        <f t="shared" si="8"/>
        <v>0.15672881643885389</v>
      </c>
      <c r="P35" s="321">
        <v>0.30826320098995885</v>
      </c>
      <c r="Q35" s="321">
        <v>0.29309259915065988</v>
      </c>
      <c r="R35" s="322">
        <v>0.28174188690012847</v>
      </c>
      <c r="S35" s="495">
        <f t="shared" si="9"/>
        <v>0.23937094345006424</v>
      </c>
      <c r="T35" s="495">
        <f t="shared" si="10"/>
        <v>0.2510753771519928</v>
      </c>
      <c r="V35" s="446">
        <f t="shared" si="11"/>
        <v>403.74862064770537</v>
      </c>
      <c r="W35" s="447">
        <f t="shared" si="28"/>
        <v>389.98326487368234</v>
      </c>
      <c r="X35" s="444">
        <v>13.765355774023046</v>
      </c>
      <c r="Y35" s="318">
        <v>267.52999999999997</v>
      </c>
      <c r="Z35" s="194">
        <v>11.532</v>
      </c>
      <c r="AA35" s="318">
        <v>809.00080615492698</v>
      </c>
      <c r="AB35" s="443">
        <f t="shared" si="13"/>
        <v>0.3310303383354381</v>
      </c>
      <c r="AC35" s="443">
        <f t="shared" si="14"/>
        <v>0.32057546635676182</v>
      </c>
      <c r="AE35" s="449">
        <f t="shared" si="15"/>
        <v>0.24900719969672591</v>
      </c>
      <c r="AF35" s="450">
        <f t="shared" si="16"/>
        <v>4.7339771805461173E-2</v>
      </c>
      <c r="AG35" s="450">
        <v>0.29634697150218708</v>
      </c>
      <c r="AH35" s="451">
        <f t="shared" si="17"/>
        <v>0.84025559105431313</v>
      </c>
      <c r="AI35" s="323">
        <v>2.66</v>
      </c>
      <c r="AJ35" s="323">
        <v>3.13</v>
      </c>
      <c r="AK35" s="325">
        <v>0.5</v>
      </c>
      <c r="AL35" s="452">
        <f t="shared" si="18"/>
        <v>100.53631340890081</v>
      </c>
      <c r="AM35" s="452"/>
      <c r="AN35" s="465"/>
      <c r="AO35" s="449">
        <f t="shared" si="19"/>
        <v>0.16725510457385545</v>
      </c>
      <c r="AP35" s="453">
        <f t="shared" si="20"/>
        <v>0.3616659759601874</v>
      </c>
      <c r="AQ35" s="453">
        <v>0</v>
      </c>
      <c r="AR35" s="453">
        <f t="shared" si="21"/>
        <v>0.24900719969672591</v>
      </c>
      <c r="AS35" s="453">
        <f t="shared" si="22"/>
        <v>0.12450359984836296</v>
      </c>
      <c r="AT35" s="452">
        <f t="shared" si="23"/>
        <v>136.46744402928601</v>
      </c>
      <c r="AU35" s="452"/>
      <c r="AV35" s="454">
        <f t="shared" si="24"/>
        <v>0.19431752828201018</v>
      </c>
      <c r="AW35" s="107">
        <f t="shared" si="29"/>
        <v>0.32437250313723731</v>
      </c>
      <c r="AX35" s="107">
        <f t="shared" si="29"/>
        <v>8.2428937563567173E-2</v>
      </c>
      <c r="AY35" s="107">
        <f t="shared" si="29"/>
        <v>0.24900719969672591</v>
      </c>
      <c r="AZ35" s="107">
        <f t="shared" si="29"/>
        <v>0.16571806863014654</v>
      </c>
      <c r="BA35" s="451">
        <f t="shared" si="25"/>
        <v>5.1406596486638229E-2</v>
      </c>
      <c r="BB35" s="451">
        <f t="shared" si="26"/>
        <v>8.5812569393826033E-2</v>
      </c>
      <c r="BC35" s="456">
        <f t="shared" si="26"/>
        <v>2.1806530628585036E-2</v>
      </c>
      <c r="BD35" s="451">
        <f t="shared" si="26"/>
        <v>6.5874719333090706E-2</v>
      </c>
      <c r="BE35" s="451">
        <f t="shared" si="26"/>
        <v>4.3840624980837871E-2</v>
      </c>
      <c r="BG35" s="95">
        <v>-9.0928003032740845E-3</v>
      </c>
      <c r="BI35" s="329">
        <v>272</v>
      </c>
      <c r="BJ35" s="309">
        <v>121.887</v>
      </c>
      <c r="BK35" s="496">
        <f t="shared" si="30"/>
        <v>0.44811397058823532</v>
      </c>
      <c r="BL35" s="455">
        <f t="shared" si="27"/>
        <v>0.29634697150218708</v>
      </c>
    </row>
    <row r="36" spans="1:64" x14ac:dyDescent="0.2">
      <c r="A36" s="77">
        <v>2006</v>
      </c>
      <c r="B36" s="317">
        <v>43479</v>
      </c>
      <c r="C36" s="318">
        <v>7983</v>
      </c>
      <c r="D36" s="443">
        <f t="shared" si="0"/>
        <v>0.18360587870006209</v>
      </c>
      <c r="E36" s="444">
        <f t="shared" si="1"/>
        <v>1644.4979999999998</v>
      </c>
      <c r="F36" s="444">
        <f t="shared" si="2"/>
        <v>6338.5020000000004</v>
      </c>
      <c r="G36" s="319">
        <v>300</v>
      </c>
      <c r="H36" s="318">
        <f t="shared" si="3"/>
        <v>1049.8499950438265</v>
      </c>
      <c r="I36" s="493">
        <f t="shared" si="4"/>
        <v>0.20599999999999999</v>
      </c>
      <c r="J36" s="493">
        <v>0.20599999999999999</v>
      </c>
      <c r="L36" s="446">
        <f t="shared" si="5"/>
        <v>1413.2033207369047</v>
      </c>
      <c r="M36" s="494">
        <f t="shared" si="6"/>
        <v>363.3533256930782</v>
      </c>
      <c r="N36" s="443">
        <f t="shared" si="7"/>
        <v>0.17702659660990916</v>
      </c>
      <c r="O36" s="443">
        <f t="shared" si="8"/>
        <v>0.16563061667312348</v>
      </c>
      <c r="P36" s="321">
        <v>0.31223079892990435</v>
      </c>
      <c r="Q36" s="321">
        <v>0.29805136247794545</v>
      </c>
      <c r="R36" s="322">
        <v>0.2855471556432605</v>
      </c>
      <c r="S36" s="495">
        <f t="shared" si="9"/>
        <v>0.24577357782163023</v>
      </c>
      <c r="T36" s="495">
        <f t="shared" si="10"/>
        <v>0.25711326909677101</v>
      </c>
      <c r="V36" s="446">
        <f t="shared" si="11"/>
        <v>450.19157171275145</v>
      </c>
      <c r="W36" s="447">
        <f t="shared" si="28"/>
        <v>433.43848265114616</v>
      </c>
      <c r="X36" s="444">
        <v>16.75308906160528</v>
      </c>
      <c r="Y36" s="318">
        <v>298.32499999999999</v>
      </c>
      <c r="Z36" s="194">
        <v>8.4429999999999996</v>
      </c>
      <c r="AA36" s="318">
        <v>929.81134694623051</v>
      </c>
      <c r="AB36" s="443">
        <f t="shared" si="13"/>
        <v>0.31856107688595175</v>
      </c>
      <c r="AC36" s="443">
        <f t="shared" si="14"/>
        <v>0.30815934713425391</v>
      </c>
      <c r="AE36" s="449">
        <f t="shared" si="15"/>
        <v>0.27295598302147356</v>
      </c>
      <c r="AF36" s="450">
        <f t="shared" si="16"/>
        <v>4.5961660371313384E-2</v>
      </c>
      <c r="AG36" s="450">
        <v>0.31891764339278694</v>
      </c>
      <c r="AH36" s="451">
        <f t="shared" si="17"/>
        <v>0.85588235294117654</v>
      </c>
      <c r="AI36" s="323">
        <v>2.89</v>
      </c>
      <c r="AJ36" s="323">
        <v>3.4</v>
      </c>
      <c r="AK36" s="325">
        <v>0.49</v>
      </c>
      <c r="AL36" s="452">
        <f t="shared" si="18"/>
        <v>122.88248300483629</v>
      </c>
      <c r="AM36" s="452"/>
      <c r="AN36" s="465"/>
      <c r="AO36" s="449">
        <f t="shared" si="19"/>
        <v>0.18334121077590812</v>
      </c>
      <c r="AP36" s="453">
        <f t="shared" si="20"/>
        <v>0.3616659759601874</v>
      </c>
      <c r="AQ36" s="453">
        <v>0</v>
      </c>
      <c r="AR36" s="453">
        <f t="shared" si="21"/>
        <v>0.27295598302147356</v>
      </c>
      <c r="AS36" s="453">
        <f t="shared" si="22"/>
        <v>0.13647799151073678</v>
      </c>
      <c r="AT36" s="452">
        <f t="shared" si="23"/>
        <v>176.55974005751321</v>
      </c>
      <c r="AU36" s="452"/>
      <c r="AV36" s="454">
        <f t="shared" si="24"/>
        <v>0.21188898912734477</v>
      </c>
      <c r="AW36" s="107">
        <f t="shared" si="29"/>
        <v>0.33340642507908558</v>
      </c>
      <c r="AX36" s="107">
        <f t="shared" si="29"/>
        <v>8.6953151893784178E-2</v>
      </c>
      <c r="AY36" s="107">
        <f t="shared" si="29"/>
        <v>0.27295598302147356</v>
      </c>
      <c r="AZ36" s="107">
        <f t="shared" si="29"/>
        <v>0.17995456745762889</v>
      </c>
      <c r="BA36" s="451">
        <f t="shared" si="25"/>
        <v>5.9051032113391841E-2</v>
      </c>
      <c r="BB36" s="451">
        <f t="shared" si="26"/>
        <v>9.2916548402257076E-2</v>
      </c>
      <c r="BC36" s="456">
        <f t="shared" si="26"/>
        <v>2.4232846576820288E-2</v>
      </c>
      <c r="BD36" s="451">
        <f t="shared" si="26"/>
        <v>7.6069703222079149E-2</v>
      </c>
      <c r="BE36" s="451">
        <f t="shared" si="26"/>
        <v>5.0151274899449733E-2</v>
      </c>
      <c r="BG36" s="95">
        <v>7.4559830214735445E-3</v>
      </c>
      <c r="BI36" s="329">
        <v>304</v>
      </c>
      <c r="BJ36" s="309">
        <v>129.24799999999999</v>
      </c>
      <c r="BK36" s="496">
        <f t="shared" si="30"/>
        <v>0.42515789473684207</v>
      </c>
      <c r="BL36" s="455">
        <f t="shared" si="27"/>
        <v>0.31891764339278694</v>
      </c>
    </row>
    <row r="37" spans="1:64" x14ac:dyDescent="0.2">
      <c r="A37" s="77">
        <v>2007</v>
      </c>
      <c r="B37" s="317">
        <v>48934</v>
      </c>
      <c r="C37" s="318">
        <v>8979</v>
      </c>
      <c r="D37" s="443">
        <f t="shared" si="0"/>
        <v>0.18349205051702294</v>
      </c>
      <c r="E37" s="444">
        <f t="shared" si="1"/>
        <v>1813.758</v>
      </c>
      <c r="F37" s="444">
        <f t="shared" si="2"/>
        <v>7165.2420000000002</v>
      </c>
      <c r="G37" s="319">
        <v>356</v>
      </c>
      <c r="H37" s="318">
        <f t="shared" si="3"/>
        <v>1240.1211678827485</v>
      </c>
      <c r="I37" s="493">
        <f t="shared" si="4"/>
        <v>0.20200000000000001</v>
      </c>
      <c r="J37" s="493">
        <v>0.20200000000000001</v>
      </c>
      <c r="L37" s="446">
        <f t="shared" si="5"/>
        <v>1658.3455822115861</v>
      </c>
      <c r="M37" s="494">
        <f t="shared" si="6"/>
        <v>418.22441432883755</v>
      </c>
      <c r="N37" s="443">
        <f t="shared" si="7"/>
        <v>0.18469156723594901</v>
      </c>
      <c r="O37" s="443">
        <f t="shared" si="8"/>
        <v>0.17307456857462017</v>
      </c>
      <c r="P37" s="321">
        <v>0.29836968180193063</v>
      </c>
      <c r="Q37" s="321">
        <v>0.29372317785385288</v>
      </c>
      <c r="R37" s="322">
        <v>0.28080537346248274</v>
      </c>
      <c r="S37" s="495">
        <f t="shared" si="9"/>
        <v>0.24140268673124138</v>
      </c>
      <c r="T37" s="495">
        <f t="shared" si="10"/>
        <v>0.25219376396268944</v>
      </c>
      <c r="V37" s="446">
        <f t="shared" si="11"/>
        <v>516.49548402695211</v>
      </c>
      <c r="W37" s="447">
        <f t="shared" si="28"/>
        <v>496.88973278273522</v>
      </c>
      <c r="X37" s="444">
        <v>19.605751244216865</v>
      </c>
      <c r="Y37" s="318">
        <v>342.84</v>
      </c>
      <c r="Z37" s="194">
        <v>11.471</v>
      </c>
      <c r="AA37" s="318">
        <v>1098.3271314274332</v>
      </c>
      <c r="AB37" s="443">
        <f t="shared" si="13"/>
        <v>0.31145226276548982</v>
      </c>
      <c r="AC37" s="443">
        <f t="shared" si="14"/>
        <v>0.30151630415486153</v>
      </c>
      <c r="AE37" s="449">
        <f t="shared" si="15"/>
        <v>0.27724907013846722</v>
      </c>
      <c r="AF37" s="450">
        <f t="shared" si="16"/>
        <v>4.6656801447250151E-2</v>
      </c>
      <c r="AG37" s="450">
        <v>0.32390587158571738</v>
      </c>
      <c r="AH37" s="451">
        <f t="shared" si="17"/>
        <v>0.85595567867036015</v>
      </c>
      <c r="AI37" s="323">
        <v>3.06</v>
      </c>
      <c r="AJ37" s="323">
        <v>3.61</v>
      </c>
      <c r="AK37" s="325">
        <v>0.52</v>
      </c>
      <c r="AL37" s="452">
        <f t="shared" si="18"/>
        <v>143.19789267719003</v>
      </c>
      <c r="AM37" s="452"/>
      <c r="AN37" s="465"/>
      <c r="AO37" s="449">
        <f t="shared" si="19"/>
        <v>0.1862248251275091</v>
      </c>
      <c r="AP37" s="453">
        <f t="shared" si="20"/>
        <v>0.3616659759601874</v>
      </c>
      <c r="AQ37" s="453">
        <v>0</v>
      </c>
      <c r="AR37" s="453">
        <f t="shared" si="21"/>
        <v>0.27724907013846722</v>
      </c>
      <c r="AS37" s="453">
        <f t="shared" si="22"/>
        <v>0.13862453506923361</v>
      </c>
      <c r="AT37" s="452">
        <f t="shared" si="23"/>
        <v>212.64083485626259</v>
      </c>
      <c r="AU37" s="452"/>
      <c r="AV37" s="454">
        <f t="shared" si="24"/>
        <v>0.21457453220269235</v>
      </c>
      <c r="AW37" s="107">
        <f t="shared" si="29"/>
        <v>0.33537413962635138</v>
      </c>
      <c r="AX37" s="107">
        <f t="shared" si="29"/>
        <v>8.6349850244253609E-2</v>
      </c>
      <c r="AY37" s="107">
        <f t="shared" si="29"/>
        <v>0.27724907013846722</v>
      </c>
      <c r="AZ37" s="107">
        <f t="shared" si="29"/>
        <v>0.1817994601913604</v>
      </c>
      <c r="BA37" s="451">
        <f t="shared" si="25"/>
        <v>6.2388683969046288E-2</v>
      </c>
      <c r="BB37" s="451">
        <f t="shared" si="26"/>
        <v>9.751181090202421E-2</v>
      </c>
      <c r="BC37" s="456">
        <f t="shared" si="26"/>
        <v>2.5106677210761812E-2</v>
      </c>
      <c r="BD37" s="451">
        <f t="shared" si="26"/>
        <v>8.061163848299302E-2</v>
      </c>
      <c r="BE37" s="451">
        <f t="shared" si="26"/>
        <v>5.2859157846877412E-2</v>
      </c>
      <c r="BG37" s="95">
        <v>4.3490701384671926E-3</v>
      </c>
      <c r="BI37" s="329">
        <v>350</v>
      </c>
      <c r="BJ37" s="309">
        <v>161.43299999999999</v>
      </c>
      <c r="BK37" s="496">
        <f t="shared" si="30"/>
        <v>0.46123714285714285</v>
      </c>
      <c r="BL37" s="455">
        <f t="shared" si="27"/>
        <v>0.32390587158571738</v>
      </c>
    </row>
    <row r="38" spans="1:64" x14ac:dyDescent="0.2">
      <c r="A38" s="77">
        <v>2008</v>
      </c>
      <c r="B38" s="317">
        <v>53623</v>
      </c>
      <c r="C38" s="318">
        <v>9682</v>
      </c>
      <c r="D38" s="443">
        <f t="shared" si="0"/>
        <v>0.18055685060515078</v>
      </c>
      <c r="E38" s="444">
        <f t="shared" si="1"/>
        <v>1781.4880000000001</v>
      </c>
      <c r="F38" s="444">
        <f t="shared" si="2"/>
        <v>7900.5119999999997</v>
      </c>
      <c r="G38" s="319">
        <v>298</v>
      </c>
      <c r="H38" s="318">
        <f t="shared" si="3"/>
        <v>1119.3028669500379</v>
      </c>
      <c r="I38" s="493">
        <f t="shared" si="4"/>
        <v>0.184</v>
      </c>
      <c r="J38" s="493">
        <v>0.184</v>
      </c>
      <c r="L38" s="446">
        <f t="shared" si="5"/>
        <v>1519.7446916112888</v>
      </c>
      <c r="M38" s="494">
        <f t="shared" si="6"/>
        <v>400.44182466125091</v>
      </c>
      <c r="N38" s="443">
        <f t="shared" si="7"/>
        <v>0.15696598756571872</v>
      </c>
      <c r="O38" s="443">
        <f t="shared" si="8"/>
        <v>0.14167472525198849</v>
      </c>
      <c r="P38" s="321">
        <v>0.31312811972624333</v>
      </c>
      <c r="Q38" s="321">
        <v>0.31312811972624333</v>
      </c>
      <c r="R38" s="322">
        <v>0.3007574774998158</v>
      </c>
      <c r="S38" s="495">
        <f t="shared" si="9"/>
        <v>0.2423787387499079</v>
      </c>
      <c r="T38" s="495">
        <f t="shared" si="10"/>
        <v>0.26349282670412744</v>
      </c>
      <c r="V38" s="446">
        <f t="shared" si="11"/>
        <v>591.27646239547073</v>
      </c>
      <c r="W38" s="447">
        <f t="shared" si="28"/>
        <v>572.80186629456034</v>
      </c>
      <c r="X38" s="444">
        <v>18.474596100910393</v>
      </c>
      <c r="Y38" s="318">
        <v>384.75599999999997</v>
      </c>
      <c r="Z38" s="194">
        <v>12.645</v>
      </c>
      <c r="AA38" s="318">
        <v>991.32305688694703</v>
      </c>
      <c r="AB38" s="443">
        <f t="shared" si="13"/>
        <v>0.38906302200574089</v>
      </c>
      <c r="AC38" s="443">
        <f t="shared" si="14"/>
        <v>0.3715487634138917</v>
      </c>
      <c r="AE38" s="449">
        <f t="shared" si="15"/>
        <v>0.24445395241630413</v>
      </c>
      <c r="AF38" s="450">
        <f t="shared" si="16"/>
        <v>4.6427301040305846E-2</v>
      </c>
      <c r="AG38" s="450">
        <v>0.29088125345660998</v>
      </c>
      <c r="AH38" s="451">
        <f t="shared" si="17"/>
        <v>0.84039087947882729</v>
      </c>
      <c r="AI38" s="323">
        <v>2.61</v>
      </c>
      <c r="AJ38" s="323">
        <v>3.07</v>
      </c>
      <c r="AK38" s="325">
        <v>0.49</v>
      </c>
      <c r="AL38" s="452">
        <f t="shared" si="18"/>
        <v>144.53986820330303</v>
      </c>
      <c r="AM38" s="452"/>
      <c r="AN38" s="465"/>
      <c r="AO38" s="449">
        <f t="shared" si="19"/>
        <v>0.16419674380772062</v>
      </c>
      <c r="AP38" s="453">
        <f t="shared" si="20"/>
        <v>0.3616659759601874</v>
      </c>
      <c r="AQ38" s="453">
        <v>0</v>
      </c>
      <c r="AR38" s="453">
        <f t="shared" si="21"/>
        <v>0.24445395241630413</v>
      </c>
      <c r="AS38" s="453">
        <f t="shared" si="22"/>
        <v>0.12222697620815207</v>
      </c>
      <c r="AT38" s="452">
        <f t="shared" si="23"/>
        <v>152.4514599661577</v>
      </c>
      <c r="AU38" s="452"/>
      <c r="AV38" s="454">
        <f t="shared" si="24"/>
        <v>0.19542185592672129</v>
      </c>
      <c r="AW38" s="107">
        <f t="shared" si="29"/>
        <v>0.31606311186479608</v>
      </c>
      <c r="AX38" s="107">
        <f t="shared" si="29"/>
        <v>9.5107993468334873E-2</v>
      </c>
      <c r="AY38" s="107">
        <f t="shared" si="29"/>
        <v>0.24445395241630413</v>
      </c>
      <c r="AZ38" s="107">
        <f t="shared" si="29"/>
        <v>0.1697809729423195</v>
      </c>
      <c r="BA38" s="451">
        <f t="shared" si="25"/>
        <v>4.8290230008007584E-2</v>
      </c>
      <c r="BB38" s="451">
        <f t="shared" si="26"/>
        <v>7.8101603818156437E-2</v>
      </c>
      <c r="BC38" s="456">
        <f t="shared" si="26"/>
        <v>2.3501910052006483E-2</v>
      </c>
      <c r="BD38" s="451">
        <f t="shared" si="26"/>
        <v>6.0406434748917603E-2</v>
      </c>
      <c r="BE38" s="451">
        <f t="shared" si="26"/>
        <v>4.1954172400462043E-2</v>
      </c>
      <c r="BG38" s="95">
        <v>-3.5846047583695861E-2</v>
      </c>
      <c r="BI38" s="329">
        <v>393</v>
      </c>
      <c r="BJ38" s="309">
        <v>186.66399999999999</v>
      </c>
      <c r="BK38" s="496">
        <f t="shared" si="30"/>
        <v>0.47497201017811702</v>
      </c>
      <c r="BL38" s="455">
        <f t="shared" si="27"/>
        <v>0.29088125345660998</v>
      </c>
    </row>
    <row r="39" spans="1:64" x14ac:dyDescent="0.2">
      <c r="A39" s="77">
        <v>2009</v>
      </c>
      <c r="B39" s="317">
        <v>50788</v>
      </c>
      <c r="C39" s="318">
        <v>9068</v>
      </c>
      <c r="D39" s="443">
        <f t="shared" si="0"/>
        <v>0.17854611325509964</v>
      </c>
      <c r="E39" s="444">
        <f t="shared" si="1"/>
        <v>1459.9480000000001</v>
      </c>
      <c r="F39" s="444">
        <f t="shared" si="2"/>
        <v>7608.0519999999997</v>
      </c>
      <c r="G39" s="319">
        <v>350</v>
      </c>
      <c r="H39" s="318">
        <f t="shared" si="3"/>
        <v>1072.2496975107867</v>
      </c>
      <c r="I39" s="493">
        <f t="shared" si="4"/>
        <v>0.161</v>
      </c>
      <c r="J39" s="493">
        <v>0.161</v>
      </c>
      <c r="L39" s="446">
        <f t="shared" si="5"/>
        <v>1375.1736381754583</v>
      </c>
      <c r="M39" s="494">
        <f t="shared" si="6"/>
        <v>302.92394066467153</v>
      </c>
      <c r="N39" s="443">
        <f t="shared" si="7"/>
        <v>0.15165126137797291</v>
      </c>
      <c r="O39" s="443">
        <f t="shared" si="8"/>
        <v>0.1409361683530537</v>
      </c>
      <c r="P39" s="321">
        <v>0.27446642536978377</v>
      </c>
      <c r="Q39" s="321">
        <v>0.26665691900915067</v>
      </c>
      <c r="R39" s="322">
        <v>0.25317378110434563</v>
      </c>
      <c r="S39" s="495">
        <f t="shared" si="9"/>
        <v>0.20708689055217283</v>
      </c>
      <c r="T39" s="495">
        <f t="shared" si="10"/>
        <v>0.22028050295276347</v>
      </c>
      <c r="V39" s="446">
        <f t="shared" si="11"/>
        <v>497.97582555699461</v>
      </c>
      <c r="W39" s="447">
        <f t="shared" si="28"/>
        <v>476.12177325034645</v>
      </c>
      <c r="X39" s="444">
        <v>21.854052306648168</v>
      </c>
      <c r="Y39" s="318">
        <v>333.50299999999999</v>
      </c>
      <c r="Z39" s="194">
        <v>21.350999999999999</v>
      </c>
      <c r="AA39" s="318">
        <v>949.64989304359904</v>
      </c>
      <c r="AB39" s="443">
        <f t="shared" si="13"/>
        <v>0.36211850760729741</v>
      </c>
      <c r="AC39" s="443">
        <f t="shared" si="14"/>
        <v>0.35132493222536765</v>
      </c>
      <c r="AE39" s="449">
        <f t="shared" si="15"/>
        <v>0.32185198987075203</v>
      </c>
      <c r="AF39" s="450">
        <f t="shared" si="16"/>
        <v>5.0818735242750324E-2</v>
      </c>
      <c r="AG39" s="450">
        <v>0.37267072511350235</v>
      </c>
      <c r="AH39" s="451">
        <f t="shared" si="17"/>
        <v>0.86363636363636365</v>
      </c>
      <c r="AI39" s="323">
        <v>2.79</v>
      </c>
      <c r="AJ39" s="323">
        <v>3.3</v>
      </c>
      <c r="AK39" s="325">
        <v>0.45</v>
      </c>
      <c r="AL39" s="452">
        <f t="shared" si="18"/>
        <v>160.27451036304922</v>
      </c>
      <c r="AM39" s="452"/>
      <c r="AN39" s="465"/>
      <c r="AO39" s="449">
        <f t="shared" si="19"/>
        <v>0.21618406330700127</v>
      </c>
      <c r="AP39" s="453">
        <f t="shared" si="20"/>
        <v>0.3616659759601874</v>
      </c>
      <c r="AQ39" s="453">
        <v>0</v>
      </c>
      <c r="AR39" s="453">
        <f t="shared" si="21"/>
        <v>0.32185198987075203</v>
      </c>
      <c r="AS39" s="453">
        <f t="shared" si="22"/>
        <v>0.16092599493537602</v>
      </c>
      <c r="AT39" s="452">
        <f t="shared" si="23"/>
        <v>189.636187455873</v>
      </c>
      <c r="AU39" s="452"/>
      <c r="AV39" s="454">
        <f t="shared" si="24"/>
        <v>0.25444837517622421</v>
      </c>
      <c r="AW39" s="107">
        <f t="shared" si="29"/>
        <v>0.34724859473558334</v>
      </c>
      <c r="AX39" s="107">
        <f t="shared" si="29"/>
        <v>0.11654856224243573</v>
      </c>
      <c r="AY39" s="107">
        <f t="shared" si="29"/>
        <v>0.32185198987075203</v>
      </c>
      <c r="AZ39" s="107">
        <f t="shared" si="29"/>
        <v>0.21920027605659387</v>
      </c>
      <c r="BA39" s="451">
        <f t="shared" si="25"/>
        <v>6.0747203871075114E-2</v>
      </c>
      <c r="BB39" s="451">
        <f t="shared" si="26"/>
        <v>8.2902400786554101E-2</v>
      </c>
      <c r="BC39" s="456">
        <f t="shared" si="26"/>
        <v>2.7824894800442375E-2</v>
      </c>
      <c r="BD39" s="451">
        <f t="shared" si="26"/>
        <v>7.6839195500654503E-2</v>
      </c>
      <c r="BE39" s="451">
        <f t="shared" si="26"/>
        <v>5.2332045150548435E-2</v>
      </c>
      <c r="BG39" s="95">
        <v>3.415198987075202E-2</v>
      </c>
      <c r="BI39" s="329">
        <v>340</v>
      </c>
      <c r="BJ39" s="309">
        <v>179.99799999999999</v>
      </c>
      <c r="BK39" s="496">
        <f t="shared" si="30"/>
        <v>0.52940588235294117</v>
      </c>
      <c r="BL39" s="455">
        <f t="shared" si="27"/>
        <v>0.37267072511350235</v>
      </c>
    </row>
    <row r="40" spans="1:64" x14ac:dyDescent="0.2">
      <c r="A40" s="77">
        <v>2010</v>
      </c>
      <c r="B40" s="317">
        <v>55659</v>
      </c>
      <c r="C40" s="318">
        <v>10394</v>
      </c>
      <c r="D40" s="443">
        <f t="shared" si="0"/>
        <v>0.18674428214664296</v>
      </c>
      <c r="E40" s="444">
        <f t="shared" si="1"/>
        <v>1652.646</v>
      </c>
      <c r="F40" s="444">
        <f t="shared" si="2"/>
        <v>8741.3539999999994</v>
      </c>
      <c r="G40" s="319">
        <v>387</v>
      </c>
      <c r="H40" s="318">
        <f t="shared" si="3"/>
        <v>1402.2347656075881</v>
      </c>
      <c r="I40" s="493">
        <f t="shared" si="4"/>
        <v>0.159</v>
      </c>
      <c r="J40" s="493">
        <v>0.159</v>
      </c>
      <c r="L40" s="446">
        <f t="shared" si="5"/>
        <v>1793.2410211440404</v>
      </c>
      <c r="M40" s="494">
        <f t="shared" si="6"/>
        <v>391.00625553645227</v>
      </c>
      <c r="N40" s="443">
        <f t="shared" si="7"/>
        <v>0.17252655581528192</v>
      </c>
      <c r="O40" s="443">
        <f t="shared" si="8"/>
        <v>0.16041390905889272</v>
      </c>
      <c r="P40" s="321">
        <v>0.28250245016548126</v>
      </c>
      <c r="Q40" s="321">
        <v>0.26194678853237258</v>
      </c>
      <c r="R40" s="322">
        <v>0.25086146519201136</v>
      </c>
      <c r="S40" s="495">
        <f t="shared" si="9"/>
        <v>0.20493073259600569</v>
      </c>
      <c r="T40" s="495">
        <f t="shared" si="10"/>
        <v>0.21804445187574428</v>
      </c>
      <c r="V40" s="446">
        <f t="shared" si="11"/>
        <v>598.44643041035852</v>
      </c>
      <c r="W40" s="447">
        <f t="shared" si="28"/>
        <v>576.516124755654</v>
      </c>
      <c r="X40" s="444">
        <v>21.930305654704512</v>
      </c>
      <c r="Y40" s="318">
        <v>411.80500000000001</v>
      </c>
      <c r="Z40" s="194">
        <v>18.555</v>
      </c>
      <c r="AA40" s="318">
        <v>1241.9048457394094</v>
      </c>
      <c r="AB40" s="443">
        <f t="shared" si="13"/>
        <v>0.33372336643769474</v>
      </c>
      <c r="AC40" s="443">
        <f t="shared" si="14"/>
        <v>0.32254963059536412</v>
      </c>
      <c r="AE40" s="449">
        <f t="shared" si="15"/>
        <v>0.27618508427015626</v>
      </c>
      <c r="AF40" s="450">
        <f t="shared" si="16"/>
        <v>5.2414687525723092E-2</v>
      </c>
      <c r="AG40" s="450">
        <v>0.32859977179587935</v>
      </c>
      <c r="AH40" s="451">
        <f t="shared" si="17"/>
        <v>0.8404907975460123</v>
      </c>
      <c r="AI40" s="323">
        <v>2.77</v>
      </c>
      <c r="AJ40" s="323">
        <v>3.26</v>
      </c>
      <c r="AK40" s="325">
        <v>0.52</v>
      </c>
      <c r="AL40" s="452">
        <f t="shared" si="18"/>
        <v>165.28197781405908</v>
      </c>
      <c r="AM40" s="452"/>
      <c r="AN40" s="465"/>
      <c r="AO40" s="449">
        <f t="shared" si="19"/>
        <v>0.18551015877293706</v>
      </c>
      <c r="AP40" s="453">
        <f t="shared" si="20"/>
        <v>0.3616659759601874</v>
      </c>
      <c r="AQ40" s="453">
        <v>0</v>
      </c>
      <c r="AR40" s="453">
        <f t="shared" si="21"/>
        <v>0.27618508427015626</v>
      </c>
      <c r="AS40" s="453">
        <f t="shared" si="22"/>
        <v>0.13809254213507813</v>
      </c>
      <c r="AT40" s="452">
        <f t="shared" si="23"/>
        <v>221.64653422805168</v>
      </c>
      <c r="AU40" s="452"/>
      <c r="AV40" s="454">
        <f t="shared" si="24"/>
        <v>0.21577050016135621</v>
      </c>
      <c r="AW40" s="107">
        <f t="shared" si="29"/>
        <v>0.33313900501929422</v>
      </c>
      <c r="AX40" s="107">
        <f t="shared" si="29"/>
        <v>9.2169416082514957E-2</v>
      </c>
      <c r="AY40" s="107">
        <f t="shared" si="29"/>
        <v>0.27618508427015626</v>
      </c>
      <c r="AZ40" s="107">
        <f t="shared" si="29"/>
        <v>0.18417725017633563</v>
      </c>
      <c r="BA40" s="451">
        <f t="shared" si="25"/>
        <v>5.8604181466986392E-2</v>
      </c>
      <c r="BB40" s="451">
        <f t="shared" si="26"/>
        <v>9.048196435231963E-2</v>
      </c>
      <c r="BC40" s="456">
        <f t="shared" si="26"/>
        <v>2.5033603675046187E-2</v>
      </c>
      <c r="BD40" s="451">
        <f t="shared" si="26"/>
        <v>7.5013038320527345E-2</v>
      </c>
      <c r="BE40" s="451">
        <f t="shared" si="26"/>
        <v>5.002332099778678E-2</v>
      </c>
      <c r="BG40" s="95">
        <v>-1.8914915729843773E-2</v>
      </c>
      <c r="BI40" s="329">
        <v>418</v>
      </c>
      <c r="BJ40" s="309">
        <v>215.91499999999999</v>
      </c>
      <c r="BK40" s="496">
        <f t="shared" si="30"/>
        <v>0.51654306220095692</v>
      </c>
      <c r="BL40" s="455">
        <f t="shared" si="27"/>
        <v>0.32859977179587935</v>
      </c>
    </row>
    <row r="41" spans="1:64" x14ac:dyDescent="0.2">
      <c r="A41" s="77">
        <v>2011</v>
      </c>
      <c r="B41" s="317">
        <v>61801</v>
      </c>
      <c r="C41" s="318">
        <v>11437</v>
      </c>
      <c r="D41" s="443">
        <f t="shared" si="0"/>
        <v>0.18506173039271209</v>
      </c>
      <c r="E41" s="444">
        <f t="shared" si="1"/>
        <v>1898.5420000000001</v>
      </c>
      <c r="F41" s="444">
        <f t="shared" si="2"/>
        <v>9538.4580000000005</v>
      </c>
      <c r="G41" s="319">
        <v>446</v>
      </c>
      <c r="H41" s="318">
        <f t="shared" si="3"/>
        <v>1494.651436829701</v>
      </c>
      <c r="I41" s="493">
        <f t="shared" si="4"/>
        <v>0.16600000000000001</v>
      </c>
      <c r="J41" s="493">
        <v>0.16600000000000001</v>
      </c>
      <c r="L41" s="446">
        <f t="shared" si="5"/>
        <v>1954.041987128935</v>
      </c>
      <c r="M41" s="494">
        <f t="shared" si="6"/>
        <v>459.39055029923412</v>
      </c>
      <c r="N41" s="443">
        <f t="shared" si="7"/>
        <v>0.17085267002963497</v>
      </c>
      <c r="O41" s="443">
        <f t="shared" si="8"/>
        <v>0.15669738618440224</v>
      </c>
      <c r="P41" s="321">
        <v>0.29207183186951063</v>
      </c>
      <c r="Q41" s="321">
        <v>0.28579251363756852</v>
      </c>
      <c r="R41" s="322">
        <v>0.27259652577231258</v>
      </c>
      <c r="S41" s="495">
        <f t="shared" si="9"/>
        <v>0.21929826288615628</v>
      </c>
      <c r="T41" s="495">
        <f t="shared" si="10"/>
        <v>0.23509758404639736</v>
      </c>
      <c r="V41" s="446">
        <f t="shared" si="11"/>
        <v>663.97923623614372</v>
      </c>
      <c r="W41" s="447">
        <f t="shared" si="28"/>
        <v>636.22103001430878</v>
      </c>
      <c r="X41" s="444">
        <v>27.758206221834989</v>
      </c>
      <c r="Y41" s="318">
        <v>441.036</v>
      </c>
      <c r="Z41" s="194">
        <v>18.702999999999999</v>
      </c>
      <c r="AA41" s="318">
        <v>1323.7547004376822</v>
      </c>
      <c r="AB41" s="443">
        <f t="shared" si="13"/>
        <v>0.33979783474956204</v>
      </c>
      <c r="AC41" s="443">
        <f t="shared" si="14"/>
        <v>0.32616113309726802</v>
      </c>
      <c r="AE41" s="449">
        <f t="shared" si="15"/>
        <v>0.29127477848375388</v>
      </c>
      <c r="AF41" s="450">
        <f t="shared" si="16"/>
        <v>4.9444792643847157E-2</v>
      </c>
      <c r="AG41" s="450">
        <v>0.34071957112760104</v>
      </c>
      <c r="AH41" s="451">
        <f t="shared" si="17"/>
        <v>0.85488126649076512</v>
      </c>
      <c r="AI41" s="323">
        <v>3.21</v>
      </c>
      <c r="AJ41" s="323">
        <v>3.79</v>
      </c>
      <c r="AK41" s="325">
        <v>0.55000000000000004</v>
      </c>
      <c r="AL41" s="452">
        <f t="shared" si="18"/>
        <v>193.40040495249485</v>
      </c>
      <c r="AM41" s="452"/>
      <c r="AN41" s="465"/>
      <c r="AO41" s="449">
        <f t="shared" si="19"/>
        <v>0.19564572267131683</v>
      </c>
      <c r="AP41" s="453">
        <f t="shared" si="20"/>
        <v>0.3616659759601874</v>
      </c>
      <c r="AQ41" s="453">
        <v>0</v>
      </c>
      <c r="AR41" s="453">
        <f t="shared" si="21"/>
        <v>0.29127477848375388</v>
      </c>
      <c r="AS41" s="453">
        <f t="shared" si="22"/>
        <v>0.14563738924187694</v>
      </c>
      <c r="AT41" s="452">
        <f t="shared" si="23"/>
        <v>252.39525918976716</v>
      </c>
      <c r="AU41" s="452"/>
      <c r="AV41" s="454">
        <f t="shared" si="24"/>
        <v>0.22814026877552795</v>
      </c>
      <c r="AW41" s="107">
        <f t="shared" si="29"/>
        <v>0.33774719947226645</v>
      </c>
      <c r="AX41" s="107">
        <f t="shared" si="29"/>
        <v>9.8974539045937893E-2</v>
      </c>
      <c r="AY41" s="107">
        <f t="shared" si="29"/>
        <v>0.29127477848375388</v>
      </c>
      <c r="AZ41" s="107">
        <f t="shared" si="29"/>
        <v>0.19512465876484589</v>
      </c>
      <c r="BA41" s="451">
        <f t="shared" si="25"/>
        <v>6.1362677697475963E-2</v>
      </c>
      <c r="BB41" s="451">
        <f t="shared" si="26"/>
        <v>9.0843552765485919E-2</v>
      </c>
      <c r="BC41" s="456">
        <f t="shared" si="26"/>
        <v>2.6621090491077786E-2</v>
      </c>
      <c r="BD41" s="451">
        <f t="shared" si="26"/>
        <v>7.8343908549911967E-2</v>
      </c>
      <c r="BE41" s="451">
        <f t="shared" si="26"/>
        <v>5.2482499520494878E-2</v>
      </c>
      <c r="BG41" s="95">
        <v>-1.1225221516246109E-2</v>
      </c>
      <c r="BI41" s="329">
        <v>448</v>
      </c>
      <c r="BJ41" s="309">
        <v>231.90700000000001</v>
      </c>
      <c r="BK41" s="496">
        <f t="shared" si="30"/>
        <v>0.51764955357142861</v>
      </c>
      <c r="BL41" s="455">
        <f t="shared" si="27"/>
        <v>0.34071957112760104</v>
      </c>
    </row>
    <row r="42" spans="1:64" x14ac:dyDescent="0.2">
      <c r="A42" s="77">
        <v>2012</v>
      </c>
      <c r="B42" s="317">
        <v>63063</v>
      </c>
      <c r="C42" s="318">
        <v>11445</v>
      </c>
      <c r="D42" s="443">
        <f t="shared" si="0"/>
        <v>0.18148518148518147</v>
      </c>
      <c r="E42" s="444">
        <f t="shared" si="1"/>
        <v>1968.5399999999997</v>
      </c>
      <c r="F42" s="444">
        <f t="shared" si="2"/>
        <v>9476.4600000000009</v>
      </c>
      <c r="G42" s="319">
        <v>467</v>
      </c>
      <c r="H42" s="318">
        <f t="shared" si="3"/>
        <v>1409.8259313457152</v>
      </c>
      <c r="I42" s="493">
        <f t="shared" si="4"/>
        <v>0.17199999999999999</v>
      </c>
      <c r="J42" s="493">
        <v>0.17199999999999999</v>
      </c>
      <c r="L42" s="446">
        <f t="shared" si="5"/>
        <v>1836.3450059564016</v>
      </c>
      <c r="M42" s="494">
        <f t="shared" si="6"/>
        <v>426.51907461068646</v>
      </c>
      <c r="N42" s="443">
        <f t="shared" si="7"/>
        <v>0.16044954180484067</v>
      </c>
      <c r="O42" s="443">
        <f t="shared" si="8"/>
        <v>0.14877136940858876</v>
      </c>
      <c r="P42" s="321">
        <v>0.28095807722036142</v>
      </c>
      <c r="Q42" s="321">
        <v>0.27930347475937567</v>
      </c>
      <c r="R42" s="322">
        <v>0.26496449821471685</v>
      </c>
      <c r="S42" s="495">
        <f t="shared" si="9"/>
        <v>0.21848224910735842</v>
      </c>
      <c r="T42" s="495">
        <f t="shared" si="10"/>
        <v>0.23226521880541051</v>
      </c>
      <c r="V42" s="446">
        <f t="shared" si="11"/>
        <v>644.59107157157109</v>
      </c>
      <c r="W42" s="447">
        <f t="shared" si="28"/>
        <v>615.01099464374568</v>
      </c>
      <c r="X42" s="444">
        <v>29.580076927825459</v>
      </c>
      <c r="Y42" s="318">
        <v>428.702</v>
      </c>
      <c r="Z42" s="194">
        <v>20.167000000000002</v>
      </c>
      <c r="AA42" s="318">
        <v>1248.628046266324</v>
      </c>
      <c r="AB42" s="443">
        <f t="shared" si="13"/>
        <v>0.35101850114263056</v>
      </c>
      <c r="AC42" s="443">
        <f t="shared" si="14"/>
        <v>0.33936748238921494</v>
      </c>
      <c r="AE42" s="449">
        <f t="shared" si="15"/>
        <v>0.32288018363206733</v>
      </c>
      <c r="AF42" s="450">
        <f t="shared" si="16"/>
        <v>4.8335356831147813E-2</v>
      </c>
      <c r="AG42" s="450">
        <v>0.37121554046321514</v>
      </c>
      <c r="AH42" s="451">
        <f t="shared" si="17"/>
        <v>0.86979166666666663</v>
      </c>
      <c r="AI42" s="323">
        <v>3.25</v>
      </c>
      <c r="AJ42" s="323">
        <v>3.84</v>
      </c>
      <c r="AK42" s="325">
        <v>0.5</v>
      </c>
      <c r="AL42" s="452">
        <f t="shared" si="18"/>
        <v>208.12568355661992</v>
      </c>
      <c r="AM42" s="452"/>
      <c r="AN42" s="465"/>
      <c r="AO42" s="449">
        <f t="shared" si="19"/>
        <v>0.21687468853904446</v>
      </c>
      <c r="AP42" s="453">
        <f t="shared" si="20"/>
        <v>0.3616659759601874</v>
      </c>
      <c r="AQ42" s="453">
        <v>0</v>
      </c>
      <c r="AR42" s="453">
        <f t="shared" si="21"/>
        <v>0.32288018363206733</v>
      </c>
      <c r="AS42" s="453">
        <f t="shared" si="22"/>
        <v>0.16144009181603367</v>
      </c>
      <c r="AT42" s="452">
        <f t="shared" si="23"/>
        <v>258.46126333489093</v>
      </c>
      <c r="AU42" s="452"/>
      <c r="AV42" s="454">
        <f t="shared" si="24"/>
        <v>0.2540845785394798</v>
      </c>
      <c r="AW42" s="107">
        <f t="shared" si="29"/>
        <v>0.34805144527154136</v>
      </c>
      <c r="AX42" s="107">
        <f t="shared" si="29"/>
        <v>0.11333691810718559</v>
      </c>
      <c r="AY42" s="107">
        <f t="shared" si="29"/>
        <v>0.32288018363206733</v>
      </c>
      <c r="AZ42" s="107">
        <f t="shared" si="29"/>
        <v>0.21810855086962644</v>
      </c>
      <c r="BA42" s="451">
        <f t="shared" si="25"/>
        <v>6.4179654027160485E-2</v>
      </c>
      <c r="BB42" s="451">
        <f t="shared" si="26"/>
        <v>8.7914904043300074E-2</v>
      </c>
      <c r="BC42" s="456">
        <f t="shared" si="26"/>
        <v>2.862796409933854E-2</v>
      </c>
      <c r="BD42" s="451">
        <f t="shared" si="26"/>
        <v>8.1556852434128649E-2</v>
      </c>
      <c r="BE42" s="451">
        <f t="shared" si="26"/>
        <v>5.5092408266733589E-2</v>
      </c>
      <c r="BG42" s="95">
        <v>1.2980183632067321E-2</v>
      </c>
      <c r="BI42" s="329">
        <v>438</v>
      </c>
      <c r="BJ42" s="309">
        <v>239.80600000000001</v>
      </c>
      <c r="BK42" s="496">
        <f t="shared" si="30"/>
        <v>0.5475022831050228</v>
      </c>
      <c r="BL42" s="455">
        <f t="shared" si="27"/>
        <v>0.37121554046321514</v>
      </c>
    </row>
    <row r="43" spans="1:64" x14ac:dyDescent="0.2">
      <c r="A43" s="77">
        <v>2013</v>
      </c>
      <c r="B43" s="317">
        <v>64797</v>
      </c>
      <c r="C43" s="318">
        <v>11781</v>
      </c>
      <c r="D43" s="443">
        <f t="shared" si="0"/>
        <v>0.1818139728691143</v>
      </c>
      <c r="E43" s="444">
        <f t="shared" si="1"/>
        <v>2073.4559999999997</v>
      </c>
      <c r="F43" s="444">
        <f t="shared" si="2"/>
        <v>9707.5439999999999</v>
      </c>
      <c r="G43" s="319">
        <v>483</v>
      </c>
      <c r="H43" s="318">
        <f t="shared" si="3"/>
        <v>1513.0926343025728</v>
      </c>
      <c r="I43" s="493">
        <f t="shared" si="4"/>
        <v>0.17599999999999996</v>
      </c>
      <c r="J43" s="493">
        <v>0.17599999999999999</v>
      </c>
      <c r="L43" s="446">
        <f t="shared" si="5"/>
        <v>1952.8372355507352</v>
      </c>
      <c r="M43" s="494">
        <f t="shared" si="6"/>
        <v>439.74460124816227</v>
      </c>
      <c r="N43" s="443">
        <f t="shared" si="7"/>
        <v>0.1657615852262741</v>
      </c>
      <c r="O43" s="443">
        <f t="shared" si="8"/>
        <v>0.15586770807349137</v>
      </c>
      <c r="P43" s="321">
        <v>0.27086175023352344</v>
      </c>
      <c r="Q43" s="321">
        <v>0.26608525048376691</v>
      </c>
      <c r="R43" s="322">
        <v>0.2526763478980425</v>
      </c>
      <c r="S43" s="495">
        <f t="shared" si="9"/>
        <v>0.21433817394902124</v>
      </c>
      <c r="T43" s="495">
        <f t="shared" si="10"/>
        <v>0.2251824131795328</v>
      </c>
      <c r="V43" s="446">
        <f t="shared" si="11"/>
        <v>646.54348206207851</v>
      </c>
      <c r="W43" s="447">
        <f t="shared" si="28"/>
        <v>618.89998348439076</v>
      </c>
      <c r="X43" s="444">
        <v>27.643498577687772</v>
      </c>
      <c r="Y43" s="318">
        <v>440.63799999999998</v>
      </c>
      <c r="Z43" s="194">
        <v>18.506</v>
      </c>
      <c r="AA43" s="318">
        <v>1340.0873524760684</v>
      </c>
      <c r="AB43" s="443">
        <f t="shared" si="13"/>
        <v>0.33107904247828501</v>
      </c>
      <c r="AC43" s="443">
        <f t="shared" si="14"/>
        <v>0.32171691774975952</v>
      </c>
      <c r="AE43" s="449">
        <f t="shared" si="15"/>
        <v>0.31689594851560748</v>
      </c>
      <c r="AF43" s="450">
        <f t="shared" si="16"/>
        <v>5.1497423670671061E-2</v>
      </c>
      <c r="AG43" s="450">
        <v>0.36839337218627854</v>
      </c>
      <c r="AH43" s="451">
        <f t="shared" si="17"/>
        <v>0.86021077587511174</v>
      </c>
      <c r="AI43" s="323">
        <v>2.8909695583983672</v>
      </c>
      <c r="AJ43" s="323">
        <v>3.41</v>
      </c>
      <c r="AK43" s="325">
        <v>0.47668125426586905</v>
      </c>
      <c r="AL43" s="452">
        <f t="shared" si="18"/>
        <v>204.88701000464602</v>
      </c>
      <c r="AM43" s="452"/>
      <c r="AN43" s="465"/>
      <c r="AO43" s="449">
        <f t="shared" si="19"/>
        <v>0.21285515066456914</v>
      </c>
      <c r="AP43" s="453">
        <f t="shared" si="20"/>
        <v>0.3616659759601874</v>
      </c>
      <c r="AQ43" s="453">
        <v>0</v>
      </c>
      <c r="AR43" s="453">
        <f t="shared" si="21"/>
        <v>0.31689594851560748</v>
      </c>
      <c r="AS43" s="453">
        <f t="shared" si="22"/>
        <v>0.15844797425780374</v>
      </c>
      <c r="AT43" s="452">
        <f t="shared" si="23"/>
        <v>278.05135371101358</v>
      </c>
      <c r="AU43" s="452"/>
      <c r="AV43" s="454">
        <f t="shared" si="24"/>
        <v>0.24730087839576773</v>
      </c>
      <c r="AW43" s="107">
        <f t="shared" si="29"/>
        <v>0.34684355814210932</v>
      </c>
      <c r="AX43" s="107">
        <f t="shared" si="29"/>
        <v>0.10491760719979523</v>
      </c>
      <c r="AY43" s="107">
        <f t="shared" si="29"/>
        <v>0.31689594851560748</v>
      </c>
      <c r="AZ43" s="107">
        <f t="shared" si="29"/>
        <v>0.21090677785770134</v>
      </c>
      <c r="BA43" s="451">
        <f t="shared" si="25"/>
        <v>6.4534230215504737E-2</v>
      </c>
      <c r="BB43" s="451">
        <f t="shared" si="26"/>
        <v>9.0510321577130126E-2</v>
      </c>
      <c r="BC43" s="456">
        <f t="shared" si="26"/>
        <v>2.7378701849396093E-2</v>
      </c>
      <c r="BD43" s="451">
        <f t="shared" si="26"/>
        <v>8.2695363754991591E-2</v>
      </c>
      <c r="BE43" s="451">
        <f t="shared" si="26"/>
        <v>5.5037032802193839E-2</v>
      </c>
      <c r="BG43" s="95">
        <v>-4.0405148439254246E-4</v>
      </c>
      <c r="BI43" s="329">
        <v>449</v>
      </c>
      <c r="BJ43" s="309">
        <v>259.00599999999997</v>
      </c>
      <c r="BK43" s="496">
        <f t="shared" si="30"/>
        <v>0.57685077951002217</v>
      </c>
      <c r="BL43" s="455">
        <f t="shared" si="27"/>
        <v>0.36839337218627854</v>
      </c>
    </row>
    <row r="44" spans="1:64" x14ac:dyDescent="0.2">
      <c r="A44" s="77">
        <v>2014</v>
      </c>
      <c r="B44" s="317">
        <v>66378</v>
      </c>
      <c r="C44" s="318">
        <v>12091</v>
      </c>
      <c r="D44" s="443">
        <f t="shared" si="0"/>
        <v>0.18215372563198651</v>
      </c>
      <c r="E44" s="444">
        <f t="shared" si="1"/>
        <v>2103.8339999999998</v>
      </c>
      <c r="F44" s="444">
        <f t="shared" si="2"/>
        <v>9987.1660000000011</v>
      </c>
      <c r="G44" s="319">
        <v>561</v>
      </c>
      <c r="H44" s="318">
        <f t="shared" si="3"/>
        <v>1606.5571338860098</v>
      </c>
      <c r="I44" s="493">
        <f t="shared" si="4"/>
        <v>0.17399999999999999</v>
      </c>
      <c r="J44" s="493">
        <v>0.17399999999999999</v>
      </c>
      <c r="L44" s="446">
        <f t="shared" si="5"/>
        <v>2019.2020621066356</v>
      </c>
      <c r="M44" s="494">
        <f t="shared" si="6"/>
        <v>412.64492822062579</v>
      </c>
      <c r="N44" s="443">
        <f t="shared" si="7"/>
        <v>0.16700041866732573</v>
      </c>
      <c r="O44" s="443">
        <f t="shared" si="8"/>
        <v>0.16086216388973704</v>
      </c>
      <c r="P44" s="321">
        <v>0.2402702146777668</v>
      </c>
      <c r="Q44" s="321">
        <v>0.23590686600162628</v>
      </c>
      <c r="R44" s="322">
        <v>0.22242914521698015</v>
      </c>
      <c r="S44" s="495">
        <f t="shared" si="9"/>
        <v>0.19821457260849007</v>
      </c>
      <c r="T44" s="495">
        <f t="shared" si="10"/>
        <v>0.20436039362505054</v>
      </c>
      <c r="V44" s="446">
        <f t="shared" si="11"/>
        <v>634.95440751947012</v>
      </c>
      <c r="W44" s="447">
        <f t="shared" si="28"/>
        <v>600.75087098232609</v>
      </c>
      <c r="X44" s="444">
        <v>34.203536537144039</v>
      </c>
      <c r="Y44" s="318">
        <v>447.84100000000001</v>
      </c>
      <c r="Z44" s="194">
        <v>14.643000000000001</v>
      </c>
      <c r="AA44" s="318">
        <v>1422.8652280388558</v>
      </c>
      <c r="AB44" s="443">
        <f t="shared" si="13"/>
        <v>0.31445808194996666</v>
      </c>
      <c r="AC44" s="443">
        <f t="shared" si="14"/>
        <v>0.30916269708736399</v>
      </c>
      <c r="AE44" s="449">
        <f t="shared" si="15"/>
        <v>0.35812691074216191</v>
      </c>
      <c r="AF44" s="450">
        <f t="shared" si="16"/>
        <v>5.5650738190471338E-2</v>
      </c>
      <c r="AG44" s="450">
        <v>0.41377764893263325</v>
      </c>
      <c r="AH44" s="451">
        <f t="shared" si="17"/>
        <v>0.86550569289079271</v>
      </c>
      <c r="AI44" s="323">
        <v>3.0616615404750998</v>
      </c>
      <c r="AJ44" s="323">
        <v>3.62</v>
      </c>
      <c r="AK44" s="325">
        <v>0.48686939173533017</v>
      </c>
      <c r="AL44" s="452">
        <f t="shared" si="18"/>
        <v>227.39426042706756</v>
      </c>
      <c r="AM44" s="452"/>
      <c r="AN44" s="465"/>
      <c r="AO44" s="449">
        <f>AO45*AE44/AE45</f>
        <v>0.24054948603833348</v>
      </c>
      <c r="AP44" s="453">
        <f t="shared" si="20"/>
        <v>0.3616659759601874</v>
      </c>
      <c r="AQ44" s="453">
        <v>0</v>
      </c>
      <c r="AR44" s="453">
        <f t="shared" si="21"/>
        <v>0.35812691074216191</v>
      </c>
      <c r="AS44" s="453">
        <f t="shared" si="22"/>
        <v>0.17906345537108095</v>
      </c>
      <c r="AT44" s="452">
        <f t="shared" si="23"/>
        <v>332.9800618607112</v>
      </c>
      <c r="AU44" s="452"/>
      <c r="AV44" s="454">
        <f t="shared" si="24"/>
        <v>0.27752265749131599</v>
      </c>
      <c r="AW44" s="107">
        <f t="shared" si="29"/>
        <v>0.36055308829983124</v>
      </c>
      <c r="AX44" s="107">
        <f t="shared" si="29"/>
        <v>0.11261590144664714</v>
      </c>
      <c r="AY44" s="107">
        <f t="shared" si="29"/>
        <v>0.35812691074216191</v>
      </c>
      <c r="AZ44" s="107">
        <f t="shared" si="29"/>
        <v>0.23537140609440452</v>
      </c>
      <c r="BA44" s="451">
        <f>+BA$45*(AV44*$N44)/(AV$45*$N$45)</f>
        <v>7.296197631476245E-2</v>
      </c>
      <c r="BB44" s="451">
        <f t="shared" si="26"/>
        <v>9.4791056436788076E-2</v>
      </c>
      <c r="BC44" s="456">
        <f t="shared" si="26"/>
        <v>2.960723570569369E-2</v>
      </c>
      <c r="BD44" s="451">
        <f t="shared" si="26"/>
        <v>9.4153203257165738E-2</v>
      </c>
      <c r="BE44" s="451">
        <f t="shared" si="26"/>
        <v>6.1880219481429709E-2</v>
      </c>
      <c r="BG44" s="95">
        <v>3.3426910742161919E-2</v>
      </c>
      <c r="BI44" s="329">
        <v>457</v>
      </c>
      <c r="BJ44" s="309">
        <v>274.762</v>
      </c>
      <c r="BK44" s="496">
        <f t="shared" si="30"/>
        <v>0.60122975929978117</v>
      </c>
      <c r="BL44" s="455">
        <f t="shared" si="27"/>
        <v>0.41377764893263325</v>
      </c>
    </row>
    <row r="45" spans="1:64" x14ac:dyDescent="0.2">
      <c r="A45" s="77">
        <v>2015</v>
      </c>
      <c r="B45" s="317">
        <v>63099</v>
      </c>
      <c r="C45" s="318">
        <v>11515</v>
      </c>
      <c r="D45" s="443">
        <f t="shared" si="0"/>
        <v>0.18249100619661168</v>
      </c>
      <c r="E45" s="444">
        <v>2154</v>
      </c>
      <c r="F45" s="444">
        <f t="shared" si="2"/>
        <v>9361</v>
      </c>
      <c r="G45" s="318">
        <v>616</v>
      </c>
      <c r="H45" s="318">
        <f>L45*(1-T45)</f>
        <v>1403.9446627642278</v>
      </c>
      <c r="I45" s="493">
        <f t="shared" si="4"/>
        <v>0.18706035605731655</v>
      </c>
      <c r="J45" s="493">
        <v>0.17299999999999999</v>
      </c>
      <c r="L45" s="446">
        <v>1703.2290592571803</v>
      </c>
      <c r="M45" s="494">
        <f>T45*L45</f>
        <v>299.28439649295251</v>
      </c>
      <c r="N45" s="443">
        <f t="shared" si="7"/>
        <v>0.14791394348737996</v>
      </c>
      <c r="O45" s="443">
        <f t="shared" si="8"/>
        <v>0.14997806460466059</v>
      </c>
      <c r="P45" s="321">
        <v>0.19118422043213129</v>
      </c>
      <c r="Q45" s="321">
        <v>0.19118422043213129</v>
      </c>
      <c r="R45" s="322">
        <v>0.17706584052741292</v>
      </c>
      <c r="S45" s="495">
        <f t="shared" si="9"/>
        <v>0.17503292026370645</v>
      </c>
      <c r="T45" s="302">
        <f>(R45*V45+S45*(1-AB45)*L45)/L45</f>
        <v>0.17571588205727168</v>
      </c>
      <c r="V45" s="446">
        <f t="shared" si="11"/>
        <v>572.20167161985535</v>
      </c>
      <c r="W45" s="447">
        <f t="shared" si="28"/>
        <v>534.073256620282</v>
      </c>
      <c r="X45" s="444">
        <v>38.128414999573373</v>
      </c>
      <c r="Y45" s="318">
        <v>423.77600000000001</v>
      </c>
      <c r="Z45" s="194">
        <v>10.127000000000001</v>
      </c>
      <c r="AA45" s="318">
        <v>1243.4192352101529</v>
      </c>
      <c r="AB45" s="443">
        <f t="shared" si="13"/>
        <v>0.33595109742280138</v>
      </c>
      <c r="AC45" s="443">
        <f t="shared" si="14"/>
        <v>0.33621796322811637</v>
      </c>
      <c r="AE45" s="449">
        <f t="shared" si="15"/>
        <v>0.46249753222435425</v>
      </c>
      <c r="AF45" s="450">
        <f t="shared" si="16"/>
        <v>5.6762264115361727E-2</v>
      </c>
      <c r="AG45" s="450">
        <v>0.51925979633971597</v>
      </c>
      <c r="AH45" s="451">
        <f t="shared" si="17"/>
        <v>0.89068619501166602</v>
      </c>
      <c r="AI45" s="323">
        <v>3.4575709673079511</v>
      </c>
      <c r="AJ45" s="323">
        <v>4.0999999999999996</v>
      </c>
      <c r="AK45" s="325">
        <v>0.44818660045216946</v>
      </c>
      <c r="AL45" s="452">
        <f t="shared" si="18"/>
        <v>264.6418610588334</v>
      </c>
      <c r="AM45" s="452"/>
      <c r="AN45" s="465"/>
      <c r="AO45" s="449">
        <f t="shared" ref="AO45:AO53" si="31">(G45-AL45)/(L45-V45)</f>
        <v>0.31065396185952754</v>
      </c>
      <c r="AP45" s="450">
        <f>$AO45</f>
        <v>0.31065396185952754</v>
      </c>
      <c r="AQ45" s="450">
        <f t="shared" ref="AQ45:AS53" si="32">$AO45</f>
        <v>0.31065396185952754</v>
      </c>
      <c r="AR45" s="450">
        <f t="shared" si="32"/>
        <v>0.31065396185952754</v>
      </c>
      <c r="AS45" s="450">
        <f t="shared" si="32"/>
        <v>0.31065396185952754</v>
      </c>
      <c r="AT45" s="452">
        <f t="shared" si="23"/>
        <v>351.3581389411666</v>
      </c>
      <c r="AU45" s="452"/>
      <c r="AV45" s="454">
        <f>G45/L45</f>
        <v>0.3616659759601874</v>
      </c>
      <c r="AW45" s="107">
        <f>$AV45</f>
        <v>0.3616659759601874</v>
      </c>
      <c r="AX45" s="107">
        <f>$AV45</f>
        <v>0.3616659759601874</v>
      </c>
      <c r="AY45" s="107">
        <f>$AV45</f>
        <v>0.3616659759601874</v>
      </c>
      <c r="AZ45" s="107">
        <f>$AV45</f>
        <v>0.3616659759601874</v>
      </c>
      <c r="BA45" s="457">
        <f>BF45/E45</f>
        <v>8.4216532033426189E-2</v>
      </c>
      <c r="BB45" s="458">
        <f>$BA45</f>
        <v>8.4216532033426189E-2</v>
      </c>
      <c r="BC45" s="459">
        <f>$BA45</f>
        <v>8.4216532033426189E-2</v>
      </c>
      <c r="BD45" s="458">
        <f>$BA45</f>
        <v>8.4216532033426189E-2</v>
      </c>
      <c r="BE45" s="458">
        <f>$BA45</f>
        <v>8.4216532033426189E-2</v>
      </c>
      <c r="BF45" s="446">
        <v>181.40241</v>
      </c>
      <c r="BG45" s="95">
        <v>0.13039753222435424</v>
      </c>
      <c r="BI45" s="329">
        <v>433</v>
      </c>
      <c r="BJ45" s="309">
        <v>274.57</v>
      </c>
      <c r="BK45" s="496">
        <f t="shared" si="30"/>
        <v>0.63411085450346416</v>
      </c>
      <c r="BL45" s="455">
        <f t="shared" si="27"/>
        <v>0.51925979633971597</v>
      </c>
    </row>
    <row r="46" spans="1:64" s="309" customFormat="1" x14ac:dyDescent="0.2">
      <c r="A46" s="309">
        <v>2016</v>
      </c>
      <c r="B46" s="418">
        <v>64225.09168154587</v>
      </c>
      <c r="C46" s="419">
        <v>12216.2001953125</v>
      </c>
      <c r="D46" s="443">
        <f t="shared" si="0"/>
        <v>0.19020915152422654</v>
      </c>
      <c r="E46" s="419">
        <v>2427.3701171875</v>
      </c>
      <c r="F46" s="444">
        <f t="shared" si="2"/>
        <v>9788.830078125</v>
      </c>
      <c r="G46" s="419">
        <v>733.29815673828125</v>
      </c>
      <c r="H46" s="318">
        <f t="shared" ref="H46:H53" si="33">L46*(1-T46)</f>
        <v>1660.67626953125</v>
      </c>
      <c r="I46" s="493">
        <f t="shared" si="4"/>
        <v>0.19870091177115046</v>
      </c>
      <c r="J46" s="320">
        <v>0.183</v>
      </c>
      <c r="L46" s="418">
        <v>1978.6026611328125</v>
      </c>
      <c r="M46" s="419">
        <v>317.9263916015625</v>
      </c>
      <c r="N46" s="443">
        <f t="shared" si="7"/>
        <v>0.16196547449279897</v>
      </c>
      <c r="O46" s="443">
        <f t="shared" si="8"/>
        <v>0.16965012736734969</v>
      </c>
      <c r="P46" s="321">
        <v>0.20028335137874634</v>
      </c>
      <c r="Q46" s="321">
        <v>0.20028335137874634</v>
      </c>
      <c r="R46" s="322">
        <v>0.18380141680158801</v>
      </c>
      <c r="S46" s="495"/>
      <c r="T46" s="302">
        <f>M46/L46</f>
        <v>0.1606822824242739</v>
      </c>
      <c r="V46" s="446">
        <f t="shared" si="11"/>
        <v>585.14997857434764</v>
      </c>
      <c r="W46" s="447">
        <f t="shared" si="28"/>
        <v>546.22403825734762</v>
      </c>
      <c r="X46" s="444">
        <v>38.925940317000027</v>
      </c>
      <c r="Y46" s="318">
        <v>420.05200000000002</v>
      </c>
      <c r="Z46" s="333">
        <v>20.972999999999999</v>
      </c>
      <c r="AA46" s="318">
        <v>1292.6453653118747</v>
      </c>
      <c r="AB46" s="443">
        <f t="shared" si="13"/>
        <v>0.29573900312017715</v>
      </c>
      <c r="AC46" s="443">
        <f t="shared" si="14"/>
        <v>0.28900933259705891</v>
      </c>
      <c r="AD46" s="311"/>
      <c r="AE46" s="449">
        <f t="shared" si="15"/>
        <v>0.52131770313113146</v>
      </c>
      <c r="AF46" s="450">
        <f t="shared" si="16"/>
        <v>5.4269737254574735E-2</v>
      </c>
      <c r="AG46" s="450">
        <v>0.57558744038570619</v>
      </c>
      <c r="AH46" s="451">
        <f t="shared" si="17"/>
        <v>0.90571417399551291</v>
      </c>
      <c r="AI46" s="323">
        <v>3.5296556392249769</v>
      </c>
      <c r="AJ46" s="323">
        <v>4.1900000000000004</v>
      </c>
      <c r="AK46" s="325">
        <v>0.39505761095880088</v>
      </c>
      <c r="AL46" s="452">
        <f t="shared" si="18"/>
        <v>305.04904281760969</v>
      </c>
      <c r="AM46" s="326"/>
      <c r="AN46" s="465"/>
      <c r="AO46" s="449">
        <f t="shared" si="31"/>
        <v>0.30732949836113549</v>
      </c>
      <c r="AP46" s="450">
        <f t="shared" ref="AP46:AP53" si="34">$AO46</f>
        <v>0.30732949836113549</v>
      </c>
      <c r="AQ46" s="450">
        <f t="shared" si="32"/>
        <v>0.30732949836113549</v>
      </c>
      <c r="AR46" s="450">
        <f t="shared" si="32"/>
        <v>0.30732949836113549</v>
      </c>
      <c r="AS46" s="450">
        <f t="shared" si="32"/>
        <v>0.30732949836113549</v>
      </c>
      <c r="AT46" s="452">
        <f t="shared" si="23"/>
        <v>428.24911392067156</v>
      </c>
      <c r="AU46" s="326"/>
      <c r="AV46" s="454">
        <f t="shared" ref="AV46:AV53" si="35">G46/L46</f>
        <v>0.37061415671929043</v>
      </c>
      <c r="AW46" s="327"/>
      <c r="AX46" s="327"/>
      <c r="AY46" s="327"/>
      <c r="AZ46" s="327"/>
      <c r="BA46" s="457">
        <f t="shared" ref="BA46:BA53" si="36">BF46/E46</f>
        <v>8.3227481726418084E-2</v>
      </c>
      <c r="BB46" s="324"/>
      <c r="BC46" s="324"/>
      <c r="BD46" s="324"/>
      <c r="BE46" s="324"/>
      <c r="BF46" s="418">
        <v>202.02390207147599</v>
      </c>
      <c r="BG46" s="328"/>
      <c r="BI46" s="329">
        <v>431</v>
      </c>
      <c r="BJ46" s="309">
        <v>284.07</v>
      </c>
      <c r="BK46" s="330">
        <v>0.66</v>
      </c>
      <c r="BL46" s="331">
        <v>0.57999999999999996</v>
      </c>
    </row>
    <row r="47" spans="1:64" s="309" customFormat="1" x14ac:dyDescent="0.2">
      <c r="A47" s="309">
        <v>2017</v>
      </c>
      <c r="B47" s="418">
        <v>68372.084424467204</v>
      </c>
      <c r="C47" s="419">
        <v>13053.9365234375</v>
      </c>
      <c r="D47" s="443">
        <f t="shared" si="0"/>
        <v>0.19092494595303139</v>
      </c>
      <c r="E47" s="419">
        <v>2490.93017578125</v>
      </c>
      <c r="F47" s="444">
        <f t="shared" si="2"/>
        <v>10563.00634765625</v>
      </c>
      <c r="G47" s="419">
        <v>732.49969482421875</v>
      </c>
      <c r="H47" s="318">
        <f t="shared" si="33"/>
        <v>1810.9087524414065</v>
      </c>
      <c r="I47" s="493">
        <f t="shared" si="4"/>
        <v>0.19081831532648758</v>
      </c>
      <c r="J47" s="320">
        <v>0.185</v>
      </c>
      <c r="L47" s="418">
        <v>2153.560302734375</v>
      </c>
      <c r="M47" s="419">
        <v>342.65155029296875</v>
      </c>
      <c r="N47" s="443">
        <f t="shared" si="7"/>
        <v>0.16497401369064393</v>
      </c>
      <c r="O47" s="443">
        <f t="shared" si="8"/>
        <v>0.17143876400710636</v>
      </c>
      <c r="P47" s="321">
        <v>0.1959159888128604</v>
      </c>
      <c r="Q47" s="321">
        <v>0.17540425758169895</v>
      </c>
      <c r="R47" s="322">
        <v>0.16593757417330657</v>
      </c>
      <c r="S47" s="495"/>
      <c r="T47" s="302">
        <f t="shared" ref="T47:T53" si="37">M47/L47</f>
        <v>0.15910933622703954</v>
      </c>
      <c r="V47" s="446">
        <f t="shared" si="11"/>
        <v>677.21730502661819</v>
      </c>
      <c r="W47" s="447">
        <f t="shared" si="28"/>
        <v>642.88230502661816</v>
      </c>
      <c r="X47" s="444">
        <v>34.335000000000001</v>
      </c>
      <c r="Y47" s="318">
        <v>508.77499999999998</v>
      </c>
      <c r="Z47" s="333">
        <v>25.882999999999999</v>
      </c>
      <c r="AA47" s="318">
        <v>1560.2770759000696</v>
      </c>
      <c r="AB47" s="443">
        <f t="shared" si="13"/>
        <v>0.31446405478720774</v>
      </c>
      <c r="AC47" s="443">
        <f t="shared" si="14"/>
        <v>0.31420302057345673</v>
      </c>
      <c r="AD47" s="311"/>
      <c r="AE47" s="449">
        <f t="shared" si="15"/>
        <v>0.48234678751243809</v>
      </c>
      <c r="AF47" s="450">
        <f t="shared" si="16"/>
        <v>5.6871382378414159E-2</v>
      </c>
      <c r="AG47" s="450">
        <v>0.53921816989085225</v>
      </c>
      <c r="AH47" s="451">
        <f t="shared" si="17"/>
        <v>0.89452992210940152</v>
      </c>
      <c r="AI47" s="323">
        <v>3.9495716230282647</v>
      </c>
      <c r="AJ47" s="323">
        <v>4.5</v>
      </c>
      <c r="AK47" s="325">
        <v>0.47461535050769299</v>
      </c>
      <c r="AL47" s="452">
        <f t="shared" si="18"/>
        <v>326.65359152742019</v>
      </c>
      <c r="AM47" s="326"/>
      <c r="AN47" s="465"/>
      <c r="AO47" s="449">
        <f t="shared" si="31"/>
        <v>0.27489960254963469</v>
      </c>
      <c r="AP47" s="450">
        <f t="shared" si="34"/>
        <v>0.27489960254963469</v>
      </c>
      <c r="AQ47" s="450">
        <f t="shared" si="32"/>
        <v>0.27489960254963469</v>
      </c>
      <c r="AR47" s="450">
        <f t="shared" si="32"/>
        <v>0.27489960254963469</v>
      </c>
      <c r="AS47" s="450">
        <f t="shared" si="32"/>
        <v>0.27489960254963469</v>
      </c>
      <c r="AT47" s="452">
        <f t="shared" si="23"/>
        <v>405.84610329679856</v>
      </c>
      <c r="AU47" s="326"/>
      <c r="AV47" s="454">
        <f t="shared" si="35"/>
        <v>0.34013428548722974</v>
      </c>
      <c r="AW47" s="327"/>
      <c r="AX47" s="327"/>
      <c r="AY47" s="327"/>
      <c r="AZ47" s="327"/>
      <c r="BA47" s="457">
        <f t="shared" si="36"/>
        <v>8.2203019776095926E-2</v>
      </c>
      <c r="BB47" s="324"/>
      <c r="BC47" s="324"/>
      <c r="BD47" s="324"/>
      <c r="BE47" s="324"/>
      <c r="BF47" s="418">
        <v>204.76198250062018</v>
      </c>
      <c r="BG47" s="328"/>
      <c r="BI47" s="329">
        <v>519</v>
      </c>
      <c r="BJ47" s="309">
        <v>326.79300000000001</v>
      </c>
      <c r="BK47" s="330">
        <v>0.63</v>
      </c>
      <c r="BL47" s="331">
        <v>0.54</v>
      </c>
    </row>
    <row r="48" spans="1:64" s="309" customFormat="1" x14ac:dyDescent="0.2">
      <c r="A48" s="309">
        <v>2018</v>
      </c>
      <c r="B48" s="418">
        <v>72695.849670391413</v>
      </c>
      <c r="C48" s="419">
        <v>13908.0146484375</v>
      </c>
      <c r="D48" s="443">
        <f t="shared" si="0"/>
        <v>0.1913178635575141</v>
      </c>
      <c r="E48" s="419">
        <v>2599.52587890625</v>
      </c>
      <c r="F48" s="444">
        <f t="shared" si="2"/>
        <v>11308.48876953125</v>
      </c>
      <c r="G48" s="419">
        <v>821.514404296875</v>
      </c>
      <c r="H48" s="318">
        <f t="shared" si="33"/>
        <v>2037.4825744628904</v>
      </c>
      <c r="I48" s="493">
        <f t="shared" si="4"/>
        <v>0.18690848008261873</v>
      </c>
      <c r="J48" s="320">
        <v>0.17599999999999999</v>
      </c>
      <c r="L48" s="418">
        <v>2417.470458984375</v>
      </c>
      <c r="M48" s="419">
        <v>379.98788452148438</v>
      </c>
      <c r="N48" s="443">
        <f t="shared" si="7"/>
        <v>0.17381851544540661</v>
      </c>
      <c r="O48" s="443">
        <f t="shared" si="8"/>
        <v>0.18017284324962426</v>
      </c>
      <c r="P48" s="321">
        <v>0.21233547811798295</v>
      </c>
      <c r="Q48" s="321">
        <v>0.19261648757210401</v>
      </c>
      <c r="R48" s="322">
        <v>0.18144166454154137</v>
      </c>
      <c r="S48" s="495"/>
      <c r="T48" s="302">
        <f t="shared" si="37"/>
        <v>0.15718408599752837</v>
      </c>
      <c r="V48" s="446">
        <f t="shared" si="11"/>
        <v>723.00117322837832</v>
      </c>
      <c r="W48" s="447">
        <f t="shared" si="28"/>
        <v>685.23617322837833</v>
      </c>
      <c r="X48" s="444">
        <v>37.765000000000001</v>
      </c>
      <c r="Y48" s="318">
        <v>530.33000000000004</v>
      </c>
      <c r="Z48" s="333">
        <v>28.385999999999999</v>
      </c>
      <c r="AA48" s="318">
        <v>1709.5260191828781</v>
      </c>
      <c r="AB48" s="443">
        <f t="shared" si="13"/>
        <v>0.29907342633345962</v>
      </c>
      <c r="AC48" s="443">
        <f t="shared" si="14"/>
        <v>0.29275391479470242</v>
      </c>
      <c r="AD48" s="311"/>
      <c r="AE48" s="449">
        <f t="shared" si="15"/>
        <v>0.50612988203620357</v>
      </c>
      <c r="AF48" s="450">
        <f t="shared" si="16"/>
        <v>5.1718292536774846E-2</v>
      </c>
      <c r="AG48" s="450">
        <v>0.55784817457297842</v>
      </c>
      <c r="AH48" s="451">
        <f t="shared" si="17"/>
        <v>0.90728966250294862</v>
      </c>
      <c r="AI48" s="323">
        <v>4.0991365227537919</v>
      </c>
      <c r="AJ48" s="323">
        <v>4.6900000000000004</v>
      </c>
      <c r="AK48" s="325">
        <v>0.43481148286117105</v>
      </c>
      <c r="AL48" s="452">
        <f t="shared" si="18"/>
        <v>365.93249851811589</v>
      </c>
      <c r="AM48" s="326"/>
      <c r="AN48" s="465"/>
      <c r="AO48" s="449">
        <f t="shared" si="31"/>
        <v>0.26886406830059406</v>
      </c>
      <c r="AP48" s="450">
        <f t="shared" si="34"/>
        <v>0.26886406830059406</v>
      </c>
      <c r="AQ48" s="450">
        <f t="shared" si="32"/>
        <v>0.26886406830059406</v>
      </c>
      <c r="AR48" s="450">
        <f t="shared" si="32"/>
        <v>0.26886406830059406</v>
      </c>
      <c r="AS48" s="450">
        <f t="shared" si="32"/>
        <v>0.26886406830059406</v>
      </c>
      <c r="AT48" s="452">
        <f t="shared" si="23"/>
        <v>455.58190577875911</v>
      </c>
      <c r="AU48" s="326"/>
      <c r="AV48" s="454">
        <f t="shared" si="35"/>
        <v>0.33982396816629923</v>
      </c>
      <c r="AW48" s="327"/>
      <c r="AX48" s="327"/>
      <c r="AY48" s="327"/>
      <c r="AZ48" s="327"/>
      <c r="BA48" s="457">
        <f t="shared" si="36"/>
        <v>8.0702968466797517E-2</v>
      </c>
      <c r="BB48" s="324"/>
      <c r="BC48" s="324"/>
      <c r="BD48" s="324"/>
      <c r="BE48" s="324"/>
      <c r="BF48" s="418">
        <v>209.78945503399521</v>
      </c>
      <c r="BG48" s="328"/>
      <c r="BI48" s="329">
        <v>537</v>
      </c>
      <c r="BJ48" s="309">
        <v>332.13099999999997</v>
      </c>
      <c r="BK48" s="330">
        <v>0.62</v>
      </c>
      <c r="BL48" s="331">
        <v>0.56000000000000005</v>
      </c>
    </row>
    <row r="49" spans="1:64" s="309" customFormat="1" x14ac:dyDescent="0.2">
      <c r="A49" s="309">
        <v>2019</v>
      </c>
      <c r="B49" s="418">
        <v>73733.019323324421</v>
      </c>
      <c r="C49" s="419">
        <v>14020.818359375</v>
      </c>
      <c r="D49" s="443">
        <f t="shared" si="0"/>
        <v>0.1901565741922589</v>
      </c>
      <c r="E49" s="419">
        <v>2669.346435546875</v>
      </c>
      <c r="F49" s="444">
        <f t="shared" si="2"/>
        <v>11351.471923828125</v>
      </c>
      <c r="G49" s="419">
        <v>889.954833984375</v>
      </c>
      <c r="H49" s="318">
        <f t="shared" si="33"/>
        <v>2075.9517822265625</v>
      </c>
      <c r="I49" s="493">
        <f t="shared" si="4"/>
        <v>0.19038449590654744</v>
      </c>
      <c r="J49" s="320"/>
      <c r="L49" s="418">
        <v>2453.945068359375</v>
      </c>
      <c r="M49" s="419">
        <v>377.9932861328125</v>
      </c>
      <c r="N49" s="443">
        <f t="shared" si="7"/>
        <v>0.17502152909060034</v>
      </c>
      <c r="O49" s="443">
        <f t="shared" si="8"/>
        <v>0.18287952400859014</v>
      </c>
      <c r="P49" s="321">
        <v>0.21544611204528949</v>
      </c>
      <c r="Q49" s="321">
        <v>0.19670923993665843</v>
      </c>
      <c r="R49" s="322">
        <v>0.18563934758041392</v>
      </c>
      <c r="S49" s="495"/>
      <c r="T49" s="302">
        <f t="shared" si="37"/>
        <v>0.15403494194168171</v>
      </c>
      <c r="V49" s="446">
        <f t="shared" si="11"/>
        <v>729.49899780618819</v>
      </c>
      <c r="W49" s="447">
        <f t="shared" si="28"/>
        <v>696.13499780618815</v>
      </c>
      <c r="X49" s="444">
        <v>33.363999999999997</v>
      </c>
      <c r="Y49" s="318">
        <v>540.10699999999997</v>
      </c>
      <c r="Z49" s="333">
        <v>23.766999999999999</v>
      </c>
      <c r="AA49" s="318">
        <v>1770.3161313753667</v>
      </c>
      <c r="AB49" s="443">
        <f t="shared" si="13"/>
        <v>0.29727600964348672</v>
      </c>
      <c r="AC49" s="443">
        <f t="shared" si="14"/>
        <v>0.28769357993442041</v>
      </c>
      <c r="AD49" s="311"/>
      <c r="AE49" s="449">
        <f t="shared" si="15"/>
        <v>0.47732783265801126</v>
      </c>
      <c r="AF49" s="450">
        <f t="shared" si="16"/>
        <v>5.7117446838360619E-2</v>
      </c>
      <c r="AG49" s="450">
        <v>0.53444527949637188</v>
      </c>
      <c r="AH49" s="451">
        <f t="shared" si="17"/>
        <v>0.89312760533279556</v>
      </c>
      <c r="AI49" s="323">
        <v>3.4611040371507751</v>
      </c>
      <c r="AJ49" s="323">
        <v>3.96</v>
      </c>
      <c r="AK49" s="325">
        <v>0.42321468288212949</v>
      </c>
      <c r="AL49" s="452">
        <f t="shared" si="18"/>
        <v>348.21017554901914</v>
      </c>
      <c r="AM49" s="326"/>
      <c r="AN49" s="465"/>
      <c r="AO49" s="449">
        <f t="shared" si="31"/>
        <v>0.31415575568656029</v>
      </c>
      <c r="AP49" s="450">
        <f t="shared" si="34"/>
        <v>0.31415575568656029</v>
      </c>
      <c r="AQ49" s="450">
        <f t="shared" si="32"/>
        <v>0.31415575568656029</v>
      </c>
      <c r="AR49" s="450">
        <f t="shared" si="32"/>
        <v>0.31415575568656029</v>
      </c>
      <c r="AS49" s="450">
        <f t="shared" si="32"/>
        <v>0.31415575568656029</v>
      </c>
      <c r="AT49" s="452">
        <f t="shared" si="23"/>
        <v>541.74465843535586</v>
      </c>
      <c r="AU49" s="326"/>
      <c r="AV49" s="454">
        <f t="shared" si="35"/>
        <v>0.3626628996138731</v>
      </c>
      <c r="AW49" s="327"/>
      <c r="AX49" s="327"/>
      <c r="AY49" s="327"/>
      <c r="AZ49" s="327"/>
      <c r="BA49" s="457">
        <f t="shared" si="36"/>
        <v>8.4923534406735696E-2</v>
      </c>
      <c r="BB49" s="324"/>
      <c r="BC49" s="324"/>
      <c r="BD49" s="324"/>
      <c r="BE49" s="324"/>
      <c r="BF49" s="418">
        <v>226.69033386266233</v>
      </c>
      <c r="BG49" s="328"/>
      <c r="BI49" s="329">
        <v>543</v>
      </c>
      <c r="BJ49" s="309">
        <v>346.40199999999999</v>
      </c>
      <c r="BK49" s="330">
        <v>0.64</v>
      </c>
      <c r="BL49" s="331">
        <v>0.53</v>
      </c>
    </row>
    <row r="50" spans="1:64" s="309" customFormat="1" x14ac:dyDescent="0.2">
      <c r="A50" s="309">
        <v>2020</v>
      </c>
      <c r="B50" s="418">
        <v>71629.04808853408</v>
      </c>
      <c r="C50" s="419">
        <v>13028.458984375</v>
      </c>
      <c r="D50" s="443">
        <f t="shared" si="0"/>
        <v>0.18188792580730265</v>
      </c>
      <c r="E50" s="419">
        <v>2524.726806640625</v>
      </c>
      <c r="F50" s="444">
        <f t="shared" si="2"/>
        <v>10503.732177734375</v>
      </c>
      <c r="G50" s="419">
        <v>716.5537109375</v>
      </c>
      <c r="H50" s="318">
        <f t="shared" si="33"/>
        <v>1676.99365234375</v>
      </c>
      <c r="I50" s="493">
        <f t="shared" si="4"/>
        <v>0.19378552825537723</v>
      </c>
      <c r="J50" s="320"/>
      <c r="L50" s="418">
        <v>1997.9644775390625</v>
      </c>
      <c r="M50" s="419">
        <v>320.9708251953125</v>
      </c>
      <c r="N50" s="443">
        <f t="shared" si="7"/>
        <v>0.1533538601867816</v>
      </c>
      <c r="O50" s="443">
        <f t="shared" si="8"/>
        <v>0.15965693183786725</v>
      </c>
      <c r="P50" s="321">
        <v>0.193379087605975</v>
      </c>
      <c r="Q50" s="321">
        <v>0.193379087605975</v>
      </c>
      <c r="R50" s="322">
        <v>0.18030906521666298</v>
      </c>
      <c r="S50" s="495"/>
      <c r="T50" s="302">
        <f t="shared" si="37"/>
        <v>0.16064891483489208</v>
      </c>
      <c r="V50" s="446">
        <f t="shared" si="11"/>
        <v>617.58878778778774</v>
      </c>
      <c r="W50" s="447">
        <f t="shared" si="28"/>
        <v>583.29478778778775</v>
      </c>
      <c r="X50" s="444">
        <v>34.293999999999997</v>
      </c>
      <c r="Y50" s="318">
        <v>446.06200000000001</v>
      </c>
      <c r="Z50" s="333">
        <v>30.294</v>
      </c>
      <c r="AA50" s="318">
        <v>1372.5022049899492</v>
      </c>
      <c r="AB50" s="443">
        <f t="shared" si="13"/>
        <v>0.30910899304300227</v>
      </c>
      <c r="AC50" s="443">
        <f t="shared" si="14"/>
        <v>0.30450323964334658</v>
      </c>
      <c r="AD50" s="311"/>
      <c r="AE50" s="449">
        <f t="shared" si="15"/>
        <v>0.50837430724697552</v>
      </c>
      <c r="AF50" s="450">
        <f t="shared" si="16"/>
        <v>6.3125097623436544E-2</v>
      </c>
      <c r="AG50" s="450">
        <v>0.57149940487041206</v>
      </c>
      <c r="AH50" s="451">
        <f t="shared" si="17"/>
        <v>0.88954477102605178</v>
      </c>
      <c r="AI50" s="323">
        <v>3.1259319384319384</v>
      </c>
      <c r="AJ50" s="323">
        <v>3.64</v>
      </c>
      <c r="AK50" s="325">
        <v>0.4020570334651713</v>
      </c>
      <c r="AL50" s="452">
        <f t="shared" si="18"/>
        <v>313.96627215511597</v>
      </c>
      <c r="AM50" s="326"/>
      <c r="AN50" s="465"/>
      <c r="AO50" s="449">
        <f t="shared" si="31"/>
        <v>0.2916506294419926</v>
      </c>
      <c r="AP50" s="450">
        <f t="shared" si="34"/>
        <v>0.2916506294419926</v>
      </c>
      <c r="AQ50" s="450">
        <f t="shared" si="32"/>
        <v>0.2916506294419926</v>
      </c>
      <c r="AR50" s="450">
        <f t="shared" si="32"/>
        <v>0.2916506294419926</v>
      </c>
      <c r="AS50" s="450">
        <f t="shared" si="32"/>
        <v>0.2916506294419926</v>
      </c>
      <c r="AT50" s="452">
        <f t="shared" si="23"/>
        <v>402.58743878238403</v>
      </c>
      <c r="AU50" s="326"/>
      <c r="AV50" s="454">
        <f t="shared" si="35"/>
        <v>0.35864186725686698</v>
      </c>
      <c r="AW50" s="326"/>
      <c r="AX50" s="326"/>
      <c r="AY50" s="326"/>
      <c r="AZ50" s="326"/>
      <c r="BA50" s="457">
        <f t="shared" si="36"/>
        <v>7.1259265083925744E-2</v>
      </c>
      <c r="BF50" s="418">
        <v>179.91017677889764</v>
      </c>
      <c r="BG50" s="328"/>
      <c r="BI50" s="329">
        <v>450</v>
      </c>
      <c r="BJ50" s="309">
        <v>286.47000000000003</v>
      </c>
      <c r="BK50" s="330">
        <v>0.64</v>
      </c>
      <c r="BL50" s="331">
        <v>0.56999999999999995</v>
      </c>
    </row>
    <row r="51" spans="1:64" s="309" customFormat="1" x14ac:dyDescent="0.2">
      <c r="A51" s="309">
        <v>2021</v>
      </c>
      <c r="B51" s="418">
        <v>81608.672176324442</v>
      </c>
      <c r="C51" s="419">
        <v>15960.6201171875</v>
      </c>
      <c r="D51" s="443">
        <f t="shared" si="0"/>
        <v>0.1955750497043113</v>
      </c>
      <c r="E51" s="419">
        <v>3137.916259765625</v>
      </c>
      <c r="F51" s="444">
        <f t="shared" si="2"/>
        <v>12822.703857421875</v>
      </c>
      <c r="G51" s="419">
        <v>932.0604248046875</v>
      </c>
      <c r="H51" s="318">
        <f t="shared" si="33"/>
        <v>2473.9625244140625</v>
      </c>
      <c r="I51" s="493">
        <f t="shared" si="4"/>
        <v>0.19660365554258757</v>
      </c>
      <c r="J51" s="320"/>
      <c r="L51" s="418">
        <v>2988.71044921875</v>
      </c>
      <c r="M51" s="419">
        <v>514.7479248046875</v>
      </c>
      <c r="N51" s="443">
        <f t="shared" si="7"/>
        <v>0.18725528377185668</v>
      </c>
      <c r="O51" s="443">
        <f t="shared" si="8"/>
        <v>0.19293610395455829</v>
      </c>
      <c r="P51" s="321">
        <v>0.21353731282717206</v>
      </c>
      <c r="Q51" s="321">
        <v>0.21353731282717206</v>
      </c>
      <c r="R51" s="322">
        <v>0.20305457800827317</v>
      </c>
      <c r="S51" s="495"/>
      <c r="T51" s="302">
        <f t="shared" si="37"/>
        <v>0.1722307776383098</v>
      </c>
      <c r="V51" s="446">
        <f t="shared" si="11"/>
        <v>752.55225559316432</v>
      </c>
      <c r="W51" s="447">
        <f t="shared" si="28"/>
        <v>720.74725559316437</v>
      </c>
      <c r="X51" s="444">
        <v>31.805</v>
      </c>
      <c r="Y51" s="318">
        <v>543.23199999999997</v>
      </c>
      <c r="Z51" s="333">
        <v>30.018999999999998</v>
      </c>
      <c r="AA51" s="318">
        <v>2078.8134198793446</v>
      </c>
      <c r="AB51" s="443">
        <f t="shared" si="13"/>
        <v>0.25179831515290541</v>
      </c>
      <c r="AC51" s="443">
        <f t="shared" si="14"/>
        <v>0.24456958989033289</v>
      </c>
      <c r="AD51" s="311"/>
      <c r="AE51" s="449">
        <f t="shared" si="15"/>
        <v>0.43488622670982136</v>
      </c>
      <c r="AF51" s="450">
        <f t="shared" si="16"/>
        <v>6.2682581765006684E-2</v>
      </c>
      <c r="AG51" s="450">
        <v>0.49756880847482804</v>
      </c>
      <c r="AH51" s="451">
        <f t="shared" si="17"/>
        <v>0.87402228456171849</v>
      </c>
      <c r="AI51" s="323">
        <v>3.6992206907320395</v>
      </c>
      <c r="AJ51" s="323">
        <v>4.29</v>
      </c>
      <c r="AK51" s="325">
        <v>0.54044439923022791</v>
      </c>
      <c r="AL51" s="452">
        <f t="shared" si="18"/>
        <v>327.27461083687626</v>
      </c>
      <c r="AM51" s="328"/>
      <c r="AN51" s="465"/>
      <c r="AO51" s="449">
        <f t="shared" si="31"/>
        <v>0.27045752652554705</v>
      </c>
      <c r="AP51" s="450">
        <f t="shared" si="34"/>
        <v>0.27045752652554705</v>
      </c>
      <c r="AQ51" s="450">
        <f t="shared" si="32"/>
        <v>0.27045752652554705</v>
      </c>
      <c r="AR51" s="450">
        <f t="shared" si="32"/>
        <v>0.27045752652554705</v>
      </c>
      <c r="AS51" s="450">
        <f t="shared" si="32"/>
        <v>0.27045752652554705</v>
      </c>
      <c r="AT51" s="452">
        <f t="shared" si="23"/>
        <v>604.78581396781124</v>
      </c>
      <c r="AU51" s="328"/>
      <c r="AV51" s="454">
        <f t="shared" si="35"/>
        <v>0.31186039619472955</v>
      </c>
      <c r="AW51" s="328"/>
      <c r="AX51" s="328"/>
      <c r="AY51" s="328"/>
      <c r="AZ51" s="328"/>
      <c r="BA51" s="457">
        <f t="shared" si="36"/>
        <v>7.3951564769405786E-2</v>
      </c>
      <c r="BF51" s="418">
        <v>232.05381752502919</v>
      </c>
      <c r="BG51" s="328"/>
      <c r="BI51" s="329">
        <v>570</v>
      </c>
      <c r="BJ51" s="309">
        <v>333.00400000000002</v>
      </c>
      <c r="BK51" s="330">
        <v>0.57999999999999996</v>
      </c>
      <c r="BL51" s="331">
        <v>0.52</v>
      </c>
    </row>
    <row r="52" spans="1:64" s="309" customFormat="1" x14ac:dyDescent="0.2">
      <c r="A52" s="309">
        <v>2022</v>
      </c>
      <c r="B52" s="418">
        <v>85487.565853156309</v>
      </c>
      <c r="C52" s="419">
        <v>17118.080078125</v>
      </c>
      <c r="D52" s="443">
        <f t="shared" si="0"/>
        <v>0.20024058361340019</v>
      </c>
      <c r="E52" s="419">
        <v>3487.652587890625</v>
      </c>
      <c r="F52" s="444">
        <f t="shared" si="2"/>
        <v>13630.427490234375</v>
      </c>
      <c r="G52" s="419">
        <v>956.0498046875</v>
      </c>
      <c r="H52" s="318">
        <f t="shared" si="33"/>
        <v>2502.4342651367188</v>
      </c>
      <c r="I52" s="493">
        <f t="shared" si="4"/>
        <v>0.20374087350762288</v>
      </c>
      <c r="J52" s="320"/>
      <c r="L52" s="418">
        <v>3050.8916015625</v>
      </c>
      <c r="M52" s="419">
        <v>548.45733642578125</v>
      </c>
      <c r="N52" s="443">
        <f t="shared" si="7"/>
        <v>0.17822627231784011</v>
      </c>
      <c r="O52" s="443">
        <f t="shared" si="8"/>
        <v>0.18359176679745423</v>
      </c>
      <c r="P52" s="321">
        <v>0.23109329111898302</v>
      </c>
      <c r="Q52" s="321">
        <v>0.23020314957237337</v>
      </c>
      <c r="R52" s="322">
        <v>0.22014723454517984</v>
      </c>
      <c r="S52" s="495"/>
      <c r="T52" s="302">
        <f t="shared" si="37"/>
        <v>0.17976952578219801</v>
      </c>
      <c r="V52" s="446">
        <f>W52+X52</f>
        <v>792.06026667077106</v>
      </c>
      <c r="W52" s="447">
        <f t="shared" si="28"/>
        <v>760.25526667077111</v>
      </c>
      <c r="X52" s="444">
        <v>31.805</v>
      </c>
      <c r="Y52" s="318">
        <v>561.97500000000002</v>
      </c>
      <c r="Z52" s="333">
        <v>30.225000000000001</v>
      </c>
      <c r="AA52" s="318">
        <v>1997.0580899918282</v>
      </c>
      <c r="AB52" s="443">
        <f t="shared" si="13"/>
        <v>0.25961599758743348</v>
      </c>
      <c r="AC52" s="443">
        <f t="shared" si="14"/>
        <v>0.24935919743966098</v>
      </c>
      <c r="AD52" s="311"/>
      <c r="AE52" s="449">
        <f t="shared" si="15"/>
        <v>0.39124733852523791</v>
      </c>
      <c r="AF52" s="450">
        <f t="shared" si="16"/>
        <v>6.3158160794901108E-2</v>
      </c>
      <c r="AG52" s="450">
        <v>0.45440549932013902</v>
      </c>
      <c r="AH52" s="451">
        <f>MAX(1-AK52/AJ52,0)</f>
        <v>0.86100925079164869</v>
      </c>
      <c r="AI52" s="450">
        <v>3.7937571406406478</v>
      </c>
      <c r="AJ52" s="334">
        <v>4.25</v>
      </c>
      <c r="AK52" s="325">
        <v>0.59071068413549288</v>
      </c>
      <c r="AL52" s="452">
        <f t="shared" si="18"/>
        <v>309.8914712865294</v>
      </c>
      <c r="AM52" s="335"/>
      <c r="AN52" s="465"/>
      <c r="AO52" s="449">
        <f t="shared" si="31"/>
        <v>0.28605869035898712</v>
      </c>
      <c r="AP52" s="450">
        <f t="shared" si="34"/>
        <v>0.28605869035898712</v>
      </c>
      <c r="AQ52" s="450">
        <f t="shared" si="32"/>
        <v>0.28605869035898712</v>
      </c>
      <c r="AR52" s="450">
        <f t="shared" si="32"/>
        <v>0.28605869035898712</v>
      </c>
      <c r="AS52" s="450">
        <f t="shared" si="32"/>
        <v>0.28605869035898712</v>
      </c>
      <c r="AT52" s="452">
        <f t="shared" si="23"/>
        <v>646.15833340097072</v>
      </c>
      <c r="AU52" s="335"/>
      <c r="AV52" s="454">
        <f t="shared" si="35"/>
        <v>0.31336734618754186</v>
      </c>
      <c r="AW52" s="335"/>
      <c r="AX52" s="335"/>
      <c r="AY52" s="335"/>
      <c r="AZ52" s="335"/>
      <c r="BA52" s="457">
        <f t="shared" si="36"/>
        <v>6.9011573754030997E-2</v>
      </c>
      <c r="BF52" s="418">
        <v>240.68839379765095</v>
      </c>
      <c r="BG52" s="335">
        <v>3.1450639000000002E-2</v>
      </c>
      <c r="BI52" s="329">
        <v>590</v>
      </c>
      <c r="BJ52" s="309">
        <v>341.149</v>
      </c>
      <c r="BK52" s="330">
        <v>0.57999999999999996</v>
      </c>
      <c r="BL52" s="331">
        <v>0.52</v>
      </c>
    </row>
    <row r="53" spans="1:64" x14ac:dyDescent="0.2">
      <c r="A53" s="77">
        <v>2023</v>
      </c>
      <c r="B53" s="418">
        <v>89662.984169693766</v>
      </c>
      <c r="C53" s="419">
        <v>17627.921875</v>
      </c>
      <c r="D53" s="443">
        <f t="shared" si="0"/>
        <v>0.19660199845276025</v>
      </c>
      <c r="E53" s="419">
        <v>3507.9326171875</v>
      </c>
      <c r="F53" s="444">
        <f t="shared" si="2"/>
        <v>14119.9892578125</v>
      </c>
      <c r="G53" s="419">
        <v>1038.3739013671875</v>
      </c>
      <c r="H53" s="318">
        <f t="shared" si="33"/>
        <v>2540.9794311523438</v>
      </c>
      <c r="I53" s="445">
        <f t="shared" si="4"/>
        <v>0.19899864783054583</v>
      </c>
      <c r="L53" s="418">
        <v>3074.028076171875</v>
      </c>
      <c r="M53" s="419">
        <v>533.04864501953125</v>
      </c>
      <c r="N53" s="443">
        <f t="shared" si="7"/>
        <v>0.17438403108261308</v>
      </c>
      <c r="O53" s="443">
        <f t="shared" si="8"/>
        <v>0.17995618727163237</v>
      </c>
      <c r="P53" s="321"/>
      <c r="Q53" s="498">
        <v>0.23020314957237337</v>
      </c>
      <c r="T53" s="302">
        <f t="shared" si="37"/>
        <v>0.17340396112560666</v>
      </c>
      <c r="V53" s="446">
        <f>W53+X53</f>
        <v>808.6209745733164</v>
      </c>
      <c r="W53" s="447">
        <f t="shared" si="28"/>
        <v>775.47931579035742</v>
      </c>
      <c r="X53" s="419">
        <v>33.141658782958984</v>
      </c>
      <c r="Y53" s="318">
        <v>573.221</v>
      </c>
      <c r="Z53" s="318">
        <v>30.84</v>
      </c>
      <c r="AE53" s="499">
        <f t="shared" si="15"/>
        <v>0.40643526930019541</v>
      </c>
      <c r="AF53" s="453">
        <f t="shared" si="16"/>
        <v>6.4467159001709629E-2</v>
      </c>
      <c r="AG53" s="525">
        <f>'Wright-Zucman'!H85*1.1</f>
        <v>0.47090242830190504</v>
      </c>
      <c r="AH53" s="524">
        <f>MAX(1-AK53/AJ53,0)</f>
        <v>0.86309869066893319</v>
      </c>
      <c r="AI53" s="523">
        <f>'BEA2023_Table.II.F1'!J8</f>
        <v>3.5028646804881949</v>
      </c>
      <c r="AJ53" s="516">
        <f>('BEA2023_Table.II.F1'!J6+'Wright-Zucman'!P85*1000)/'BEA2023_Table.II.F1'!J7</f>
        <v>3.9444473003112375</v>
      </c>
      <c r="AK53" s="498">
        <v>0.54</v>
      </c>
      <c r="AL53" s="501">
        <f t="shared" si="18"/>
        <v>328.65208356249229</v>
      </c>
      <c r="AO53" s="499">
        <f t="shared" si="31"/>
        <v>0.31328665708864784</v>
      </c>
      <c r="AP53" s="453">
        <f t="shared" si="34"/>
        <v>0.31328665708864784</v>
      </c>
      <c r="AQ53" s="453">
        <f t="shared" si="32"/>
        <v>0.31328665708864784</v>
      </c>
      <c r="AR53" s="453">
        <f t="shared" si="32"/>
        <v>0.31328665708864784</v>
      </c>
      <c r="AS53" s="453">
        <f t="shared" si="32"/>
        <v>0.31328665708864784</v>
      </c>
      <c r="AT53" s="501">
        <f t="shared" si="23"/>
        <v>709.72181780469521</v>
      </c>
      <c r="AV53" s="502">
        <f t="shared" si="35"/>
        <v>0.33778933556790647</v>
      </c>
      <c r="BA53" s="457">
        <f t="shared" si="36"/>
        <v>7.6224908298991118E-2</v>
      </c>
      <c r="BF53" s="418">
        <v>267.39184206415712</v>
      </c>
    </row>
    <row r="54" spans="1:64" x14ac:dyDescent="0.2">
      <c r="P54" s="321"/>
      <c r="Y54" s="318">
        <v>571.63599999999997</v>
      </c>
      <c r="Z54" s="318">
        <v>31.382000000000001</v>
      </c>
    </row>
    <row r="55" spans="1:64" x14ac:dyDescent="0.2">
      <c r="B55" s="466" t="s">
        <v>168</v>
      </c>
      <c r="P55" s="321"/>
      <c r="AD55" t="s">
        <v>169</v>
      </c>
      <c r="AE55" s="497">
        <f>(AE45-AE12)/33</f>
        <v>9.2158092020207007E-3</v>
      </c>
      <c r="AH55" s="466"/>
      <c r="AN55" s="497"/>
      <c r="AO55" s="497">
        <f>(AO45-AO12)/33</f>
        <v>6.1901468459304894E-3</v>
      </c>
      <c r="AV55" s="497">
        <f>(AV45-AV12)/33</f>
        <v>6.6598400575924154E-3</v>
      </c>
    </row>
    <row r="56" spans="1:64" x14ac:dyDescent="0.2">
      <c r="P56" s="321"/>
      <c r="Q56" s="466" t="s">
        <v>1069</v>
      </c>
      <c r="AE56" s="466"/>
      <c r="AO56" s="466" t="s">
        <v>1152</v>
      </c>
    </row>
    <row r="57" spans="1:64" x14ac:dyDescent="0.2">
      <c r="AU57" s="538" t="s">
        <v>1148</v>
      </c>
    </row>
    <row r="58" spans="1:64" x14ac:dyDescent="0.2">
      <c r="AT58" s="538" t="s">
        <v>1149</v>
      </c>
      <c r="AU58" s="77">
        <f>(AV48-AV5)/AV5</f>
        <v>6.9937290774587906</v>
      </c>
      <c r="AV58" s="77">
        <f>(AW46-AW5)/AW5</f>
        <v>-1</v>
      </c>
    </row>
    <row r="59" spans="1:64" x14ac:dyDescent="0.2">
      <c r="AT59" s="538" t="s">
        <v>1150</v>
      </c>
      <c r="AU59" s="539">
        <f>(AV53-AV49)/AV5</f>
        <v>-0.58510449762323591</v>
      </c>
    </row>
    <row r="60" spans="1:64" x14ac:dyDescent="0.2">
      <c r="AU60" s="77">
        <f>AU58+AU59</f>
        <v>6.4086245798355543</v>
      </c>
    </row>
    <row r="61" spans="1:64" x14ac:dyDescent="0.2">
      <c r="AT61" s="538" t="s">
        <v>1151</v>
      </c>
      <c r="AU61" s="540">
        <f>(AU58-AU60)/AU58</f>
        <v>8.366130445473835E-2</v>
      </c>
    </row>
    <row r="64" spans="1:64" x14ac:dyDescent="0.2">
      <c r="AA64" s="309" t="s">
        <v>1083</v>
      </c>
    </row>
    <row r="65" spans="27:28" x14ac:dyDescent="0.2">
      <c r="AA65" s="309" t="s">
        <v>1084</v>
      </c>
      <c r="AB65" s="491" t="s">
        <v>1086</v>
      </c>
    </row>
    <row r="66" spans="27:28" x14ac:dyDescent="0.2">
      <c r="AA66" s="309" t="s">
        <v>1085</v>
      </c>
      <c r="AB66" s="77" t="s">
        <v>1087</v>
      </c>
    </row>
    <row r="67" spans="27:28" x14ac:dyDescent="0.2">
      <c r="AA67" s="309" t="s">
        <v>1088</v>
      </c>
      <c r="AB67" s="491" t="s">
        <v>1090</v>
      </c>
    </row>
    <row r="68" spans="27:28" x14ac:dyDescent="0.2">
      <c r="AA68" s="309" t="s">
        <v>1089</v>
      </c>
      <c r="AB68" s="491" t="s">
        <v>1091</v>
      </c>
    </row>
  </sheetData>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9EEC0-4A27-DE4B-ACC9-34FE0EBE0AC0}">
  <sheetPr>
    <tabColor theme="1"/>
  </sheetPr>
  <dimension ref="A1"/>
  <sheetViews>
    <sheetView workbookViewId="0">
      <selection activeCell="R22" sqref="R22"/>
    </sheetView>
  </sheetViews>
  <sheetFormatPr baseColWidth="10" defaultColWidth="10.83203125" defaultRowHeight="16" x14ac:dyDescent="0.2"/>
  <sheetData/>
  <pageMargins left="0.7" right="0.7" top="0.75" bottom="0.75" header="0.3" footer="0.3"/>
  <pageSetup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2E98A-2AD9-8240-8024-880DAF20DA56}">
  <sheetPr>
    <pageSetUpPr fitToPage="1"/>
  </sheetPr>
  <dimension ref="B2:N25"/>
  <sheetViews>
    <sheetView zoomScale="43" zoomScaleNormal="70" workbookViewId="0">
      <selection activeCell="B3" sqref="B3"/>
    </sheetView>
  </sheetViews>
  <sheetFormatPr baseColWidth="10" defaultColWidth="8.6640625" defaultRowHeight="15" outlineLevelRow="1" x14ac:dyDescent="0.2"/>
  <cols>
    <col min="1" max="1" width="8.6640625" style="80"/>
    <col min="2" max="2" width="93.1640625" style="80" customWidth="1"/>
    <col min="3" max="10" width="18.33203125" style="80" customWidth="1"/>
    <col min="11" max="12" width="19.6640625" style="80" customWidth="1"/>
    <col min="13" max="13" width="20.6640625" style="80" customWidth="1"/>
    <col min="14" max="14" width="20.33203125" style="80" customWidth="1"/>
    <col min="15" max="19" width="8.6640625" style="80"/>
    <col min="20" max="20" width="8.6640625" style="80" customWidth="1"/>
    <col min="21" max="16384" width="8.6640625" style="80"/>
  </cols>
  <sheetData>
    <row r="2" spans="2:14" ht="35.25" customHeight="1" thickBot="1" x14ac:dyDescent="0.5">
      <c r="B2" s="464" t="s">
        <v>1170</v>
      </c>
      <c r="C2" s="79"/>
      <c r="D2" s="79"/>
      <c r="E2" s="79"/>
      <c r="F2" s="79"/>
      <c r="G2" s="79"/>
      <c r="H2" s="79"/>
      <c r="I2" s="79"/>
      <c r="J2" s="79"/>
      <c r="K2" s="79"/>
      <c r="L2" s="79"/>
      <c r="M2" s="79"/>
      <c r="N2" s="79"/>
    </row>
    <row r="3" spans="2:14" ht="16" thickTop="1" x14ac:dyDescent="0.2"/>
    <row r="4" spans="2:14" ht="121" customHeight="1" x14ac:dyDescent="0.2">
      <c r="B4" s="81" t="s">
        <v>40</v>
      </c>
      <c r="C4" s="82">
        <v>2015</v>
      </c>
      <c r="D4" s="82">
        <v>2016</v>
      </c>
      <c r="E4" s="82">
        <v>2017</v>
      </c>
      <c r="F4" s="82">
        <v>2018</v>
      </c>
      <c r="G4" s="82">
        <v>2019</v>
      </c>
      <c r="H4" s="82">
        <v>2020</v>
      </c>
      <c r="I4" s="82">
        <v>2021</v>
      </c>
      <c r="J4" s="82">
        <v>2022</v>
      </c>
      <c r="K4" s="83">
        <v>2023</v>
      </c>
      <c r="L4" s="175" t="s">
        <v>170</v>
      </c>
      <c r="M4" s="175" t="s">
        <v>171</v>
      </c>
      <c r="N4" s="175" t="s">
        <v>172</v>
      </c>
    </row>
    <row r="5" spans="2:14" ht="29" hidden="1" outlineLevel="1" x14ac:dyDescent="0.2">
      <c r="B5" s="84" t="s">
        <v>173</v>
      </c>
      <c r="C5" s="85">
        <v>17.047442363087278</v>
      </c>
      <c r="D5" s="85">
        <v>17.064440194124401</v>
      </c>
      <c r="E5" s="85">
        <v>16.938735178395316</v>
      </c>
      <c r="F5" s="85">
        <v>17.236719819218727</v>
      </c>
      <c r="G5" s="86">
        <v>17.434189233963973</v>
      </c>
      <c r="H5" s="86"/>
      <c r="I5" s="85"/>
      <c r="J5" s="85"/>
      <c r="K5" s="85"/>
      <c r="L5" s="301"/>
      <c r="M5" s="84"/>
      <c r="N5" s="85"/>
    </row>
    <row r="6" spans="2:14" ht="29" hidden="1" outlineLevel="1" x14ac:dyDescent="0.2">
      <c r="B6" s="84" t="s">
        <v>174</v>
      </c>
      <c r="C6" s="85" t="e">
        <f>+#REF!/(#REF!*(1-C5%))</f>
        <v>#REF!</v>
      </c>
      <c r="D6" s="85" t="e">
        <f>+#REF!/(#REF!*(1-D5%))</f>
        <v>#REF!</v>
      </c>
      <c r="E6" s="85" t="e">
        <f>+#REF!/(#REF!*(1-E5%))</f>
        <v>#REF!</v>
      </c>
      <c r="F6" s="85" t="e">
        <f>+#REF!/(#REF!*(1-F5%))</f>
        <v>#REF!</v>
      </c>
      <c r="G6" s="86" t="e">
        <f>+#REF!/(#REF!*(1-G5%))</f>
        <v>#REF!</v>
      </c>
      <c r="H6" s="86"/>
      <c r="I6" s="85"/>
      <c r="J6" s="85"/>
      <c r="K6" s="85"/>
      <c r="L6" s="87"/>
      <c r="M6" s="84"/>
      <c r="N6" s="85"/>
    </row>
    <row r="7" spans="2:14" ht="29" hidden="1" outlineLevel="1" x14ac:dyDescent="0.2">
      <c r="B7" s="88" t="s">
        <v>175</v>
      </c>
      <c r="C7" s="89" t="e">
        <f>+#REF!/#REF!</f>
        <v>#REF!</v>
      </c>
      <c r="D7" s="89" t="e">
        <f>+#REF!/#REF!</f>
        <v>#REF!</v>
      </c>
      <c r="E7" s="89" t="e">
        <f>+#REF!/#REF!</f>
        <v>#REF!</v>
      </c>
      <c r="F7" s="89" t="e">
        <f>+#REF!/#REF!</f>
        <v>#REF!</v>
      </c>
      <c r="G7" s="90" t="e">
        <f>+#REF!/#REF!</f>
        <v>#REF!</v>
      </c>
      <c r="H7" s="90"/>
      <c r="I7" s="89"/>
      <c r="J7" s="89"/>
      <c r="K7" s="89"/>
      <c r="L7" s="87"/>
      <c r="M7" s="88"/>
      <c r="N7" s="89"/>
    </row>
    <row r="8" spans="2:14" ht="29" outlineLevel="1" x14ac:dyDescent="0.2">
      <c r="B8" s="154" t="s">
        <v>176</v>
      </c>
      <c r="C8" s="89"/>
      <c r="D8" s="89"/>
      <c r="E8" s="89"/>
      <c r="F8" s="89"/>
      <c r="G8" s="89"/>
      <c r="H8" s="89"/>
      <c r="I8" s="89"/>
      <c r="J8" s="89"/>
      <c r="K8" s="90"/>
      <c r="L8" s="87"/>
      <c r="M8" s="88"/>
      <c r="N8" s="89"/>
    </row>
    <row r="9" spans="2:14" ht="29" outlineLevel="1" x14ac:dyDescent="0.2">
      <c r="B9" s="88" t="s">
        <v>44</v>
      </c>
      <c r="C9" s="89">
        <f t="array" ref="C9:J9">TRANSPOSE('DataF3-F4'!L45:L52)</f>
        <v>1703.2290592571803</v>
      </c>
      <c r="D9" s="89">
        <v>1978.6026611328125</v>
      </c>
      <c r="E9" s="89">
        <v>2153.560302734375</v>
      </c>
      <c r="F9" s="89">
        <v>2417.470458984375</v>
      </c>
      <c r="G9" s="89">
        <v>2453.945068359375</v>
      </c>
      <c r="H9" s="89">
        <v>1997.9644775390625</v>
      </c>
      <c r="I9" s="89">
        <v>2988.71044921875</v>
      </c>
      <c r="J9" s="89">
        <v>3050.8916015625</v>
      </c>
      <c r="K9" s="90">
        <f>'DataF3-F4'!L53</f>
        <v>3074.028076171875</v>
      </c>
      <c r="L9" s="87"/>
      <c r="M9" s="88"/>
      <c r="N9" s="89"/>
    </row>
    <row r="10" spans="2:14" ht="29" outlineLevel="1" x14ac:dyDescent="0.2">
      <c r="B10" s="84" t="s">
        <v>177</v>
      </c>
      <c r="C10" s="85">
        <f t="array" ref="C10:J10">TRANSPOSE('DataF3-F4'!G45:G52)</f>
        <v>616</v>
      </c>
      <c r="D10" s="85">
        <v>733.29815673828125</v>
      </c>
      <c r="E10" s="85">
        <v>732.49969482421875</v>
      </c>
      <c r="F10" s="85">
        <v>821.514404296875</v>
      </c>
      <c r="G10" s="85">
        <v>889.954833984375</v>
      </c>
      <c r="H10" s="93">
        <v>716.5537109375</v>
      </c>
      <c r="I10" s="85">
        <v>932.0604248046875</v>
      </c>
      <c r="J10" s="93">
        <v>956.0498046875</v>
      </c>
      <c r="K10" s="91">
        <f>'DataF3-F4'!G53</f>
        <v>1038.3739013671875</v>
      </c>
      <c r="L10" s="87"/>
      <c r="M10" s="88"/>
      <c r="N10" s="89"/>
    </row>
    <row r="11" spans="2:14" ht="29" outlineLevel="1" x14ac:dyDescent="0.2">
      <c r="B11" s="150" t="s">
        <v>178</v>
      </c>
      <c r="C11" s="176">
        <f>C10/C9</f>
        <v>0.3616659759601874</v>
      </c>
      <c r="D11" s="176">
        <f t="shared" ref="D11:K11" si="0">D10/D9</f>
        <v>0.37061415671929043</v>
      </c>
      <c r="E11" s="176">
        <f t="shared" si="0"/>
        <v>0.34013428548722974</v>
      </c>
      <c r="F11" s="176">
        <f t="shared" si="0"/>
        <v>0.33982396816629923</v>
      </c>
      <c r="G11" s="176">
        <f t="shared" si="0"/>
        <v>0.3626628996138731</v>
      </c>
      <c r="H11" s="176">
        <f t="shared" si="0"/>
        <v>0.35864186725686698</v>
      </c>
      <c r="I11" s="176">
        <f t="shared" si="0"/>
        <v>0.31186039619472955</v>
      </c>
      <c r="J11" s="176">
        <f t="shared" si="0"/>
        <v>0.31336734618754186</v>
      </c>
      <c r="K11" s="299">
        <f t="shared" si="0"/>
        <v>0.33778933556790647</v>
      </c>
      <c r="L11" s="149">
        <f>+(K11-C11)/8</f>
        <v>-2.9845800490351168E-3</v>
      </c>
      <c r="M11" s="500">
        <f>+(K11-F11)/5</f>
        <v>-4.0692651967855209E-4</v>
      </c>
      <c r="N11" s="151">
        <f>'DataF3-F4'!AV55</f>
        <v>6.6598400575924154E-3</v>
      </c>
    </row>
    <row r="12" spans="2:14" ht="29" outlineLevel="1" x14ac:dyDescent="0.2">
      <c r="B12" s="84"/>
      <c r="C12" s="152"/>
      <c r="D12" s="152"/>
      <c r="E12" s="152"/>
      <c r="F12" s="152"/>
      <c r="G12" s="152"/>
      <c r="H12" s="152"/>
      <c r="I12" s="152"/>
      <c r="J12" s="152"/>
      <c r="K12" s="92"/>
      <c r="L12" s="87"/>
      <c r="M12" s="88"/>
      <c r="N12" s="414"/>
    </row>
    <row r="13" spans="2:14" ht="29" outlineLevel="1" x14ac:dyDescent="0.2">
      <c r="B13" s="154" t="s">
        <v>179</v>
      </c>
      <c r="C13" s="89"/>
      <c r="D13" s="89"/>
      <c r="E13" s="89"/>
      <c r="F13" s="89"/>
      <c r="G13" s="89"/>
      <c r="H13" s="89"/>
      <c r="I13" s="89"/>
      <c r="J13" s="89"/>
      <c r="K13" s="90"/>
      <c r="L13" s="87"/>
      <c r="M13" s="88"/>
      <c r="N13" s="89"/>
    </row>
    <row r="14" spans="2:14" ht="29" x14ac:dyDescent="0.2">
      <c r="B14" s="84" t="s">
        <v>44</v>
      </c>
      <c r="C14" s="153">
        <f t="array" ref="C14:J14">TRANSPOSE('DataF3-F4'!V45:V52)</f>
        <v>572.20167161985535</v>
      </c>
      <c r="D14" s="153">
        <v>585.14997857434764</v>
      </c>
      <c r="E14" s="153">
        <v>677.21730502661819</v>
      </c>
      <c r="F14" s="153">
        <v>723.00117322837832</v>
      </c>
      <c r="G14" s="153">
        <v>729.49899780618819</v>
      </c>
      <c r="H14" s="153">
        <v>617.58878778778774</v>
      </c>
      <c r="I14" s="153">
        <v>752.55225559316432</v>
      </c>
      <c r="J14" s="153">
        <v>792.06026667077106</v>
      </c>
      <c r="K14" s="140">
        <f>'DataF3-F4'!V53</f>
        <v>808.6209745733164</v>
      </c>
      <c r="L14" s="145"/>
      <c r="M14" s="146"/>
      <c r="N14" s="142"/>
    </row>
    <row r="15" spans="2:14" ht="29" x14ac:dyDescent="0.2">
      <c r="B15" s="84" t="s">
        <v>180</v>
      </c>
      <c r="C15" s="142">
        <f t="shared" ref="C15:K15" si="1">+C14/C9</f>
        <v>0.33595109742280138</v>
      </c>
      <c r="D15" s="142">
        <f t="shared" si="1"/>
        <v>0.29573900312017715</v>
      </c>
      <c r="E15" s="142">
        <f t="shared" si="1"/>
        <v>0.31446405478720774</v>
      </c>
      <c r="F15" s="142">
        <f t="shared" si="1"/>
        <v>0.29907342633345962</v>
      </c>
      <c r="G15" s="142">
        <f t="shared" si="1"/>
        <v>0.29727600964348672</v>
      </c>
      <c r="H15" s="142">
        <f t="shared" si="1"/>
        <v>0.30910899304300227</v>
      </c>
      <c r="I15" s="142">
        <f t="shared" si="1"/>
        <v>0.25179831515290541</v>
      </c>
      <c r="J15" s="142">
        <f t="shared" si="1"/>
        <v>0.25961599758743348</v>
      </c>
      <c r="K15" s="141">
        <f t="shared" si="1"/>
        <v>0.26304931332322185</v>
      </c>
      <c r="L15" s="142"/>
      <c r="M15" s="146"/>
      <c r="N15" s="142"/>
    </row>
    <row r="16" spans="2:14" ht="29" x14ac:dyDescent="0.2">
      <c r="B16" s="84" t="s">
        <v>177</v>
      </c>
      <c r="C16" s="93">
        <f t="shared" ref="C16:K16" si="2">+C18*C14</f>
        <v>264.6418610588334</v>
      </c>
      <c r="D16" s="93">
        <f t="shared" si="2"/>
        <v>305.04904281760969</v>
      </c>
      <c r="E16" s="93">
        <f t="shared" si="2"/>
        <v>326.65359152742019</v>
      </c>
      <c r="F16" s="93">
        <f t="shared" si="2"/>
        <v>365.93249851811589</v>
      </c>
      <c r="G16" s="93">
        <f t="shared" si="2"/>
        <v>348.21017554901914</v>
      </c>
      <c r="H16" s="153">
        <f t="shared" si="2"/>
        <v>313.96627215511597</v>
      </c>
      <c r="I16" s="153">
        <f t="shared" si="2"/>
        <v>327.27461083687626</v>
      </c>
      <c r="J16" s="153">
        <f t="shared" si="2"/>
        <v>309.8914712865294</v>
      </c>
      <c r="K16" s="140">
        <f t="shared" si="2"/>
        <v>328.65208356249229</v>
      </c>
      <c r="L16" s="144"/>
      <c r="M16" s="147"/>
      <c r="N16" s="147"/>
    </row>
    <row r="17" spans="2:14" ht="29" x14ac:dyDescent="0.2">
      <c r="B17" s="84" t="s">
        <v>181</v>
      </c>
      <c r="C17" s="142">
        <f t="shared" ref="C17:K17" si="3">+C16/C10</f>
        <v>0.42961341080979448</v>
      </c>
      <c r="D17" s="142">
        <f t="shared" si="3"/>
        <v>0.41599592200595648</v>
      </c>
      <c r="E17" s="142">
        <f t="shared" si="3"/>
        <v>0.4459436554520459</v>
      </c>
      <c r="F17" s="142">
        <f t="shared" si="3"/>
        <v>0.44543649704025995</v>
      </c>
      <c r="G17" s="142">
        <f t="shared" si="3"/>
        <v>0.39126724441740907</v>
      </c>
      <c r="H17" s="142">
        <f t="shared" si="3"/>
        <v>0.43816153257281931</v>
      </c>
      <c r="I17" s="142">
        <f t="shared" si="3"/>
        <v>0.35113025092279437</v>
      </c>
      <c r="J17" s="142">
        <f t="shared" si="3"/>
        <v>0.32413737209833154</v>
      </c>
      <c r="K17" s="141">
        <f t="shared" si="3"/>
        <v>0.31650649455824015</v>
      </c>
      <c r="L17" s="143"/>
      <c r="M17" s="147"/>
      <c r="N17" s="147"/>
    </row>
    <row r="18" spans="2:14" ht="29" x14ac:dyDescent="0.2">
      <c r="B18" s="150" t="s">
        <v>182</v>
      </c>
      <c r="C18" s="177">
        <f t="array" ref="C18:J18">TRANSPOSE('DataF3-F4'!AE45:AE52)</f>
        <v>0.46249753222435425</v>
      </c>
      <c r="D18" s="177">
        <v>0.52131770313113146</v>
      </c>
      <c r="E18" s="177">
        <v>0.48234678751243809</v>
      </c>
      <c r="F18" s="177">
        <v>0.50612988203620357</v>
      </c>
      <c r="G18" s="177">
        <v>0.47732783265801126</v>
      </c>
      <c r="H18" s="177">
        <v>0.50837430724697552</v>
      </c>
      <c r="I18" s="177">
        <v>0.43488622670982136</v>
      </c>
      <c r="J18" s="177">
        <v>0.39124733852523791</v>
      </c>
      <c r="K18" s="178">
        <f>'DataF3-F4'!AE53</f>
        <v>0.40643526930019541</v>
      </c>
      <c r="L18" s="149">
        <f>+(K18-C18)/8</f>
        <v>-7.0077828655198543E-3</v>
      </c>
      <c r="M18" s="151">
        <f>+(K18-F18)/5</f>
        <v>-1.9938922547201633E-2</v>
      </c>
      <c r="N18" s="151">
        <f>'DataF3-F4'!AE55</f>
        <v>9.2158092020207007E-3</v>
      </c>
    </row>
    <row r="19" spans="2:14" ht="29" x14ac:dyDescent="0.2">
      <c r="B19" s="84"/>
      <c r="C19" s="85"/>
      <c r="D19" s="85"/>
      <c r="E19" s="85"/>
      <c r="F19" s="85"/>
      <c r="G19" s="85"/>
      <c r="H19" s="85"/>
      <c r="I19" s="85"/>
      <c r="J19" s="85"/>
      <c r="K19" s="86"/>
      <c r="L19" s="143"/>
      <c r="M19" s="147"/>
      <c r="N19" s="155"/>
    </row>
    <row r="20" spans="2:14" ht="29" x14ac:dyDescent="0.2">
      <c r="B20" s="150" t="s">
        <v>183</v>
      </c>
      <c r="C20" s="85"/>
      <c r="D20" s="85"/>
      <c r="E20" s="85"/>
      <c r="F20" s="85"/>
      <c r="G20" s="85"/>
      <c r="H20" s="85"/>
      <c r="I20" s="85"/>
      <c r="J20" s="85"/>
      <c r="K20" s="86"/>
      <c r="L20" s="143"/>
      <c r="M20" s="147"/>
      <c r="N20" s="155"/>
    </row>
    <row r="21" spans="2:14" ht="29" x14ac:dyDescent="0.2">
      <c r="B21" s="156" t="s">
        <v>44</v>
      </c>
      <c r="C21" s="85">
        <f t="shared" ref="C21:K21" si="4">C9-C14</f>
        <v>1131.0273876373249</v>
      </c>
      <c r="D21" s="85">
        <f t="shared" si="4"/>
        <v>1393.4526825584649</v>
      </c>
      <c r="E21" s="85">
        <f t="shared" si="4"/>
        <v>1476.3429977077567</v>
      </c>
      <c r="F21" s="85">
        <f t="shared" si="4"/>
        <v>1694.4692857559967</v>
      </c>
      <c r="G21" s="85">
        <f t="shared" si="4"/>
        <v>1724.4460705531869</v>
      </c>
      <c r="H21" s="85">
        <f t="shared" si="4"/>
        <v>1380.3756897512749</v>
      </c>
      <c r="I21" s="85">
        <f t="shared" si="4"/>
        <v>2236.1581936255857</v>
      </c>
      <c r="J21" s="85">
        <f t="shared" si="4"/>
        <v>2258.8313348917291</v>
      </c>
      <c r="K21" s="86">
        <f t="shared" si="4"/>
        <v>2265.4071015985587</v>
      </c>
      <c r="L21" s="143"/>
      <c r="M21" s="155"/>
      <c r="N21" s="147"/>
    </row>
    <row r="22" spans="2:14" ht="29" x14ac:dyDescent="0.2">
      <c r="B22" s="84" t="s">
        <v>177</v>
      </c>
      <c r="C22" s="85">
        <f t="shared" ref="C22:K22" si="5">C10-C16</f>
        <v>351.3581389411666</v>
      </c>
      <c r="D22" s="85">
        <f t="shared" si="5"/>
        <v>428.24911392067156</v>
      </c>
      <c r="E22" s="85">
        <f t="shared" si="5"/>
        <v>405.84610329679856</v>
      </c>
      <c r="F22" s="85">
        <f t="shared" si="5"/>
        <v>455.58190577875911</v>
      </c>
      <c r="G22" s="85">
        <f t="shared" si="5"/>
        <v>541.74465843535586</v>
      </c>
      <c r="H22" s="85">
        <f t="shared" si="5"/>
        <v>402.58743878238403</v>
      </c>
      <c r="I22" s="85">
        <f t="shared" si="5"/>
        <v>604.78581396781124</v>
      </c>
      <c r="J22" s="85">
        <f t="shared" si="5"/>
        <v>646.1583334009706</v>
      </c>
      <c r="K22" s="86">
        <f t="shared" si="5"/>
        <v>709.72181780469521</v>
      </c>
      <c r="L22" s="143"/>
      <c r="M22" s="147"/>
      <c r="N22" s="147"/>
    </row>
    <row r="23" spans="2:14" ht="29" x14ac:dyDescent="0.2">
      <c r="B23" s="150" t="s">
        <v>184</v>
      </c>
      <c r="C23" s="176">
        <f t="shared" ref="C23:K23" si="6">+C22/C21</f>
        <v>0.31065396185952754</v>
      </c>
      <c r="D23" s="176">
        <f t="shared" si="6"/>
        <v>0.30732949836113549</v>
      </c>
      <c r="E23" s="176">
        <f t="shared" si="6"/>
        <v>0.27489960254963469</v>
      </c>
      <c r="F23" s="268">
        <f t="shared" si="6"/>
        <v>0.26886406830059406</v>
      </c>
      <c r="G23" s="176">
        <f t="shared" si="6"/>
        <v>0.31415575568656029</v>
      </c>
      <c r="H23" s="176">
        <f t="shared" si="6"/>
        <v>0.2916506294419926</v>
      </c>
      <c r="I23" s="176">
        <f t="shared" si="6"/>
        <v>0.27045752652554705</v>
      </c>
      <c r="J23" s="176">
        <f t="shared" si="6"/>
        <v>0.28605869035898712</v>
      </c>
      <c r="K23" s="299">
        <f t="shared" si="6"/>
        <v>0.31328665708864784</v>
      </c>
      <c r="L23" s="149">
        <f>+(K23-C23)/8</f>
        <v>3.2908690364003707E-4</v>
      </c>
      <c r="M23" s="151">
        <f>+(K23-F23)/5</f>
        <v>8.8845177576107551E-3</v>
      </c>
      <c r="N23" s="151">
        <f>'DataF3-F4'!AO55</f>
        <v>6.1901468459304894E-3</v>
      </c>
    </row>
    <row r="24" spans="2:14" ht="30" thickBot="1" x14ac:dyDescent="0.25">
      <c r="B24" s="79"/>
      <c r="C24" s="79"/>
      <c r="D24" s="79"/>
      <c r="E24" s="79"/>
      <c r="F24" s="79"/>
      <c r="G24" s="79"/>
      <c r="H24" s="79"/>
      <c r="I24" s="79"/>
      <c r="J24" s="79"/>
      <c r="K24" s="157"/>
      <c r="L24" s="462"/>
      <c r="M24" s="158"/>
      <c r="N24" s="159"/>
    </row>
    <row r="25" spans="2:14" ht="16" thickTop="1" x14ac:dyDescent="0.2">
      <c r="K25" s="460"/>
    </row>
  </sheetData>
  <pageMargins left="0.7" right="0.7" top="0.75" bottom="0.75" header="0.3" footer="0.3"/>
  <pageSetup paperSize="9" scale="3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N70"/>
  <sheetViews>
    <sheetView zoomScale="45" zoomScaleNormal="45" zoomScalePageLayoutView="50" workbookViewId="0">
      <pane xSplit="1" ySplit="4" topLeftCell="B5" activePane="bottomRight" state="frozen"/>
      <selection pane="topRight" activeCell="B5" sqref="B5"/>
      <selection pane="bottomLeft" activeCell="B5" sqref="B5"/>
      <selection pane="bottomRight" activeCell="S12" sqref="S12"/>
    </sheetView>
  </sheetViews>
  <sheetFormatPr baseColWidth="10" defaultColWidth="11.83203125" defaultRowHeight="16" x14ac:dyDescent="0.2"/>
  <cols>
    <col min="1" max="1" width="11.83203125" style="60" customWidth="1"/>
    <col min="2" max="2" width="45.1640625" customWidth="1"/>
    <col min="3" max="3" width="19.1640625" customWidth="1"/>
    <col min="4" max="11" width="21.1640625" customWidth="1"/>
    <col min="12" max="12" width="25.5" style="60" customWidth="1"/>
    <col min="13" max="16384" width="11.83203125" style="60"/>
  </cols>
  <sheetData>
    <row r="2" spans="1:12" ht="34" x14ac:dyDescent="0.4">
      <c r="B2" s="62"/>
      <c r="D2" s="76"/>
      <c r="E2" s="76"/>
      <c r="F2" s="76"/>
      <c r="G2" s="76"/>
      <c r="H2" s="76"/>
      <c r="I2" s="76"/>
      <c r="J2" s="76"/>
      <c r="K2" s="76"/>
    </row>
    <row r="3" spans="1:12" ht="60" customHeight="1" thickBot="1" x14ac:dyDescent="0.45">
      <c r="A3" s="409"/>
      <c r="B3" s="410"/>
      <c r="C3" s="548" t="s">
        <v>185</v>
      </c>
      <c r="D3" s="548"/>
      <c r="E3" s="548"/>
      <c r="F3" s="548"/>
      <c r="G3" s="548"/>
      <c r="H3" s="548"/>
      <c r="I3" s="548"/>
      <c r="J3" s="548"/>
      <c r="K3" s="548"/>
      <c r="L3" s="548"/>
    </row>
    <row r="4" spans="1:12" s="61" customFormat="1" ht="80.25" customHeight="1" thickTop="1" x14ac:dyDescent="0.4">
      <c r="B4" s="62"/>
      <c r="C4" s="411">
        <v>2015</v>
      </c>
      <c r="D4" s="411">
        <v>2016</v>
      </c>
      <c r="E4" s="411">
        <f t="shared" ref="E4:K4" si="0">D4+1</f>
        <v>2017</v>
      </c>
      <c r="F4" s="411">
        <f t="shared" si="0"/>
        <v>2018</v>
      </c>
      <c r="G4" s="411">
        <f t="shared" si="0"/>
        <v>2019</v>
      </c>
      <c r="H4" s="411">
        <f t="shared" si="0"/>
        <v>2020</v>
      </c>
      <c r="I4" s="411">
        <f t="shared" si="0"/>
        <v>2021</v>
      </c>
      <c r="J4" s="411">
        <f t="shared" si="0"/>
        <v>2022</v>
      </c>
      <c r="K4" s="411">
        <f t="shared" si="0"/>
        <v>2023</v>
      </c>
      <c r="L4" s="411" t="s">
        <v>77</v>
      </c>
    </row>
    <row r="5" spans="1:12" ht="40" customHeight="1" x14ac:dyDescent="0.4">
      <c r="B5" s="362" t="s">
        <v>186</v>
      </c>
      <c r="D5" s="76"/>
      <c r="E5" s="76"/>
      <c r="F5" s="76"/>
      <c r="G5" s="76"/>
      <c r="H5" s="76"/>
      <c r="I5" s="76"/>
      <c r="J5" s="76"/>
      <c r="K5" s="76"/>
    </row>
    <row r="6" spans="1:12" ht="34" x14ac:dyDescent="0.4">
      <c r="B6" s="62" t="s">
        <v>68</v>
      </c>
      <c r="C6" s="76">
        <v>12.959094629306808</v>
      </c>
      <c r="D6" s="76">
        <v>15.1793291015625</v>
      </c>
      <c r="E6" s="76">
        <v>18.800652343749999</v>
      </c>
      <c r="F6" s="76">
        <v>20.960076171874999</v>
      </c>
      <c r="G6" s="76">
        <v>62.06096484375</v>
      </c>
      <c r="H6" s="76">
        <v>18.707910156250001</v>
      </c>
      <c r="I6" s="76">
        <v>22.371556640624998</v>
      </c>
      <c r="J6" s="76">
        <v>21.815427734375</v>
      </c>
      <c r="K6" s="76">
        <v>22.442501953124999</v>
      </c>
      <c r="L6" s="76">
        <f>K6-C6</f>
        <v>9.4834073238181915</v>
      </c>
    </row>
    <row r="7" spans="1:12" ht="34" x14ac:dyDescent="0.4">
      <c r="B7" s="62" t="s">
        <v>187</v>
      </c>
      <c r="C7" s="76">
        <v>3.5894388002507043</v>
      </c>
      <c r="D7" s="76">
        <v>2.8816152343749999</v>
      </c>
      <c r="E7" s="76">
        <v>3.3724260253906251</v>
      </c>
      <c r="F7" s="76">
        <v>3.9941787109375002</v>
      </c>
      <c r="G7" s="76">
        <v>4.1421396484375004</v>
      </c>
      <c r="H7" s="76">
        <v>4.4364907226562504</v>
      </c>
      <c r="I7" s="76">
        <v>6.2278754882812501</v>
      </c>
      <c r="J7" s="76">
        <v>7.6261982421874999</v>
      </c>
      <c r="K7" s="76">
        <v>7.8443144531250004</v>
      </c>
      <c r="L7" s="76">
        <f t="shared" ref="L7:L51" si="1">K7-C7</f>
        <v>4.2548756528742961</v>
      </c>
    </row>
    <row r="8" spans="1:12" ht="34" x14ac:dyDescent="0.4">
      <c r="B8" s="62" t="s">
        <v>82</v>
      </c>
      <c r="C8" s="76">
        <v>18.916079243072261</v>
      </c>
      <c r="D8" s="76">
        <v>17.2649296875</v>
      </c>
      <c r="E8" s="76">
        <v>20.74321484375</v>
      </c>
      <c r="F8" s="76">
        <v>20.4281015625</v>
      </c>
      <c r="G8" s="76">
        <v>22.831875</v>
      </c>
      <c r="H8" s="76">
        <v>17.738580078125</v>
      </c>
      <c r="I8" s="76">
        <v>22.034468749999998</v>
      </c>
      <c r="J8" s="76">
        <v>22.684060546874999</v>
      </c>
      <c r="K8" s="76">
        <v>23.55756640625</v>
      </c>
      <c r="L8" s="76">
        <f t="shared" si="1"/>
        <v>4.6414871631777395</v>
      </c>
    </row>
    <row r="9" spans="1:12" ht="34" x14ac:dyDescent="0.4">
      <c r="B9" s="62" t="s">
        <v>188</v>
      </c>
      <c r="C9" s="76">
        <v>5.1819143745614014</v>
      </c>
      <c r="D9" s="76">
        <v>8.1738325195312491</v>
      </c>
      <c r="E9" s="76">
        <v>9.8317968750000002</v>
      </c>
      <c r="F9" s="76">
        <v>5.9285283203125001</v>
      </c>
      <c r="G9" s="76">
        <v>6.211818359375</v>
      </c>
      <c r="H9" s="76">
        <v>4.9419809570312498</v>
      </c>
      <c r="I9" s="76">
        <v>5.1649755859375004</v>
      </c>
      <c r="J9" s="76">
        <v>5.45004296875</v>
      </c>
      <c r="K9" s="76">
        <v>5.1497910156250004</v>
      </c>
      <c r="L9" s="76">
        <f t="shared" si="1"/>
        <v>-3.2123358936400948E-2</v>
      </c>
    </row>
    <row r="10" spans="1:12" ht="34" x14ac:dyDescent="0.4">
      <c r="B10" s="62" t="s">
        <v>189</v>
      </c>
      <c r="C10" s="76">
        <v>1.7606284926203615</v>
      </c>
      <c r="D10" s="76">
        <v>1.5043250732421876</v>
      </c>
      <c r="E10" s="76">
        <v>1.7829779052734376</v>
      </c>
      <c r="F10" s="76">
        <v>2.2040979003906251</v>
      </c>
      <c r="G10" s="76">
        <v>2.5595915527343749</v>
      </c>
      <c r="H10" s="76">
        <v>2.4258754882812501</v>
      </c>
      <c r="I10" s="76">
        <v>3.8087641601562501</v>
      </c>
      <c r="J10" s="76">
        <v>3.950642333984375</v>
      </c>
      <c r="K10" s="76">
        <v>4.82270166015625</v>
      </c>
      <c r="L10" s="76">
        <f t="shared" si="1"/>
        <v>3.0620731675358885</v>
      </c>
    </row>
    <row r="11" spans="1:12" ht="34" x14ac:dyDescent="0.4">
      <c r="B11" s="62" t="s">
        <v>190</v>
      </c>
      <c r="C11" s="76">
        <v>2.9617661722785193</v>
      </c>
      <c r="D11" s="76">
        <v>3.4281208496093751</v>
      </c>
      <c r="E11" s="76">
        <v>4.1201162109374998</v>
      </c>
      <c r="F11" s="76">
        <v>5.3724467773437503</v>
      </c>
      <c r="G11" s="76">
        <v>4.7540834960937497</v>
      </c>
      <c r="H11" s="76">
        <v>4.9432041015625003</v>
      </c>
      <c r="I11" s="76">
        <v>7.0946367187500003</v>
      </c>
      <c r="J11" s="76">
        <v>13.663307617187501</v>
      </c>
      <c r="K11" s="76">
        <v>15.392607421875001</v>
      </c>
      <c r="L11" s="76">
        <f t="shared" si="1"/>
        <v>12.430841249596481</v>
      </c>
    </row>
    <row r="12" spans="1:12" ht="34" x14ac:dyDescent="0.4">
      <c r="B12" s="62" t="s">
        <v>191</v>
      </c>
      <c r="C12" s="76">
        <v>0.24369349684162625</v>
      </c>
      <c r="D12" s="76">
        <v>1.3561234130859374</v>
      </c>
      <c r="E12" s="76">
        <v>0.24979504394531249</v>
      </c>
      <c r="F12" s="76">
        <v>0.32628558349609377</v>
      </c>
      <c r="G12" s="76">
        <v>0.31918817138671873</v>
      </c>
      <c r="H12" s="76">
        <v>0.38608837890624997</v>
      </c>
      <c r="I12" s="76">
        <v>0.67444708251953123</v>
      </c>
      <c r="J12" s="76">
        <v>0.84911639404296879</v>
      </c>
      <c r="K12" s="76">
        <v>1.1161583251953124</v>
      </c>
      <c r="L12" s="76">
        <f t="shared" si="1"/>
        <v>0.87246482835368622</v>
      </c>
    </row>
    <row r="13" spans="1:12" ht="34" x14ac:dyDescent="0.4">
      <c r="B13" s="62" t="s">
        <v>192</v>
      </c>
      <c r="C13" s="76">
        <v>2.7148693656359137</v>
      </c>
      <c r="D13" s="76">
        <v>2.5930795898437502</v>
      </c>
      <c r="E13" s="76">
        <v>3.0702944335937499</v>
      </c>
      <c r="F13" s="76">
        <v>3.7940058593749999</v>
      </c>
      <c r="G13" s="76">
        <v>3.5911086425781251</v>
      </c>
      <c r="H13" s="76">
        <v>3.9956921386718749</v>
      </c>
      <c r="I13" s="76">
        <v>5.6167314453125003</v>
      </c>
      <c r="J13" s="76">
        <v>5.975568359375</v>
      </c>
      <c r="K13" s="76">
        <v>6.4310976562500004</v>
      </c>
      <c r="L13" s="76">
        <f t="shared" si="1"/>
        <v>3.7162282906140867</v>
      </c>
    </row>
    <row r="14" spans="1:12" ht="34" x14ac:dyDescent="0.4">
      <c r="B14" s="62" t="s">
        <v>71</v>
      </c>
      <c r="C14" s="76">
        <v>32.084129887442167</v>
      </c>
      <c r="D14" s="76">
        <v>26.72446875</v>
      </c>
      <c r="E14" s="76">
        <v>29.71426953125</v>
      </c>
      <c r="F14" s="76">
        <v>35.157660156250003</v>
      </c>
      <c r="G14" s="76">
        <v>30.850382812500001</v>
      </c>
      <c r="H14" s="76">
        <v>34.341148437500003</v>
      </c>
      <c r="I14" s="76">
        <v>48.485117187500002</v>
      </c>
      <c r="J14" s="76">
        <v>55.629105468749998</v>
      </c>
      <c r="K14" s="76">
        <v>68.760929687499996</v>
      </c>
      <c r="L14" s="76">
        <f t="shared" si="1"/>
        <v>36.676799800057829</v>
      </c>
    </row>
    <row r="15" spans="1:12" ht="34" x14ac:dyDescent="0.4">
      <c r="B15" s="62" t="s">
        <v>75</v>
      </c>
      <c r="C15" s="76">
        <v>54.904338589641874</v>
      </c>
      <c r="D15" s="76">
        <v>48.080437500000002</v>
      </c>
      <c r="E15" s="76">
        <v>52.678914062499999</v>
      </c>
      <c r="F15" s="76">
        <v>62.847878906250003</v>
      </c>
      <c r="G15" s="76">
        <v>56.658515625</v>
      </c>
      <c r="H15" s="76">
        <v>62.152464843750003</v>
      </c>
      <c r="I15" s="76">
        <v>91.622179687499994</v>
      </c>
      <c r="J15" s="76">
        <v>103.81657812500001</v>
      </c>
      <c r="K15" s="76">
        <v>114.4947109375</v>
      </c>
      <c r="L15" s="76">
        <f t="shared" si="1"/>
        <v>59.590372347858128</v>
      </c>
    </row>
    <row r="16" spans="1:12" ht="34" x14ac:dyDescent="0.4">
      <c r="B16" s="62" t="s">
        <v>193</v>
      </c>
      <c r="C16" s="76">
        <v>1.0465124601954992</v>
      </c>
      <c r="D16" s="76">
        <v>1.2798070068359375</v>
      </c>
      <c r="E16" s="76">
        <v>1.4379422607421875</v>
      </c>
      <c r="F16" s="76">
        <v>1.6476365966796875</v>
      </c>
      <c r="G16" s="76">
        <v>1.7490096435546876</v>
      </c>
      <c r="H16" s="76">
        <v>2.1027563476562499</v>
      </c>
      <c r="I16" s="76">
        <v>3.5837238769531252</v>
      </c>
      <c r="J16" s="76">
        <v>12.199029296875</v>
      </c>
      <c r="K16" s="76">
        <v>11.565127929687501</v>
      </c>
      <c r="L16" s="76">
        <f t="shared" si="1"/>
        <v>10.518615469492001</v>
      </c>
    </row>
    <row r="17" spans="2:12" ht="34" x14ac:dyDescent="0.4">
      <c r="B17" s="62" t="s">
        <v>194</v>
      </c>
      <c r="C17" s="76">
        <v>2.3948890539900791</v>
      </c>
      <c r="D17" s="76">
        <v>2.5179787597656249</v>
      </c>
      <c r="E17" s="76">
        <v>2.9332868652343751</v>
      </c>
      <c r="F17" s="76">
        <v>3.8845405273437499</v>
      </c>
      <c r="G17" s="76">
        <v>3.8571726074218748</v>
      </c>
      <c r="H17" s="76">
        <v>4.4652846679687501</v>
      </c>
      <c r="I17" s="76">
        <v>22.328775390625001</v>
      </c>
      <c r="J17" s="76">
        <v>5.6510825195312497</v>
      </c>
      <c r="K17" s="76">
        <v>7.0133227539062499</v>
      </c>
      <c r="L17" s="76">
        <f t="shared" si="1"/>
        <v>4.6184336999161708</v>
      </c>
    </row>
    <row r="18" spans="2:12" ht="34" x14ac:dyDescent="0.4">
      <c r="B18" s="62" t="s">
        <v>195</v>
      </c>
      <c r="C18" s="76">
        <v>0.43774676216057212</v>
      </c>
      <c r="D18" s="76">
        <v>1.1132945556640625</v>
      </c>
      <c r="E18" s="76">
        <v>0.67308154296875</v>
      </c>
      <c r="F18" s="76">
        <v>1.0003824462890625</v>
      </c>
      <c r="G18" s="76">
        <v>0.95730273437500002</v>
      </c>
      <c r="H18" s="76">
        <v>0.47046734619140623</v>
      </c>
      <c r="I18" s="76">
        <v>0.8242053833007813</v>
      </c>
      <c r="J18" s="76">
        <v>0.529824951171875</v>
      </c>
      <c r="K18" s="76">
        <v>0.53261145019531253</v>
      </c>
      <c r="L18" s="76">
        <f t="shared" si="1"/>
        <v>9.4864688034740408E-2</v>
      </c>
    </row>
    <row r="19" spans="2:12" ht="34" x14ac:dyDescent="0.4">
      <c r="B19" s="62" t="s">
        <v>196</v>
      </c>
      <c r="C19" s="76">
        <v>0.68065831999156556</v>
      </c>
      <c r="D19" s="76">
        <v>3.4455759277343749</v>
      </c>
      <c r="E19" s="76">
        <v>4.2822998046874998</v>
      </c>
      <c r="F19" s="76">
        <v>5.0535019531250001</v>
      </c>
      <c r="G19" s="76">
        <v>5.6994458007812501</v>
      </c>
      <c r="H19" s="76">
        <v>3.78565087890625</v>
      </c>
      <c r="I19" s="76">
        <v>4.9455859374999998</v>
      </c>
      <c r="J19" s="76">
        <v>5.3824414062499999</v>
      </c>
      <c r="K19" s="76">
        <v>5.4759531250000002</v>
      </c>
      <c r="L19" s="76">
        <f t="shared" si="1"/>
        <v>4.7952948050084343</v>
      </c>
    </row>
    <row r="20" spans="2:12" ht="34" x14ac:dyDescent="0.4">
      <c r="B20" s="62" t="s">
        <v>74</v>
      </c>
      <c r="C20" s="76">
        <v>22.702482961511631</v>
      </c>
      <c r="D20" s="76">
        <v>16.082295898437501</v>
      </c>
      <c r="E20" s="76">
        <v>18.279232421875001</v>
      </c>
      <c r="F20" s="76">
        <v>22.305781249999999</v>
      </c>
      <c r="G20" s="76">
        <v>19.497250000000001</v>
      </c>
      <c r="H20" s="76">
        <v>21.395396484374999</v>
      </c>
      <c r="I20" s="76">
        <v>30.649314453125001</v>
      </c>
      <c r="J20" s="76">
        <v>28.988886718749999</v>
      </c>
      <c r="K20" s="76">
        <v>35.560769531250003</v>
      </c>
      <c r="L20" s="76">
        <f t="shared" si="1"/>
        <v>12.858286569738372</v>
      </c>
    </row>
    <row r="21" spans="2:12" ht="34" x14ac:dyDescent="0.4">
      <c r="B21" s="62" t="s">
        <v>73</v>
      </c>
      <c r="C21" s="76">
        <v>8.5543737634504904</v>
      </c>
      <c r="D21" s="76">
        <v>9.1259999999999994</v>
      </c>
      <c r="E21" s="76">
        <v>10.688244140625001</v>
      </c>
      <c r="F21" s="76">
        <v>12.0840126953125</v>
      </c>
      <c r="G21" s="76">
        <v>12.641082031250001</v>
      </c>
      <c r="H21" s="76">
        <v>11.830467773437499</v>
      </c>
      <c r="I21" s="76">
        <v>15.70000390625</v>
      </c>
      <c r="J21" s="76">
        <v>15.269031249999999</v>
      </c>
      <c r="K21" s="76">
        <v>15.5317099609375</v>
      </c>
      <c r="L21" s="76">
        <f t="shared" si="1"/>
        <v>6.9773361974870092</v>
      </c>
    </row>
    <row r="22" spans="2:12" ht="34" x14ac:dyDescent="0.4">
      <c r="B22" s="62" t="s">
        <v>197</v>
      </c>
      <c r="C22" s="76">
        <v>4.8346318555725984</v>
      </c>
      <c r="D22" s="76">
        <v>8.205095703125</v>
      </c>
      <c r="E22" s="76">
        <v>5.6662558593750001</v>
      </c>
      <c r="F22" s="76">
        <v>6.7541030273437501</v>
      </c>
      <c r="G22" s="76">
        <v>6.8632089843750004</v>
      </c>
      <c r="H22" s="76">
        <v>6.35995458984375</v>
      </c>
      <c r="I22" s="76">
        <v>7.1068779296875002</v>
      </c>
      <c r="J22" s="76">
        <v>8.0795688476562493</v>
      </c>
      <c r="K22" s="76">
        <v>8.9868632812500007</v>
      </c>
      <c r="L22" s="76">
        <f t="shared" si="1"/>
        <v>4.1522314256774022</v>
      </c>
    </row>
    <row r="23" spans="2:12" ht="34" x14ac:dyDescent="0.4">
      <c r="B23" s="62" t="s">
        <v>198</v>
      </c>
      <c r="C23" s="76">
        <v>0.20097896727392819</v>
      </c>
      <c r="D23" s="76">
        <v>0.18871783447265625</v>
      </c>
      <c r="E23" s="76">
        <v>0.24129722595214845</v>
      </c>
      <c r="F23" s="76">
        <v>0.35330615234375001</v>
      </c>
      <c r="G23" s="76">
        <v>0.31022470092773435</v>
      </c>
      <c r="H23" s="76">
        <v>0.36441296386718752</v>
      </c>
      <c r="I23" s="76">
        <v>0.56526208496093755</v>
      </c>
      <c r="J23" s="76">
        <v>0.69642877197265629</v>
      </c>
      <c r="K23" s="76">
        <v>0.83545074462890623</v>
      </c>
      <c r="L23" s="76">
        <f t="shared" si="1"/>
        <v>0.63447177735497806</v>
      </c>
    </row>
    <row r="24" spans="2:12" ht="34" x14ac:dyDescent="0.4">
      <c r="B24" s="62" t="s">
        <v>81</v>
      </c>
      <c r="C24" s="76">
        <v>13.095889552074285</v>
      </c>
      <c r="D24" s="76">
        <v>10.409977539062499</v>
      </c>
      <c r="E24" s="76">
        <v>12.5532841796875</v>
      </c>
      <c r="F24" s="76">
        <v>15.32830859375</v>
      </c>
      <c r="G24" s="76">
        <v>16.979451171874999</v>
      </c>
      <c r="H24" s="76">
        <v>13.011443359375001</v>
      </c>
      <c r="I24" s="76">
        <v>15.312591796874999</v>
      </c>
      <c r="J24" s="76">
        <v>16.733880859374999</v>
      </c>
      <c r="K24" s="76">
        <v>17.913814453124999</v>
      </c>
      <c r="L24" s="76">
        <f t="shared" si="1"/>
        <v>4.8179249010507146</v>
      </c>
    </row>
    <row r="25" spans="2:12" ht="34" x14ac:dyDescent="0.4">
      <c r="B25" s="62" t="s">
        <v>199</v>
      </c>
      <c r="C25" s="76">
        <v>1.5234433952929838</v>
      </c>
      <c r="D25" s="76">
        <v>3.1432941894531252</v>
      </c>
      <c r="E25" s="76">
        <v>1.9232268066406251</v>
      </c>
      <c r="F25" s="76">
        <v>2.1794755859374999</v>
      </c>
      <c r="G25" s="76">
        <v>2.4279616699218751</v>
      </c>
      <c r="H25" s="76">
        <v>2.3213945312500002</v>
      </c>
      <c r="I25" s="76">
        <v>2.5135329589843751</v>
      </c>
      <c r="J25" s="76">
        <v>2.7944895019531248</v>
      </c>
      <c r="K25" s="76">
        <v>2.6958496093750002</v>
      </c>
      <c r="L25" s="76">
        <f t="shared" si="1"/>
        <v>1.1724062140820164</v>
      </c>
    </row>
    <row r="26" spans="2:12" ht="34" x14ac:dyDescent="0.4">
      <c r="B26" s="62" t="s">
        <v>200</v>
      </c>
      <c r="C26" s="76">
        <v>5.2156647064681243</v>
      </c>
      <c r="D26" s="76">
        <v>5.4189218749999997</v>
      </c>
      <c r="E26" s="76">
        <v>5.7767695312500003</v>
      </c>
      <c r="F26" s="76">
        <v>6.0476210937500001</v>
      </c>
      <c r="G26" s="76">
        <v>6.3963862304687504</v>
      </c>
      <c r="H26" s="76">
        <v>6.0655888671874996</v>
      </c>
      <c r="I26" s="76">
        <v>6.9989541015625001</v>
      </c>
      <c r="J26" s="76">
        <v>7.2802788085937502</v>
      </c>
      <c r="K26" s="76">
        <v>7.9637988281250003</v>
      </c>
      <c r="L26" s="76">
        <f t="shared" si="1"/>
        <v>2.748134121656876</v>
      </c>
    </row>
    <row r="27" spans="2:12" ht="34" x14ac:dyDescent="0.4">
      <c r="B27" s="62" t="s">
        <v>201</v>
      </c>
      <c r="C27" s="76">
        <v>3.6958663942036614</v>
      </c>
      <c r="D27" s="76">
        <v>3.3679458007812499</v>
      </c>
      <c r="E27" s="76">
        <v>3.9227966308593749</v>
      </c>
      <c r="F27" s="76">
        <v>5.2246767578125004</v>
      </c>
      <c r="G27" s="76">
        <v>4.3870883789062498</v>
      </c>
      <c r="H27" s="76">
        <v>5.4228588867187497</v>
      </c>
      <c r="I27" s="76">
        <v>7.5920185546874999</v>
      </c>
      <c r="J27" s="76">
        <v>8.4987460937500003</v>
      </c>
      <c r="K27" s="76">
        <v>9.8356972656250008</v>
      </c>
      <c r="L27" s="76">
        <f t="shared" si="1"/>
        <v>6.1398308714213394</v>
      </c>
    </row>
    <row r="28" spans="2:12" ht="34" x14ac:dyDescent="0.4">
      <c r="B28" s="62" t="s">
        <v>202</v>
      </c>
      <c r="C28" s="76">
        <v>2.6381822918681346</v>
      </c>
      <c r="D28" s="76">
        <v>2.1440644531249999</v>
      </c>
      <c r="E28" s="76">
        <v>2.3902883300781248</v>
      </c>
      <c r="F28" s="76">
        <v>2.759203125</v>
      </c>
      <c r="G28" s="76">
        <v>2.723029052734375</v>
      </c>
      <c r="H28" s="76">
        <v>2.9265319824218752</v>
      </c>
      <c r="I28" s="76">
        <v>3.6056271972656249</v>
      </c>
      <c r="J28" s="76">
        <v>3.9392673339843749</v>
      </c>
      <c r="K28" s="76">
        <v>4.8239492187500002</v>
      </c>
      <c r="L28" s="76">
        <f t="shared" si="1"/>
        <v>2.1857669268818656</v>
      </c>
    </row>
    <row r="29" spans="2:12" ht="34" x14ac:dyDescent="0.4">
      <c r="B29" s="62" t="s">
        <v>203</v>
      </c>
      <c r="C29" s="76">
        <v>0.63681356041207426</v>
      </c>
      <c r="D29" s="76">
        <v>0.64672973632812503</v>
      </c>
      <c r="E29" s="76">
        <v>0.70022192382812498</v>
      </c>
      <c r="F29" s="76">
        <v>0.86015557861328129</v>
      </c>
      <c r="G29" s="76">
        <v>0.75721533203125002</v>
      </c>
      <c r="H29" s="76">
        <v>0.6715783081054687</v>
      </c>
      <c r="I29" s="76">
        <v>1.1599840087890625</v>
      </c>
      <c r="J29" s="76">
        <v>1.1364510498046876</v>
      </c>
      <c r="K29" s="76">
        <v>1.38008544921875</v>
      </c>
      <c r="L29" s="76">
        <f t="shared" si="1"/>
        <v>0.74327188880667572</v>
      </c>
    </row>
    <row r="30" spans="2:12" ht="34" x14ac:dyDescent="0.4">
      <c r="B30" s="62" t="s">
        <v>204</v>
      </c>
      <c r="C30" s="76">
        <v>0.22529901009808276</v>
      </c>
      <c r="D30" s="76">
        <v>0.4547602844238281</v>
      </c>
      <c r="E30" s="76">
        <v>1.1391976318359376</v>
      </c>
      <c r="F30" s="76">
        <v>0.3063565979003906</v>
      </c>
      <c r="G30" s="76">
        <v>0.27016238403320314</v>
      </c>
      <c r="H30" s="76">
        <v>0.4040727844238281</v>
      </c>
      <c r="I30" s="76">
        <v>0.59517376708984371</v>
      </c>
      <c r="J30" s="76">
        <v>0.7804268188476563</v>
      </c>
      <c r="K30" s="76">
        <v>0.8448554077148438</v>
      </c>
      <c r="L30" s="76">
        <f t="shared" si="1"/>
        <v>0.61955639761676107</v>
      </c>
    </row>
    <row r="31" spans="2:12" ht="34" x14ac:dyDescent="0.4">
      <c r="B31" s="62" t="s">
        <v>72</v>
      </c>
      <c r="C31" s="76">
        <v>14.362071520602967</v>
      </c>
      <c r="D31" s="76">
        <v>10.059783203125001</v>
      </c>
      <c r="E31" s="76">
        <v>12.1839248046875</v>
      </c>
      <c r="F31" s="76">
        <v>14.8143828125</v>
      </c>
      <c r="G31" s="76">
        <v>12.164155273437499</v>
      </c>
      <c r="H31" s="76">
        <v>13.500837890625</v>
      </c>
      <c r="I31" s="76">
        <v>19.920203125</v>
      </c>
      <c r="J31" s="76">
        <v>20.23976171875</v>
      </c>
      <c r="K31" s="76">
        <v>23.262337890624998</v>
      </c>
      <c r="L31" s="76">
        <f t="shared" si="1"/>
        <v>8.900266370022031</v>
      </c>
    </row>
    <row r="32" spans="2:12" ht="34" x14ac:dyDescent="0.4">
      <c r="B32" s="62" t="s">
        <v>205</v>
      </c>
      <c r="C32" s="76">
        <v>8.5410900580049951</v>
      </c>
      <c r="D32" s="76">
        <v>6.8822705078124997</v>
      </c>
      <c r="E32" s="76">
        <v>8.1309213867187502</v>
      </c>
      <c r="F32" s="76">
        <v>9.8616015625000006</v>
      </c>
      <c r="G32" s="76">
        <v>8.8596083984374996</v>
      </c>
      <c r="H32" s="76">
        <v>10.010937500000001</v>
      </c>
      <c r="I32" s="76">
        <v>14.7381328125</v>
      </c>
      <c r="J32" s="76">
        <v>14.9512412109375</v>
      </c>
      <c r="K32" s="76">
        <v>16.41658984375</v>
      </c>
      <c r="L32" s="76">
        <f t="shared" si="1"/>
        <v>7.8754997857450046</v>
      </c>
    </row>
    <row r="33" spans="2:12" ht="34" x14ac:dyDescent="0.4">
      <c r="B33" s="62" t="s">
        <v>206</v>
      </c>
      <c r="C33" s="76">
        <v>4.9754928205897597</v>
      </c>
      <c r="D33" s="76">
        <v>3.48500927734375</v>
      </c>
      <c r="E33" s="76">
        <v>3.9062277832031249</v>
      </c>
      <c r="F33" s="76">
        <v>4.0390871582031247</v>
      </c>
      <c r="G33" s="76">
        <v>4.1475947265624997</v>
      </c>
      <c r="H33" s="76">
        <v>3.8207541503906248</v>
      </c>
      <c r="I33" s="76">
        <v>3.5900954589843752</v>
      </c>
      <c r="J33" s="76">
        <v>4.2399321289062497</v>
      </c>
      <c r="K33" s="76">
        <v>5.7679907226562497</v>
      </c>
      <c r="L33" s="76">
        <f t="shared" si="1"/>
        <v>0.79249790206648996</v>
      </c>
    </row>
    <row r="34" spans="2:12" ht="34" x14ac:dyDescent="0.4">
      <c r="B34" s="62" t="s">
        <v>70</v>
      </c>
      <c r="C34" s="76">
        <v>61.500900683046368</v>
      </c>
      <c r="D34" s="76">
        <v>52.451773437500002</v>
      </c>
      <c r="E34" s="76">
        <v>58.358070312499997</v>
      </c>
      <c r="F34" s="76">
        <v>72.917304687500007</v>
      </c>
      <c r="G34" s="76">
        <v>74.133007812499997</v>
      </c>
      <c r="H34" s="76">
        <v>74.738984375000001</v>
      </c>
      <c r="I34" s="76">
        <v>101.3621796875</v>
      </c>
      <c r="J34" s="76">
        <v>91.535539062500007</v>
      </c>
      <c r="K34" s="76">
        <v>102.8729921875</v>
      </c>
      <c r="L34" s="76">
        <f t="shared" si="1"/>
        <v>41.372091504453635</v>
      </c>
    </row>
    <row r="35" spans="2:12" ht="34" x14ac:dyDescent="0.4">
      <c r="B35" s="72" t="s">
        <v>67</v>
      </c>
      <c r="C35" s="73">
        <v>142.56530860350179</v>
      </c>
      <c r="D35" s="73">
        <v>110.1031015625</v>
      </c>
      <c r="E35" s="73">
        <v>131.64015624999999</v>
      </c>
      <c r="F35" s="73">
        <v>135.53209375</v>
      </c>
      <c r="G35" s="73">
        <v>150.74671875000001</v>
      </c>
      <c r="H35" s="73">
        <v>124.7068046875</v>
      </c>
      <c r="I35" s="73">
        <v>159.70460937499999</v>
      </c>
      <c r="J35" s="73">
        <v>165.012546875</v>
      </c>
      <c r="K35" s="73">
        <v>176.03378125</v>
      </c>
      <c r="L35" s="73">
        <f t="shared" si="1"/>
        <v>33.468472646498213</v>
      </c>
    </row>
    <row r="36" spans="2:12" ht="40" customHeight="1" x14ac:dyDescent="0.4">
      <c r="B36" s="362" t="s">
        <v>207</v>
      </c>
      <c r="D36" s="76"/>
      <c r="E36" s="76"/>
      <c r="F36" s="76"/>
      <c r="G36" s="76"/>
      <c r="H36" s="76"/>
      <c r="I36" s="76"/>
      <c r="J36" s="76"/>
      <c r="K36" s="76"/>
      <c r="L36" s="76"/>
    </row>
    <row r="37" spans="2:12" ht="40" customHeight="1" x14ac:dyDescent="0.4">
      <c r="B37" s="62" t="s">
        <v>83</v>
      </c>
      <c r="C37" s="76">
        <v>14.212064614009524</v>
      </c>
      <c r="D37" s="76">
        <v>16.007399414062501</v>
      </c>
      <c r="E37" s="76">
        <v>19.762140625000001</v>
      </c>
      <c r="F37" s="76">
        <v>19.502048828125002</v>
      </c>
      <c r="G37" s="76">
        <v>20.312287109374999</v>
      </c>
      <c r="H37" s="76">
        <v>16.092626953124999</v>
      </c>
      <c r="I37" s="76">
        <v>18.749697265624999</v>
      </c>
      <c r="J37" s="76">
        <v>20.816107421875</v>
      </c>
      <c r="K37" s="76">
        <v>24.106958984375002</v>
      </c>
      <c r="L37" s="76">
        <f t="shared" si="1"/>
        <v>9.8948943703654777</v>
      </c>
    </row>
    <row r="38" spans="2:12" ht="34" x14ac:dyDescent="0.4">
      <c r="B38" s="62" t="s">
        <v>208</v>
      </c>
      <c r="C38" s="76">
        <v>60.525807931300939</v>
      </c>
      <c r="D38" s="76">
        <v>52.973238281249998</v>
      </c>
      <c r="E38" s="76">
        <v>59.652226562499997</v>
      </c>
      <c r="F38" s="76">
        <v>67.205648437500003</v>
      </c>
      <c r="G38" s="76">
        <v>72.768648437500005</v>
      </c>
      <c r="H38" s="76">
        <v>61.515386718750001</v>
      </c>
      <c r="I38" s="76">
        <v>78.395632812499997</v>
      </c>
      <c r="J38" s="76">
        <v>77.750343749999999</v>
      </c>
      <c r="K38" s="76">
        <v>74.011695312499995</v>
      </c>
      <c r="L38" s="76">
        <f t="shared" si="1"/>
        <v>13.485887381199056</v>
      </c>
    </row>
    <row r="39" spans="2:12" ht="34" x14ac:dyDescent="0.4">
      <c r="B39" s="62" t="s">
        <v>209</v>
      </c>
      <c r="C39" s="76">
        <v>1.4036174395306298</v>
      </c>
      <c r="D39" s="76">
        <v>1.9238685302734375</v>
      </c>
      <c r="E39" s="76">
        <v>1.356371337890625</v>
      </c>
      <c r="F39" s="76">
        <v>1.472696533203125</v>
      </c>
      <c r="G39" s="76">
        <v>1.5672735595703124</v>
      </c>
      <c r="H39" s="76">
        <v>0.95598974609374998</v>
      </c>
      <c r="I39" s="76">
        <v>1.049454833984375</v>
      </c>
      <c r="J39" s="76">
        <v>1.0915755615234375</v>
      </c>
      <c r="K39" s="76">
        <v>1.089800048828125</v>
      </c>
      <c r="L39" s="76">
        <f t="shared" si="1"/>
        <v>-0.31381739070250481</v>
      </c>
    </row>
    <row r="40" spans="2:12" ht="34" x14ac:dyDescent="0.4">
      <c r="B40" s="62" t="s">
        <v>210</v>
      </c>
      <c r="C40" s="76">
        <v>1.0575199886874607</v>
      </c>
      <c r="D40" s="76">
        <v>1.7306655273437499</v>
      </c>
      <c r="E40" s="76">
        <v>1.168792724609375</v>
      </c>
      <c r="F40" s="76">
        <v>1.3657080078124999</v>
      </c>
      <c r="G40" s="76">
        <v>1.548221923828125</v>
      </c>
      <c r="H40" s="76">
        <v>0.94418249511718755</v>
      </c>
      <c r="I40" s="76">
        <v>1.0822059326171876</v>
      </c>
      <c r="J40" s="76">
        <v>1.2336009521484375</v>
      </c>
      <c r="K40" s="76">
        <v>1.2290068359374999</v>
      </c>
      <c r="L40" s="76">
        <f t="shared" si="1"/>
        <v>0.17148684725003926</v>
      </c>
    </row>
    <row r="41" spans="2:12" ht="34" x14ac:dyDescent="0.4">
      <c r="B41" s="62" t="s">
        <v>84</v>
      </c>
      <c r="C41" s="76">
        <v>9.476399038744594</v>
      </c>
      <c r="D41" s="76">
        <v>9.0299091796875004</v>
      </c>
      <c r="E41" s="76">
        <v>12.0400810546875</v>
      </c>
      <c r="F41" s="76">
        <v>13.184817382812501</v>
      </c>
      <c r="G41" s="76">
        <v>12.946057617187501</v>
      </c>
      <c r="H41" s="76">
        <v>12.936928710937501</v>
      </c>
      <c r="I41" s="76">
        <v>16.700513671875001</v>
      </c>
      <c r="J41" s="76">
        <v>15.6361845703125</v>
      </c>
      <c r="K41" s="76">
        <v>19.624542968749999</v>
      </c>
      <c r="L41" s="76">
        <f t="shared" si="1"/>
        <v>10.148143930005405</v>
      </c>
    </row>
    <row r="42" spans="2:12" ht="34" x14ac:dyDescent="0.4">
      <c r="B42" s="62" t="s">
        <v>211</v>
      </c>
      <c r="C42" s="76">
        <v>11.84310434933391</v>
      </c>
      <c r="D42" s="76">
        <v>12.069619140625001</v>
      </c>
      <c r="E42" s="76">
        <v>14.181841796875</v>
      </c>
      <c r="F42" s="76">
        <v>14.691146484375</v>
      </c>
      <c r="G42" s="76">
        <v>16.588664062500001</v>
      </c>
      <c r="H42" s="76">
        <v>13.587608398437499</v>
      </c>
      <c r="I42" s="76">
        <v>16.504513671874999</v>
      </c>
      <c r="J42" s="76">
        <v>4.8896894531250004</v>
      </c>
      <c r="K42" s="76">
        <v>4.1818398437499997</v>
      </c>
      <c r="L42" s="76">
        <f t="shared" si="1"/>
        <v>-7.6612645055839099</v>
      </c>
    </row>
    <row r="43" spans="2:12" ht="34" x14ac:dyDescent="0.4">
      <c r="B43" s="62" t="s">
        <v>86</v>
      </c>
      <c r="C43" s="76">
        <v>4.0806445340819</v>
      </c>
      <c r="D43" s="76">
        <v>3.9318908691406249</v>
      </c>
      <c r="E43" s="76">
        <v>4.68263037109375</v>
      </c>
      <c r="F43" s="76">
        <v>4.8335957031249999</v>
      </c>
      <c r="G43" s="76">
        <v>5.1123124999999998</v>
      </c>
      <c r="H43" s="76">
        <v>4.4993359374999997</v>
      </c>
      <c r="I43" s="76">
        <v>6.6082099609374998</v>
      </c>
      <c r="J43" s="76">
        <v>6.3328095703124996</v>
      </c>
      <c r="K43" s="76">
        <v>5.742095703125</v>
      </c>
      <c r="L43" s="76">
        <f t="shared" si="1"/>
        <v>1.6614511690431</v>
      </c>
    </row>
    <row r="44" spans="2:12" ht="34" x14ac:dyDescent="0.4">
      <c r="B44" s="62" t="s">
        <v>212</v>
      </c>
      <c r="D44" s="76">
        <v>3.5223664550781248</v>
      </c>
      <c r="E44" s="76">
        <v>2.3056872558593748</v>
      </c>
      <c r="F44" s="76">
        <v>2.3560546874999999</v>
      </c>
      <c r="G44" s="76">
        <v>2.2923110351562501</v>
      </c>
      <c r="H44" s="76">
        <v>2.0849863281249998</v>
      </c>
      <c r="I44" s="76">
        <v>2.6730065917968751</v>
      </c>
      <c r="J44" s="76">
        <v>3.031487548828125</v>
      </c>
      <c r="K44" s="76">
        <v>3.3705187988281251</v>
      </c>
      <c r="L44" s="76">
        <f t="shared" si="1"/>
        <v>3.3705187988281251</v>
      </c>
    </row>
    <row r="45" spans="2:12" ht="34" x14ac:dyDescent="0.4">
      <c r="B45" s="62" t="s">
        <v>213</v>
      </c>
      <c r="D45" s="76">
        <v>0.40835543823242187</v>
      </c>
      <c r="E45" s="76">
        <v>0.42593988037109376</v>
      </c>
      <c r="F45" s="76">
        <v>0.39008547973632812</v>
      </c>
      <c r="G45" s="76">
        <v>0.42048492431640627</v>
      </c>
      <c r="H45" s="76">
        <v>0.56315551757812499</v>
      </c>
      <c r="I45" s="76">
        <v>0.80439355468749996</v>
      </c>
      <c r="J45" s="76">
        <v>0.80891571044921873</v>
      </c>
      <c r="K45" s="76">
        <v>0.81892480468749995</v>
      </c>
      <c r="L45" s="76">
        <f t="shared" si="1"/>
        <v>0.81892480468749995</v>
      </c>
    </row>
    <row r="46" spans="2:12" ht="34" x14ac:dyDescent="0.4">
      <c r="B46" s="62" t="s">
        <v>214</v>
      </c>
      <c r="D46" s="76">
        <v>8.6773212890624993</v>
      </c>
      <c r="E46" s="76">
        <v>10.3487041015625</v>
      </c>
      <c r="F46" s="76">
        <v>7.1690620117187498</v>
      </c>
      <c r="G46" s="76">
        <v>7.475791015625</v>
      </c>
      <c r="H46" s="76">
        <v>3.4169389648437498</v>
      </c>
      <c r="I46" s="76">
        <v>4.2734340820312502</v>
      </c>
      <c r="J46" s="76">
        <v>4.6725654296875003</v>
      </c>
      <c r="K46" s="76">
        <v>4.4840024414062496</v>
      </c>
      <c r="L46" s="76">
        <f t="shared" si="1"/>
        <v>4.4840024414062496</v>
      </c>
    </row>
    <row r="47" spans="2:12" ht="34" x14ac:dyDescent="0.4">
      <c r="B47" s="62" t="s">
        <v>215</v>
      </c>
      <c r="D47" s="76">
        <v>3.9256296386718752</v>
      </c>
      <c r="E47" s="76">
        <v>2.3000520019531252</v>
      </c>
      <c r="F47" s="76">
        <v>2.5908540039062502</v>
      </c>
      <c r="G47" s="76">
        <v>2.4209401855468751</v>
      </c>
      <c r="H47" s="76">
        <v>1.5805025634765626</v>
      </c>
      <c r="I47" s="76">
        <v>2.303355712890625</v>
      </c>
      <c r="J47" s="76">
        <v>1.8283271484375001</v>
      </c>
      <c r="K47" s="76">
        <v>1.7946958007812499</v>
      </c>
      <c r="L47" s="76">
        <f t="shared" si="1"/>
        <v>1.7946958007812499</v>
      </c>
    </row>
    <row r="48" spans="2:12" ht="34" x14ac:dyDescent="0.4">
      <c r="B48" s="62" t="s">
        <v>216</v>
      </c>
      <c r="D48" s="76">
        <v>8.1480615234374998</v>
      </c>
      <c r="E48" s="76">
        <v>5.5222861328124999</v>
      </c>
      <c r="F48" s="76">
        <v>6.9443671875000001</v>
      </c>
      <c r="G48" s="76">
        <v>8.0417768554687505</v>
      </c>
      <c r="H48" s="76">
        <v>6.5460283203124998</v>
      </c>
      <c r="I48" s="76">
        <v>5.9996997070312501</v>
      </c>
      <c r="J48" s="76">
        <v>7.7169663085937499</v>
      </c>
      <c r="K48" s="76">
        <v>7.6451015624999998</v>
      </c>
      <c r="L48" s="76">
        <f t="shared" si="1"/>
        <v>7.6451015624999998</v>
      </c>
    </row>
    <row r="49" spans="2:14" ht="34" x14ac:dyDescent="0.4">
      <c r="B49" s="62" t="s">
        <v>217</v>
      </c>
      <c r="D49" s="76">
        <v>1.427553466796875</v>
      </c>
      <c r="E49" s="76">
        <v>0.75180322265624999</v>
      </c>
      <c r="F49" s="76">
        <v>4.1673598632812503</v>
      </c>
      <c r="G49" s="76">
        <v>0.90945776367187503</v>
      </c>
      <c r="H49" s="76">
        <v>0.68858795166015629</v>
      </c>
      <c r="I49" s="76">
        <v>0.79849969482421879</v>
      </c>
      <c r="J49" s="76">
        <v>0.88189801025390624</v>
      </c>
      <c r="K49" s="76">
        <v>0.83762054443359379</v>
      </c>
      <c r="L49" s="76">
        <f t="shared" si="1"/>
        <v>0.83762054443359379</v>
      </c>
    </row>
    <row r="50" spans="2:14" ht="34" x14ac:dyDescent="0.4">
      <c r="B50" s="62" t="s">
        <v>218</v>
      </c>
      <c r="C50" s="76">
        <f>Table1!C11</f>
        <v>616</v>
      </c>
      <c r="D50" s="76">
        <f>Table1!D11</f>
        <v>733.29815673828125</v>
      </c>
      <c r="E50" s="76">
        <f>Table1!E11</f>
        <v>732.49969482421875</v>
      </c>
      <c r="F50" s="76">
        <f>Table1!F11</f>
        <v>821.514404296875</v>
      </c>
      <c r="G50" s="76">
        <f>Table1!G11</f>
        <v>889.954833984375</v>
      </c>
      <c r="H50" s="76">
        <f>Table1!H11</f>
        <v>716.5537109375</v>
      </c>
      <c r="I50" s="76">
        <f>Table1!I11</f>
        <v>932.0604248046875</v>
      </c>
      <c r="J50" s="76">
        <f>Table1!J11</f>
        <v>956.0498046875</v>
      </c>
      <c r="K50" s="76">
        <v>1038.373875</v>
      </c>
      <c r="L50" s="76">
        <f t="shared" si="1"/>
        <v>422.373875</v>
      </c>
      <c r="N50" s="60">
        <f>(K50-C50)/C50</f>
        <v>0.68567187500000004</v>
      </c>
    </row>
    <row r="51" spans="2:14" ht="34" x14ac:dyDescent="0.4">
      <c r="B51" s="72" t="s">
        <v>219</v>
      </c>
      <c r="C51" s="73">
        <f t="shared" ref="C51:J51" si="2">C50-SUM(C6:C49)</f>
        <v>78.256592312349767</v>
      </c>
      <c r="D51" s="73">
        <f t="shared" si="2"/>
        <v>231.809618713379</v>
      </c>
      <c r="E51" s="73">
        <f t="shared" si="2"/>
        <v>166.80995478820807</v>
      </c>
      <c r="F51" s="73">
        <f t="shared" si="2"/>
        <v>191.67416778564461</v>
      </c>
      <c r="G51" s="73">
        <f t="shared" si="2"/>
        <v>208.00386315917967</v>
      </c>
      <c r="H51" s="73">
        <f t="shared" si="2"/>
        <v>128.69583865356458</v>
      </c>
      <c r="I51" s="73">
        <f t="shared" si="2"/>
        <v>140.22020275878913</v>
      </c>
      <c r="J51" s="73">
        <f t="shared" si="2"/>
        <v>153.96043023681602</v>
      </c>
      <c r="K51" s="73">
        <v>164.11115624999999</v>
      </c>
      <c r="L51" s="73">
        <f t="shared" si="1"/>
        <v>85.854563937650227</v>
      </c>
    </row>
    <row r="52" spans="2:14" ht="34" x14ac:dyDescent="0.4">
      <c r="B52" s="362" t="s">
        <v>220</v>
      </c>
      <c r="D52" s="76"/>
      <c r="E52" s="76"/>
      <c r="F52" s="76"/>
      <c r="G52" s="76"/>
      <c r="H52" s="76"/>
      <c r="I52" s="76"/>
      <c r="J52" s="76"/>
      <c r="K52" s="76"/>
      <c r="L52" s="76"/>
    </row>
    <row r="53" spans="2:14" ht="39" customHeight="1" x14ac:dyDescent="0.4">
      <c r="B53" s="62" t="s">
        <v>65</v>
      </c>
      <c r="C53" s="76">
        <v>-13.106870602869716</v>
      </c>
      <c r="D53" s="76">
        <v>-34.265182495117188</v>
      </c>
      <c r="E53" s="76">
        <v>-28.663379669189453</v>
      </c>
      <c r="F53" s="76">
        <v>-38.331386566162109</v>
      </c>
      <c r="G53" s="76">
        <v>-34.630828857421875</v>
      </c>
      <c r="H53" s="76">
        <v>-21.143842697143555</v>
      </c>
      <c r="I53" s="76">
        <v>-38.378017425537109</v>
      </c>
      <c r="J53" s="76">
        <v>-39.143451690673828</v>
      </c>
      <c r="K53" s="76">
        <v>-33.442207336425781</v>
      </c>
      <c r="L53" s="76">
        <f>K53-C53</f>
        <v>-20.335336733556066</v>
      </c>
    </row>
    <row r="54" spans="2:14" ht="34" x14ac:dyDescent="0.4">
      <c r="B54" s="62" t="s">
        <v>61</v>
      </c>
      <c r="C54" s="76">
        <v>-58.152724672949248</v>
      </c>
      <c r="D54" s="76">
        <v>-69.455398559570312</v>
      </c>
      <c r="E54" s="76">
        <v>-79.451095581054688</v>
      </c>
      <c r="F54" s="76">
        <v>-91.692611694335938</v>
      </c>
      <c r="G54" s="76">
        <v>-104.65232086181641</v>
      </c>
      <c r="H54" s="76">
        <v>-80.127716064453125</v>
      </c>
      <c r="I54" s="76">
        <v>-103.99628448486328</v>
      </c>
      <c r="J54" s="76">
        <v>-94.62744140625</v>
      </c>
      <c r="K54" s="76">
        <v>-103.00428771972656</v>
      </c>
      <c r="L54" s="76">
        <f t="shared" ref="L54:L64" si="3">K54-C54</f>
        <v>-44.851563046777315</v>
      </c>
    </row>
    <row r="55" spans="2:14" ht="34" x14ac:dyDescent="0.4">
      <c r="B55" s="62" t="s">
        <v>59</v>
      </c>
      <c r="C55" s="76">
        <v>-106.3289638729139</v>
      </c>
      <c r="D55" s="76">
        <v>-114.45719146728516</v>
      </c>
      <c r="E55" s="76">
        <v>-131.28910827636719</v>
      </c>
      <c r="F55" s="76">
        <v>-134.5303955078125</v>
      </c>
      <c r="G55" s="76">
        <v>-143.35600280761719</v>
      </c>
      <c r="H55" s="76">
        <v>-140.35823059082031</v>
      </c>
      <c r="I55" s="76">
        <v>-141.34529113769531</v>
      </c>
      <c r="J55" s="76">
        <v>-170.11869812011719</v>
      </c>
      <c r="K55" s="76">
        <v>-183.83470153808594</v>
      </c>
      <c r="L55" s="76">
        <f t="shared" si="3"/>
        <v>-77.505737665172035</v>
      </c>
    </row>
    <row r="56" spans="2:14" ht="34" x14ac:dyDescent="0.4">
      <c r="B56" s="62" t="s">
        <v>60</v>
      </c>
      <c r="C56" s="76">
        <v>-46.799572185855702</v>
      </c>
      <c r="D56" s="76">
        <v>-41.564579010009766</v>
      </c>
      <c r="E56" s="76">
        <v>-62.003982543945312</v>
      </c>
      <c r="F56" s="76">
        <v>-78.740570068359375</v>
      </c>
      <c r="G56" s="76">
        <v>-1.3270282745361328</v>
      </c>
      <c r="H56" s="76">
        <v>-33.842731475830078</v>
      </c>
      <c r="I56" s="76">
        <v>-78.390678405761719</v>
      </c>
      <c r="J56" s="76">
        <v>-74.282112121582031</v>
      </c>
      <c r="K56" s="76">
        <v>-97.495506286621094</v>
      </c>
      <c r="L56" s="76">
        <f t="shared" si="3"/>
        <v>-50.695934100765392</v>
      </c>
    </row>
    <row r="57" spans="2:14" ht="34" x14ac:dyDescent="0.4">
      <c r="B57" s="62" t="s">
        <v>221</v>
      </c>
      <c r="C57" s="76">
        <v>-57.353364287520073</v>
      </c>
      <c r="D57" s="76">
        <v>-143.48686218261719</v>
      </c>
      <c r="E57" s="76">
        <v>-114.30734252929688</v>
      </c>
      <c r="F57" s="76">
        <v>-143.77296447753906</v>
      </c>
      <c r="G57" s="76">
        <v>-168.72900390625</v>
      </c>
      <c r="H57" s="76">
        <v>-111.09264373779297</v>
      </c>
      <c r="I57" s="76">
        <v>-145.30979919433594</v>
      </c>
      <c r="J57" s="76">
        <v>-153.20826721191406</v>
      </c>
      <c r="K57" s="76">
        <v>-164.25357055664062</v>
      </c>
      <c r="L57" s="76">
        <f t="shared" si="3"/>
        <v>-106.90020626912056</v>
      </c>
    </row>
    <row r="58" spans="2:14" ht="34" x14ac:dyDescent="0.4">
      <c r="B58" s="62" t="s">
        <v>222</v>
      </c>
      <c r="C58" s="76">
        <v>-12.327426958163089</v>
      </c>
      <c r="D58" s="76">
        <v>-1.9957923889160156</v>
      </c>
      <c r="E58" s="76">
        <v>-2.0674948692321777</v>
      </c>
      <c r="F58" s="76">
        <v>-2.3359508514404297</v>
      </c>
      <c r="G58" s="76">
        <v>-3.8277761936187744</v>
      </c>
      <c r="H58" s="76">
        <v>-3.7394869327545166</v>
      </c>
      <c r="I58" s="76">
        <v>-3.014585018157959</v>
      </c>
      <c r="J58" s="76">
        <v>-2.4487838745117188</v>
      </c>
      <c r="K58" s="76">
        <v>-13.257401466369629</v>
      </c>
      <c r="L58" s="76">
        <f t="shared" si="3"/>
        <v>-0.9299745082065396</v>
      </c>
    </row>
    <row r="59" spans="2:14" ht="34" x14ac:dyDescent="0.4">
      <c r="B59" s="62" t="s">
        <v>223</v>
      </c>
      <c r="C59" s="76">
        <v>-96.73216830648569</v>
      </c>
      <c r="D59" s="76">
        <v>-77.985691137611866</v>
      </c>
      <c r="E59" s="76">
        <v>-83.244607657194138</v>
      </c>
      <c r="F59" s="76">
        <v>-86.091367032378912</v>
      </c>
      <c r="G59" s="76">
        <v>-109.39319688826799</v>
      </c>
      <c r="H59" s="76">
        <v>-93.738965943455696</v>
      </c>
      <c r="I59" s="76">
        <v>-101.187768291682</v>
      </c>
      <c r="J59" s="76">
        <v>-98.154645450413227</v>
      </c>
      <c r="K59" s="76">
        <v>-94.826502181589603</v>
      </c>
      <c r="L59" s="76">
        <f t="shared" si="3"/>
        <v>1.9056661248960864</v>
      </c>
    </row>
    <row r="60" spans="2:14" ht="34" x14ac:dyDescent="0.4">
      <c r="B60" s="62" t="s">
        <v>224</v>
      </c>
      <c r="C60" s="76">
        <v>-23.950680817428665</v>
      </c>
      <c r="D60" s="76">
        <v>-56.567558288574219</v>
      </c>
      <c r="E60" s="76">
        <v>-54.883998870849609</v>
      </c>
      <c r="F60" s="76">
        <v>-45.576976776123047</v>
      </c>
      <c r="G60" s="76">
        <v>-73.796539306640625</v>
      </c>
      <c r="H60" s="76">
        <v>-37.072490692138672</v>
      </c>
      <c r="I60" s="76">
        <v>-27.629354476928711</v>
      </c>
      <c r="J60" s="76">
        <v>-20.096271514892578</v>
      </c>
      <c r="K60" s="76">
        <v>-34.119724273681641</v>
      </c>
      <c r="L60" s="76">
        <f t="shared" si="3"/>
        <v>-10.169043456252975</v>
      </c>
    </row>
    <row r="61" spans="2:14" ht="34" x14ac:dyDescent="0.4">
      <c r="B61" s="62" t="s">
        <v>62</v>
      </c>
      <c r="C61" s="76">
        <v>-70.416271670151048</v>
      </c>
      <c r="D61" s="76">
        <v>-57.2557373046875</v>
      </c>
      <c r="E61" s="76">
        <v>-54.408500671386719</v>
      </c>
      <c r="F61" s="76">
        <v>-63.910549163818359</v>
      </c>
      <c r="G61" s="76">
        <v>-83.988960266113281</v>
      </c>
      <c r="H61" s="76">
        <v>-67.243797302246094</v>
      </c>
      <c r="I61" s="76">
        <v>-115.03033447265625</v>
      </c>
      <c r="J61" s="76">
        <v>-126.99079895019531</v>
      </c>
      <c r="K61" s="76">
        <v>-132.35733032226562</v>
      </c>
      <c r="L61" s="76">
        <f t="shared" si="3"/>
        <v>-61.941058652114577</v>
      </c>
    </row>
    <row r="62" spans="2:14" ht="34" x14ac:dyDescent="0.4">
      <c r="B62" s="62" t="s">
        <v>58</v>
      </c>
      <c r="C62" s="76">
        <v>-41.683062581236264</v>
      </c>
      <c r="D62" s="76">
        <v>-38.077045440673828</v>
      </c>
      <c r="E62" s="76">
        <v>-33.435680389404297</v>
      </c>
      <c r="F62" s="76">
        <v>-36.854396820068359</v>
      </c>
      <c r="G62" s="76">
        <v>-32.442024230957031</v>
      </c>
      <c r="H62" s="76">
        <v>-33.25177001953125</v>
      </c>
      <c r="I62" s="76">
        <v>-33.227764129638672</v>
      </c>
      <c r="J62" s="76">
        <v>-33.114471435546875</v>
      </c>
      <c r="K62" s="76">
        <v>-33.141658782958984</v>
      </c>
      <c r="L62" s="76">
        <f t="shared" si="3"/>
        <v>8.5414037982772797</v>
      </c>
    </row>
    <row r="63" spans="2:14" ht="34" x14ac:dyDescent="0.4">
      <c r="B63" s="62" t="s">
        <v>63</v>
      </c>
      <c r="C63" s="76">
        <v>-39.035168909870336</v>
      </c>
      <c r="D63" s="76">
        <v>-69.132797241210938</v>
      </c>
      <c r="E63" s="76">
        <v>-58.714656829833984</v>
      </c>
      <c r="F63" s="76">
        <v>-63.8157958984375</v>
      </c>
      <c r="G63" s="76">
        <v>-88.234512329101562</v>
      </c>
      <c r="H63" s="76">
        <v>-68.219673156738281</v>
      </c>
      <c r="I63" s="76">
        <v>-96.702796936035156</v>
      </c>
      <c r="J63" s="76">
        <v>-90.973709106445312</v>
      </c>
      <c r="K63" s="76">
        <v>-94.981979370117188</v>
      </c>
      <c r="L63" s="76">
        <f t="shared" si="3"/>
        <v>-55.946810460246851</v>
      </c>
    </row>
    <row r="64" spans="2:14" ht="35" thickBot="1" x14ac:dyDescent="0.45">
      <c r="B64" s="412" t="s">
        <v>225</v>
      </c>
      <c r="C64" s="413">
        <v>-50.575354983473517</v>
      </c>
      <c r="D64" s="413">
        <v>-29.377117298543453</v>
      </c>
      <c r="E64" s="413">
        <v>-30.395252786576748</v>
      </c>
      <c r="F64" s="413">
        <v>-36.236625343561172</v>
      </c>
      <c r="G64" s="413">
        <v>-45.970688417553902</v>
      </c>
      <c r="H64" s="413">
        <v>-27.086633831262589</v>
      </c>
      <c r="I64" s="413">
        <v>-48.27294348180294</v>
      </c>
      <c r="J64" s="413">
        <v>-53.261422351002693</v>
      </c>
      <c r="K64" s="413">
        <f>-(K50+SUM(K53:K63))</f>
        <v>-53.659005165517328</v>
      </c>
      <c r="L64" s="413">
        <f t="shared" si="3"/>
        <v>-3.0836501820438116</v>
      </c>
    </row>
    <row r="65" spans="2:12" ht="35" thickTop="1" x14ac:dyDescent="0.4">
      <c r="B65" s="62"/>
    </row>
    <row r="68" spans="2:12" ht="19" x14ac:dyDescent="0.25">
      <c r="B68" s="467" t="s">
        <v>226</v>
      </c>
      <c r="C68" s="468">
        <f t="shared" ref="C68:J68" si="4">C50-(C51+SUM(C6:C49))</f>
        <v>0</v>
      </c>
      <c r="D68" s="468">
        <f t="shared" si="4"/>
        <v>0</v>
      </c>
      <c r="E68" s="468">
        <f t="shared" si="4"/>
        <v>0</v>
      </c>
      <c r="F68" s="468">
        <f t="shared" si="4"/>
        <v>0</v>
      </c>
      <c r="G68" s="468">
        <f t="shared" si="4"/>
        <v>0</v>
      </c>
      <c r="H68" s="468">
        <f t="shared" si="4"/>
        <v>0</v>
      </c>
      <c r="I68" s="468">
        <f t="shared" si="4"/>
        <v>0</v>
      </c>
      <c r="J68" s="468">
        <f t="shared" si="4"/>
        <v>0</v>
      </c>
      <c r="K68" s="468">
        <f t="shared" ref="K68" si="5">K50-(K51+SUM(K6:K49))</f>
        <v>-1.5319824115067604E-5</v>
      </c>
      <c r="L68" s="468"/>
    </row>
    <row r="69" spans="2:12" ht="19" x14ac:dyDescent="0.25">
      <c r="B69" s="467"/>
      <c r="C69" s="468">
        <f>C50-Table1!C11</f>
        <v>0</v>
      </c>
      <c r="D69" s="468">
        <f>D50-Table1!D11</f>
        <v>0</v>
      </c>
      <c r="E69" s="468">
        <f>E50-Table1!E11</f>
        <v>0</v>
      </c>
      <c r="F69" s="468">
        <f>F50-Table1!F11</f>
        <v>0</v>
      </c>
      <c r="G69" s="468">
        <f>G50-Table1!G11</f>
        <v>0</v>
      </c>
      <c r="H69" s="468">
        <f>H50-Table1!H11</f>
        <v>0</v>
      </c>
      <c r="I69" s="468">
        <f>I50-Table1!I11</f>
        <v>0</v>
      </c>
      <c r="J69" s="468">
        <f>J50-Table1!J11</f>
        <v>0</v>
      </c>
      <c r="K69" s="468">
        <f>K50-Table1!K11</f>
        <v>-2.6367187501818989E-5</v>
      </c>
      <c r="L69" s="468"/>
    </row>
    <row r="70" spans="2:12" x14ac:dyDescent="0.2">
      <c r="C70" s="448">
        <f>SUM(C53:C64)+Table1!C11</f>
        <v>-0.461629848917255</v>
      </c>
      <c r="D70" s="448">
        <f>SUM(D53:D64)+Table1!D11</f>
        <v>-0.32279607653617859</v>
      </c>
      <c r="E70" s="448">
        <f>SUM(E53:E64)+Table1!E11</f>
        <v>-0.3654058501124382</v>
      </c>
      <c r="F70" s="448">
        <f>SUM(F53:F64)+Table1!F11</f>
        <v>-0.37518590316176414</v>
      </c>
      <c r="G70" s="448">
        <f>SUM(G53:G64)+Table1!G11</f>
        <v>-0.39404835551977158</v>
      </c>
      <c r="H70" s="448">
        <f>SUM(H53:H64)+Table1!H11</f>
        <v>-0.36427150666713715</v>
      </c>
      <c r="I70" s="448">
        <f>SUM(I53:I64)+Table1!I11</f>
        <v>-0.42519265040755272</v>
      </c>
      <c r="J70" s="448">
        <f>SUM(J53:J64)+Table1!J11</f>
        <v>-0.37026854604482651</v>
      </c>
      <c r="K70" s="448">
        <f>SUM(K53:K64)+Table1!K11</f>
        <v>2.6367187501818989E-5</v>
      </c>
    </row>
  </sheetData>
  <mergeCells count="1">
    <mergeCell ref="C3:L3"/>
  </mergeCells>
  <printOptions horizontalCentered="1"/>
  <pageMargins left="0.25" right="0.25" top="0.75" bottom="0.75" header="0.3" footer="0.3"/>
  <pageSetup scale="32" orientation="portrait" horizontalDpi="4294967292" verticalDpi="4294967292"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6" baseType="variant">
      <vt:variant>
        <vt:lpstr>Worksheets</vt:lpstr>
      </vt:variant>
      <vt:variant>
        <vt:i4>32</vt:i4>
      </vt:variant>
      <vt:variant>
        <vt:lpstr>Charts</vt:lpstr>
      </vt:variant>
      <vt:variant>
        <vt:i4>15</vt:i4>
      </vt:variant>
      <vt:variant>
        <vt:lpstr>Named Ranges</vt:lpstr>
      </vt:variant>
      <vt:variant>
        <vt:i4>4</vt:i4>
      </vt:variant>
    </vt:vector>
  </HeadingPairs>
  <TitlesOfParts>
    <vt:vector size="51" baseType="lpstr">
      <vt:lpstr>Content</vt:lpstr>
      <vt:lpstr>MainTableFigures &gt;</vt:lpstr>
      <vt:lpstr>Table1</vt:lpstr>
      <vt:lpstr>DataF1</vt:lpstr>
      <vt:lpstr>DataF2</vt:lpstr>
      <vt:lpstr>DataF3-F4</vt:lpstr>
      <vt:lpstr>AppenixTableFigures &gt;</vt:lpstr>
      <vt:lpstr>TableA1</vt:lpstr>
      <vt:lpstr>TableA2</vt:lpstr>
      <vt:lpstr>TableA3</vt:lpstr>
      <vt:lpstr>data-FigureA3</vt:lpstr>
      <vt:lpstr>TableA4</vt:lpstr>
      <vt:lpstr>Data_FigureA4</vt:lpstr>
      <vt:lpstr>SupplementaryFigures &gt;</vt:lpstr>
      <vt:lpstr>DataFigS4</vt:lpstr>
      <vt:lpstr>Select updated tables from TWZ&gt;</vt:lpstr>
      <vt:lpstr>GlobalDIEquityIncome</vt:lpstr>
      <vt:lpstr>Wright-Zucman</vt:lpstr>
      <vt:lpstr>BEA2023_Table.II.F1</vt:lpstr>
      <vt:lpstr>US-CBCR-2020</vt:lpstr>
      <vt:lpstr>Table U1</vt:lpstr>
      <vt:lpstr>TableB10</vt:lpstr>
      <vt:lpstr>TableB11_2022</vt:lpstr>
      <vt:lpstr>TableB11_2019</vt:lpstr>
      <vt:lpstr>TableC1</vt:lpstr>
      <vt:lpstr>TableC2</vt:lpstr>
      <vt:lpstr>TableC3</vt:lpstr>
      <vt:lpstr>TableC4</vt:lpstr>
      <vt:lpstr>TableC4b</vt:lpstr>
      <vt:lpstr>TableC4c</vt:lpstr>
      <vt:lpstr>TableC4d</vt:lpstr>
      <vt:lpstr>Depreciation</vt:lpstr>
      <vt:lpstr>Figure1A</vt:lpstr>
      <vt:lpstr>Figure1B</vt:lpstr>
      <vt:lpstr>Figure2</vt:lpstr>
      <vt:lpstr>Figure3</vt:lpstr>
      <vt:lpstr>Figure4</vt:lpstr>
      <vt:lpstr>FigureA1a</vt:lpstr>
      <vt:lpstr>FigureA1b</vt:lpstr>
      <vt:lpstr>FigureA2</vt:lpstr>
      <vt:lpstr>FigureA3a</vt:lpstr>
      <vt:lpstr>FigureA3b</vt:lpstr>
      <vt:lpstr>FigureA4</vt:lpstr>
      <vt:lpstr>FigureS1</vt:lpstr>
      <vt:lpstr>FigureS2</vt:lpstr>
      <vt:lpstr>FigureS3</vt:lpstr>
      <vt:lpstr>FigureS4</vt:lpstr>
      <vt:lpstr>Table1!Print_Area</vt:lpstr>
      <vt:lpstr>TableA1!Print_Area</vt:lpstr>
      <vt:lpstr>TableA2!Print_Area</vt:lpstr>
      <vt:lpstr>TableA4!Print_Area</vt:lpstr>
    </vt:vector>
  </TitlesOfParts>
  <Manager/>
  <Company>SAMF-IT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Ludvig S C Petersen Wier</dc:creator>
  <cp:keywords/>
  <dc:description/>
  <cp:lastModifiedBy>Gabriel Zucman</cp:lastModifiedBy>
  <cp:revision/>
  <cp:lastPrinted>2026-06-29T14:46:49Z</cp:lastPrinted>
  <dcterms:created xsi:type="dcterms:W3CDTF">2019-06-07T08:42:44Z</dcterms:created>
  <dcterms:modified xsi:type="dcterms:W3CDTF">2026-07-06T18:59:43Z</dcterms:modified>
  <cp:category/>
  <cp:contentStatus/>
</cp:coreProperties>
</file>