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3.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4.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5880" yWindow="0" windowWidth="29960" windowHeight="15800" tabRatio="817" activeTab="1"/>
  </bookViews>
  <sheets>
    <sheet name="Fig1" sheetId="7" r:id="rId1"/>
    <sheet name="Fig1(FR)" sheetId="30" r:id="rId2"/>
    <sheet name="Data-Fig1" sheetId="6" r:id="rId3"/>
    <sheet name="Fig2" sheetId="38" r:id="rId4"/>
    <sheet name="Fig2(FR)" sheetId="42" r:id="rId5"/>
    <sheet name="DataFig2" sheetId="39" r:id="rId6"/>
    <sheet name="Fig3" sheetId="40" r:id="rId7"/>
    <sheet name="Fig3(FR)" sheetId="43" r:id="rId8"/>
    <sheet name="DataFig3" sheetId="41" r:id="rId9"/>
    <sheet name="Fig4" sheetId="17" r:id="rId10"/>
    <sheet name="Fig4(FR)" sheetId="35" r:id="rId11"/>
    <sheet name="Data-Fig4" sheetId="18" r:id="rId12"/>
    <sheet name="Fig5" sheetId="2" r:id="rId13"/>
    <sheet name="Fig5(FR)" sheetId="36" r:id="rId14"/>
    <sheet name="Data-Fig5" sheetId="1" r:id="rId15"/>
    <sheet name="Tab1" sheetId="23" r:id="rId16"/>
    <sheet name="Tab1(FR)" sheetId="31" r:id="rId17"/>
    <sheet name="DataTab1" sheetId="9" r:id="rId18"/>
    <sheet name="Tab2" sheetId="11" r:id="rId19"/>
    <sheet name="Tab2(FR)" sheetId="32" r:id="rId20"/>
    <sheet name="Tab3" sheetId="25" r:id="rId21"/>
    <sheet name="Tab3(FR)" sheetId="33" r:id="rId22"/>
    <sheet name="Tab4" sheetId="24" r:id="rId23"/>
    <sheet name="Tab4(FR)" sheetId="34" r:id="rId24"/>
    <sheet name="DataTab4" sheetId="16" r:id="rId25"/>
    <sheet name="Tab5" sheetId="21" r:id="rId26"/>
    <sheet name="Tab5(FR)" sheetId="37" r:id="rId27"/>
  </sheets>
  <definedNames>
    <definedName name="B_SEULS_NOVIEUX" localSheetId="15">#REF!</definedName>
    <definedName name="B_SEULS_NOVIEUX" localSheetId="16">#REF!</definedName>
    <definedName name="B_SEULS_NOVIEUX" localSheetId="20">#REF!</definedName>
    <definedName name="B_SEULS_NOVIEUX" localSheetId="21">#REF!</definedName>
    <definedName name="B_SEULS_NOVIEUX" localSheetId="23">#REF!</definedName>
    <definedName name="B_SEULS_NOVIEUX" localSheetId="25">#REF!</definedName>
    <definedName name="B_SEULS_NOVIEUX" localSheetId="26">#REF!</definedName>
    <definedName name="column_head" localSheetId="15">#REF!</definedName>
    <definedName name="column_head" localSheetId="16">#REF!</definedName>
    <definedName name="column_head" localSheetId="20">#REF!</definedName>
    <definedName name="column_head" localSheetId="21">#REF!</definedName>
    <definedName name="column_head" localSheetId="23">#REF!</definedName>
    <definedName name="column_head" localSheetId="25">#REF!</definedName>
    <definedName name="column_head" localSheetId="26">#REF!</definedName>
    <definedName name="column_headings" localSheetId="11">#REF!</definedName>
    <definedName name="column_headings" localSheetId="15">#REF!</definedName>
    <definedName name="column_headings" localSheetId="16">#REF!</definedName>
    <definedName name="column_headings" localSheetId="20">#REF!</definedName>
    <definedName name="column_headings" localSheetId="21">#REF!</definedName>
    <definedName name="column_headings" localSheetId="23">#REF!</definedName>
    <definedName name="column_headings" localSheetId="25">#REF!</definedName>
    <definedName name="column_headings" localSheetId="26">#REF!</definedName>
    <definedName name="column_numbers" localSheetId="11">#REF!</definedName>
    <definedName name="column_numbers" localSheetId="15">#REF!</definedName>
    <definedName name="column_numbers" localSheetId="16">#REF!</definedName>
    <definedName name="column_numbers" localSheetId="20">#REF!</definedName>
    <definedName name="column_numbers" localSheetId="21">#REF!</definedName>
    <definedName name="column_numbers" localSheetId="23">#REF!</definedName>
    <definedName name="column_numbers" localSheetId="25">#REF!</definedName>
    <definedName name="column_numbers" localSheetId="26">#REF!</definedName>
    <definedName name="d" localSheetId="11">#REF!</definedName>
    <definedName name="data" localSheetId="11">#REF!</definedName>
    <definedName name="data" localSheetId="15">#REF!</definedName>
    <definedName name="data" localSheetId="16">#REF!</definedName>
    <definedName name="data" localSheetId="20">#REF!</definedName>
    <definedName name="data" localSheetId="21">#REF!</definedName>
    <definedName name="data" localSheetId="23">#REF!</definedName>
    <definedName name="data" localSheetId="25">#REF!</definedName>
    <definedName name="data" localSheetId="26">#REF!</definedName>
    <definedName name="data2" localSheetId="15">#REF!</definedName>
    <definedName name="data2" localSheetId="16">#REF!</definedName>
    <definedName name="data2" localSheetId="20">#REF!</definedName>
    <definedName name="data2" localSheetId="21">#REF!</definedName>
    <definedName name="data2" localSheetId="23">#REF!</definedName>
    <definedName name="data2" localSheetId="25">#REF!</definedName>
    <definedName name="data2" localSheetId="26">#REF!</definedName>
    <definedName name="e" localSheetId="11">#REF!</definedName>
    <definedName name="ea_flux" localSheetId="11">#REF!</definedName>
    <definedName name="ea_flux" localSheetId="15">#REF!</definedName>
    <definedName name="ea_flux" localSheetId="16">#REF!</definedName>
    <definedName name="ea_flux" localSheetId="20">#REF!</definedName>
    <definedName name="ea_flux" localSheetId="21">#REF!</definedName>
    <definedName name="ea_flux" localSheetId="23">#REF!</definedName>
    <definedName name="ea_flux" localSheetId="25">#REF!</definedName>
    <definedName name="ea_flux" localSheetId="26">#REF!</definedName>
    <definedName name="Equilibre" localSheetId="11">#REF!</definedName>
    <definedName name="Equilibre" localSheetId="15">#REF!</definedName>
    <definedName name="Equilibre" localSheetId="16">#REF!</definedName>
    <definedName name="Equilibre" localSheetId="20">#REF!</definedName>
    <definedName name="Equilibre" localSheetId="21">#REF!</definedName>
    <definedName name="Equilibre" localSheetId="23">#REF!</definedName>
    <definedName name="Equilibre" localSheetId="25">#REF!</definedName>
    <definedName name="Equilibre" localSheetId="26">#REF!</definedName>
    <definedName name="f" localSheetId="11">#REF!</definedName>
    <definedName name="fig4b" localSheetId="15">#REF!</definedName>
    <definedName name="fig4b" localSheetId="16">#REF!</definedName>
    <definedName name="fig4b" localSheetId="20">#REF!</definedName>
    <definedName name="fig4b" localSheetId="21">#REF!</definedName>
    <definedName name="fig4b" localSheetId="23">#REF!</definedName>
    <definedName name="fig4b" localSheetId="25">#REF!</definedName>
    <definedName name="fig4b" localSheetId="26">#REF!</definedName>
    <definedName name="footnotes" localSheetId="11">#REF!</definedName>
    <definedName name="footnotes" localSheetId="15">#REF!</definedName>
    <definedName name="footnotes" localSheetId="16">#REF!</definedName>
    <definedName name="footnotes" localSheetId="20">#REF!</definedName>
    <definedName name="footnotes" localSheetId="21">#REF!</definedName>
    <definedName name="footnotes" localSheetId="23">#REF!</definedName>
    <definedName name="footnotes" localSheetId="25">#REF!</definedName>
    <definedName name="footnotes" localSheetId="26">#REF!</definedName>
    <definedName name="footnotes2" localSheetId="15">#REF!</definedName>
    <definedName name="footnotes2" localSheetId="16">#REF!</definedName>
    <definedName name="footnotes2" localSheetId="20">#REF!</definedName>
    <definedName name="footnotes2" localSheetId="21">#REF!</definedName>
    <definedName name="footnotes2" localSheetId="23">#REF!</definedName>
    <definedName name="footnotes2" localSheetId="25">#REF!</definedName>
    <definedName name="footnotes2" localSheetId="26">#REF!</definedName>
    <definedName name="gg" localSheetId="11">#REF!</definedName>
    <definedName name="head" localSheetId="11">#REF!</definedName>
    <definedName name="name" localSheetId="11">#REF!</definedName>
    <definedName name="name2" localSheetId="11">#REF!</definedName>
    <definedName name="name3" localSheetId="11">#REF!</definedName>
    <definedName name="name4" localSheetId="11">#REF!</definedName>
    <definedName name="nb" localSheetId="11">#REF!</definedName>
    <definedName name="PIB" localSheetId="11">#REF!</definedName>
    <definedName name="PIB" localSheetId="15">#REF!</definedName>
    <definedName name="PIB" localSheetId="16">#REF!</definedName>
    <definedName name="PIB" localSheetId="20">#REF!</definedName>
    <definedName name="PIB" localSheetId="21">#REF!</definedName>
    <definedName name="PIB" localSheetId="23">#REF!</definedName>
    <definedName name="PIB" localSheetId="25">#REF!</definedName>
    <definedName name="PIB" localSheetId="26">#REF!</definedName>
    <definedName name="_xlnm.Print_Area" localSheetId="15">'Tab1'!$C$2:$G$44</definedName>
    <definedName name="_xlnm.Print_Area" localSheetId="16">'Tab1(FR)'!$C$2:$G$44</definedName>
    <definedName name="_xlnm.Print_Area" localSheetId="18">'Tab2'!$B$3:$F$34</definedName>
    <definedName name="_xlnm.Print_Area" localSheetId="19">'Tab2(FR)'!$B$3:$F$34</definedName>
    <definedName name="_xlnm.Print_Area" localSheetId="20">'Tab3'!$B$3:$H$43</definedName>
    <definedName name="_xlnm.Print_Area" localSheetId="21">'Tab3(FR)'!$B$3:$H$43</definedName>
    <definedName name="_xlnm.Print_Area" localSheetId="25">'Tab5'!$B$3:$F$36</definedName>
    <definedName name="_xlnm.Print_Area" localSheetId="26">'Tab5(FR)'!$B$3:$F$36</definedName>
    <definedName name="ressources" localSheetId="11">#REF!</definedName>
    <definedName name="ressources" localSheetId="15">#REF!</definedName>
    <definedName name="ressources" localSheetId="16">#REF!</definedName>
    <definedName name="ressources" localSheetId="20">#REF!</definedName>
    <definedName name="ressources" localSheetId="21">#REF!</definedName>
    <definedName name="ressources" localSheetId="23">#REF!</definedName>
    <definedName name="ressources" localSheetId="25">#REF!</definedName>
    <definedName name="ressources" localSheetId="26">#REF!</definedName>
    <definedName name="rpflux" localSheetId="11">#REF!</definedName>
    <definedName name="rpflux" localSheetId="15">#REF!</definedName>
    <definedName name="rpflux" localSheetId="16">#REF!</definedName>
    <definedName name="rpflux" localSheetId="20">#REF!</definedName>
    <definedName name="rpflux" localSheetId="21">#REF!</definedName>
    <definedName name="rpflux" localSheetId="23">#REF!</definedName>
    <definedName name="rpflux" localSheetId="25">#REF!</definedName>
    <definedName name="rpflux" localSheetId="26">#REF!</definedName>
    <definedName name="rptof" localSheetId="11">#REF!</definedName>
    <definedName name="rptof" localSheetId="15">#REF!</definedName>
    <definedName name="rptof" localSheetId="16">#REF!</definedName>
    <definedName name="rptof" localSheetId="20">#REF!</definedName>
    <definedName name="rptof" localSheetId="21">#REF!</definedName>
    <definedName name="rptof" localSheetId="23">#REF!</definedName>
    <definedName name="rptof" localSheetId="25">#REF!</definedName>
    <definedName name="rptof" localSheetId="26">#REF!</definedName>
    <definedName name="spanners_level1" localSheetId="11">#REF!</definedName>
    <definedName name="spanners_level1" localSheetId="15">#REF!</definedName>
    <definedName name="spanners_level1" localSheetId="16">#REF!</definedName>
    <definedName name="spanners_level1" localSheetId="20">#REF!</definedName>
    <definedName name="spanners_level1" localSheetId="21">#REF!</definedName>
    <definedName name="spanners_level1" localSheetId="23">#REF!</definedName>
    <definedName name="spanners_level1" localSheetId="25">#REF!</definedName>
    <definedName name="spanners_level1" localSheetId="26">#REF!</definedName>
    <definedName name="spanners_level2" localSheetId="11">#REF!</definedName>
    <definedName name="spanners_level2" localSheetId="15">#REF!</definedName>
    <definedName name="spanners_level2" localSheetId="16">#REF!</definedName>
    <definedName name="spanners_level2" localSheetId="20">#REF!</definedName>
    <definedName name="spanners_level2" localSheetId="21">#REF!</definedName>
    <definedName name="spanners_level2" localSheetId="23">#REF!</definedName>
    <definedName name="spanners_level2" localSheetId="25">#REF!</definedName>
    <definedName name="spanners_level2" localSheetId="26">#REF!</definedName>
    <definedName name="spanners_level3" localSheetId="11">#REF!</definedName>
    <definedName name="spanners_level3" localSheetId="15">#REF!</definedName>
    <definedName name="spanners_level3" localSheetId="16">#REF!</definedName>
    <definedName name="spanners_level3" localSheetId="20">#REF!</definedName>
    <definedName name="spanners_level3" localSheetId="21">#REF!</definedName>
    <definedName name="spanners_level3" localSheetId="23">#REF!</definedName>
    <definedName name="spanners_level3" localSheetId="25">#REF!</definedName>
    <definedName name="spanners_level3" localSheetId="26">#REF!</definedName>
    <definedName name="spanners_level4" localSheetId="11">#REF!</definedName>
    <definedName name="spanners_level4" localSheetId="15">#REF!</definedName>
    <definedName name="spanners_level4" localSheetId="16">#REF!</definedName>
    <definedName name="spanners_level4" localSheetId="20">#REF!</definedName>
    <definedName name="spanners_level4" localSheetId="21">#REF!</definedName>
    <definedName name="spanners_level4" localSheetId="23">#REF!</definedName>
    <definedName name="spanners_level4" localSheetId="25">#REF!</definedName>
    <definedName name="spanners_level4" localSheetId="26">#REF!</definedName>
    <definedName name="spanners_level5" localSheetId="11">#REF!</definedName>
    <definedName name="spanners_level5" localSheetId="15">#REF!</definedName>
    <definedName name="spanners_level5" localSheetId="16">#REF!</definedName>
    <definedName name="spanners_level5" localSheetId="20">#REF!</definedName>
    <definedName name="spanners_level5" localSheetId="21">#REF!</definedName>
    <definedName name="spanners_level5" localSheetId="23">#REF!</definedName>
    <definedName name="spanners_level5" localSheetId="25">#REF!</definedName>
    <definedName name="spanners_level5" localSheetId="26">#REF!</definedName>
    <definedName name="spanners_levelV" localSheetId="15">#REF!</definedName>
    <definedName name="spanners_levelV" localSheetId="16">#REF!</definedName>
    <definedName name="spanners_levelV" localSheetId="20">#REF!</definedName>
    <definedName name="spanners_levelV" localSheetId="21">#REF!</definedName>
    <definedName name="spanners_levelV" localSheetId="23">#REF!</definedName>
    <definedName name="spanners_levelV" localSheetId="25">#REF!</definedName>
    <definedName name="spanners_levelV" localSheetId="26">#REF!</definedName>
    <definedName name="spanners_levelX" localSheetId="15">#REF!</definedName>
    <definedName name="spanners_levelX" localSheetId="16">#REF!</definedName>
    <definedName name="spanners_levelX" localSheetId="20">#REF!</definedName>
    <definedName name="spanners_levelX" localSheetId="21">#REF!</definedName>
    <definedName name="spanners_levelX" localSheetId="23">#REF!</definedName>
    <definedName name="spanners_levelX" localSheetId="25">#REF!</definedName>
    <definedName name="spanners_levelX" localSheetId="26">#REF!</definedName>
    <definedName name="spanners_levelY" localSheetId="15">#REF!</definedName>
    <definedName name="spanners_levelY" localSheetId="16">#REF!</definedName>
    <definedName name="spanners_levelY" localSheetId="20">#REF!</definedName>
    <definedName name="spanners_levelY" localSheetId="21">#REF!</definedName>
    <definedName name="spanners_levelY" localSheetId="23">#REF!</definedName>
    <definedName name="spanners_levelY" localSheetId="25">#REF!</definedName>
    <definedName name="spanners_levelY" localSheetId="26">#REF!</definedName>
    <definedName name="spanners_levelZ" localSheetId="15">#REF!</definedName>
    <definedName name="spanners_levelZ" localSheetId="16">#REF!</definedName>
    <definedName name="spanners_levelZ" localSheetId="20">#REF!</definedName>
    <definedName name="spanners_levelZ" localSheetId="21">#REF!</definedName>
    <definedName name="spanners_levelZ" localSheetId="23">#REF!</definedName>
    <definedName name="spanners_levelZ" localSheetId="25">#REF!</definedName>
    <definedName name="spanners_levelZ" localSheetId="26">#REF!</definedName>
    <definedName name="stub_lines" localSheetId="11">#REF!</definedName>
    <definedName name="stub_lines" localSheetId="15">#REF!</definedName>
    <definedName name="stub_lines" localSheetId="16">#REF!</definedName>
    <definedName name="stub_lines" localSheetId="20">#REF!</definedName>
    <definedName name="stub_lines" localSheetId="21">#REF!</definedName>
    <definedName name="stub_lines" localSheetId="23">#REF!</definedName>
    <definedName name="stub_lines" localSheetId="25">#REF!</definedName>
    <definedName name="stub_lines" localSheetId="26">#REF!</definedName>
    <definedName name="temp" localSheetId="15">#REF!</definedName>
    <definedName name="temp" localSheetId="16">#REF!</definedName>
    <definedName name="temp" localSheetId="20">#REF!</definedName>
    <definedName name="temp" localSheetId="21">#REF!</definedName>
    <definedName name="temp" localSheetId="23">#REF!</definedName>
    <definedName name="temp" localSheetId="25">#REF!</definedName>
    <definedName name="temp" localSheetId="26">#REF!</definedName>
    <definedName name="titles" localSheetId="11">#REF!</definedName>
    <definedName name="titles" localSheetId="15">#REF!</definedName>
    <definedName name="titles" localSheetId="16">#REF!</definedName>
    <definedName name="titles" localSheetId="20">#REF!</definedName>
    <definedName name="titles" localSheetId="21">#REF!</definedName>
    <definedName name="titles" localSheetId="23">#REF!</definedName>
    <definedName name="titles" localSheetId="25">#REF!</definedName>
    <definedName name="titles" localSheetId="26">#REF!</definedName>
    <definedName name="totals" localSheetId="11">#REF!</definedName>
    <definedName name="totals" localSheetId="15">#REF!</definedName>
    <definedName name="totals" localSheetId="16">#REF!</definedName>
    <definedName name="totals" localSheetId="20">#REF!</definedName>
    <definedName name="totals" localSheetId="21">#REF!</definedName>
    <definedName name="totals" localSheetId="23">#REF!</definedName>
    <definedName name="totals" localSheetId="25">#REF!</definedName>
    <definedName name="totals" localSheetId="26">#REF!</definedName>
    <definedName name="xxx" localSheetId="15">#REF!</definedName>
    <definedName name="xxx" localSheetId="16">#REF!</definedName>
    <definedName name="xxx" localSheetId="20">#REF!</definedName>
    <definedName name="xxx" localSheetId="21">#REF!</definedName>
    <definedName name="xxx" localSheetId="23">#REF!</definedName>
    <definedName name="xxx" localSheetId="25">#REF!</definedName>
    <definedName name="xxx" localSheetId="26">#REF!</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C47" i="1" l="1"/>
  <c r="C46" i="1"/>
  <c r="B47" i="1"/>
  <c r="B46" i="1"/>
  <c r="C4" i="41"/>
  <c r="C5" i="41"/>
  <c r="C6" i="41"/>
  <c r="C7" i="41"/>
  <c r="C8" i="41"/>
  <c r="C9" i="41"/>
  <c r="C10" i="41"/>
  <c r="C11" i="41"/>
  <c r="B21" i="41"/>
  <c r="E21" i="41"/>
  <c r="G21" i="41"/>
  <c r="D6" i="34"/>
  <c r="D7" i="34"/>
  <c r="D8" i="34"/>
  <c r="D9" i="34"/>
  <c r="D10" i="34"/>
  <c r="D11" i="34"/>
  <c r="D12" i="34"/>
  <c r="D13" i="34"/>
  <c r="D5" i="34"/>
  <c r="J29" i="33"/>
  <c r="J35" i="33"/>
  <c r="K17" i="16"/>
  <c r="H14" i="6"/>
  <c r="J14" i="6"/>
  <c r="J15" i="6"/>
  <c r="K15" i="6"/>
  <c r="O6" i="16"/>
  <c r="O7" i="16"/>
  <c r="O8" i="16"/>
  <c r="O9" i="16"/>
  <c r="O10" i="16"/>
  <c r="O11" i="16"/>
  <c r="O12" i="16"/>
  <c r="O13" i="16"/>
  <c r="O14" i="16"/>
  <c r="O15" i="16"/>
  <c r="O16" i="16"/>
  <c r="J17" i="16"/>
  <c r="O17" i="16"/>
  <c r="O5" i="16"/>
  <c r="P14" i="16"/>
  <c r="P16" i="16"/>
  <c r="P17" i="16"/>
  <c r="P5" i="16"/>
  <c r="M5" i="16"/>
  <c r="O18" i="16"/>
  <c r="O19" i="16"/>
  <c r="O20" i="16"/>
  <c r="O21" i="16"/>
  <c r="O22" i="16"/>
  <c r="O23" i="16"/>
  <c r="O24" i="16"/>
  <c r="O25" i="16"/>
  <c r="P20" i="16"/>
  <c r="P21" i="16"/>
  <c r="P25" i="16"/>
  <c r="M25" i="16"/>
  <c r="N5" i="16"/>
  <c r="I5" i="24"/>
  <c r="I6" i="24"/>
  <c r="I7" i="24"/>
  <c r="I8" i="24"/>
  <c r="I9" i="24"/>
  <c r="I10" i="24"/>
  <c r="I12" i="24"/>
  <c r="I13" i="24"/>
  <c r="I13" i="34"/>
  <c r="M22" i="16"/>
  <c r="N22" i="16"/>
  <c r="D25" i="16"/>
  <c r="E19" i="16"/>
  <c r="C11" i="24"/>
  <c r="C11" i="34"/>
  <c r="B11" i="24"/>
  <c r="B11" i="34"/>
  <c r="M5" i="34"/>
  <c r="M6" i="34"/>
  <c r="K7" i="34"/>
  <c r="L7" i="34"/>
  <c r="M7" i="34"/>
  <c r="K8" i="34"/>
  <c r="L8" i="34"/>
  <c r="M8" i="34"/>
  <c r="K9" i="34"/>
  <c r="L9" i="34"/>
  <c r="M9" i="34"/>
  <c r="K10" i="34"/>
  <c r="L10" i="34"/>
  <c r="M10" i="34"/>
  <c r="K11" i="34"/>
  <c r="L11" i="34"/>
  <c r="M11" i="34"/>
  <c r="K12" i="34"/>
  <c r="L12" i="34"/>
  <c r="M12" i="34"/>
  <c r="J5" i="34"/>
  <c r="J6" i="34"/>
  <c r="J7" i="34"/>
  <c r="J8" i="34"/>
  <c r="J9" i="34"/>
  <c r="J10" i="34"/>
  <c r="J11" i="34"/>
  <c r="J12" i="34"/>
  <c r="J13" i="34"/>
  <c r="I11" i="34"/>
  <c r="J36" i="33"/>
  <c r="J14" i="33"/>
  <c r="J15" i="24"/>
  <c r="C47" i="31"/>
  <c r="A12" i="31"/>
  <c r="E5" i="9"/>
  <c r="E4" i="9"/>
  <c r="E6" i="9"/>
  <c r="E7" i="9"/>
  <c r="E8" i="9"/>
  <c r="E9" i="9"/>
  <c r="E10" i="9"/>
  <c r="E11" i="9"/>
  <c r="E12" i="9"/>
  <c r="E13" i="9"/>
  <c r="E14" i="9"/>
  <c r="E15" i="9"/>
  <c r="E16" i="9"/>
  <c r="E17" i="9"/>
  <c r="E18" i="9"/>
  <c r="E19" i="9"/>
  <c r="E20" i="9"/>
  <c r="E21" i="9"/>
  <c r="E22" i="9"/>
  <c r="E23" i="9"/>
  <c r="G47" i="31"/>
  <c r="J40" i="31"/>
  <c r="J35" i="31"/>
  <c r="J28" i="31"/>
  <c r="J24" i="31"/>
  <c r="J14" i="31"/>
  <c r="C41" i="18"/>
  <c r="C40" i="18"/>
  <c r="B41" i="18"/>
  <c r="B40" i="18"/>
  <c r="J5" i="24"/>
  <c r="M12" i="24"/>
  <c r="M7" i="24"/>
  <c r="K7" i="24"/>
  <c r="L7" i="24"/>
  <c r="J7" i="24"/>
  <c r="J8" i="24"/>
  <c r="J9" i="24"/>
  <c r="J10" i="24"/>
  <c r="K12" i="24"/>
  <c r="L12" i="24"/>
  <c r="J12" i="24"/>
  <c r="C47" i="23"/>
  <c r="A12" i="23"/>
  <c r="B4" i="9"/>
  <c r="C4" i="9"/>
  <c r="B25" i="16"/>
  <c r="C5" i="16"/>
  <c r="B5" i="16"/>
  <c r="C19" i="16"/>
  <c r="B19" i="16"/>
  <c r="C20" i="16"/>
  <c r="B20" i="16"/>
  <c r="E20" i="16"/>
  <c r="C21" i="16"/>
  <c r="B21" i="16"/>
  <c r="E21" i="16"/>
  <c r="C18" i="16"/>
  <c r="B18" i="16"/>
  <c r="E18" i="16"/>
  <c r="M14" i="6"/>
  <c r="L13" i="6"/>
  <c r="K13" i="6"/>
  <c r="J13" i="6"/>
  <c r="O14" i="6"/>
  <c r="P14" i="6"/>
  <c r="C24" i="16"/>
  <c r="B24" i="16"/>
  <c r="F24" i="16"/>
  <c r="L10" i="6"/>
  <c r="L11" i="6"/>
  <c r="L12" i="6"/>
  <c r="P15" i="6"/>
  <c r="M15" i="6"/>
  <c r="I14" i="6"/>
  <c r="H15" i="6"/>
  <c r="G15" i="6"/>
  <c r="C15" i="6"/>
  <c r="D15" i="6"/>
  <c r="E15" i="6"/>
  <c r="B15" i="6"/>
  <c r="J18" i="25"/>
  <c r="C23" i="9"/>
  <c r="C18" i="9"/>
  <c r="C20" i="9"/>
  <c r="C19" i="9"/>
  <c r="J13" i="24"/>
  <c r="K14" i="6"/>
  <c r="H3" i="6"/>
  <c r="J3" i="6"/>
  <c r="M9" i="6"/>
  <c r="M8" i="6"/>
  <c r="M7" i="6"/>
  <c r="M6" i="6"/>
  <c r="M5" i="6"/>
  <c r="M4" i="6"/>
  <c r="M3" i="6"/>
  <c r="P3" i="6"/>
  <c r="K3" i="6"/>
  <c r="H4" i="6"/>
  <c r="J4" i="6"/>
  <c r="P4" i="6"/>
  <c r="K4" i="6"/>
  <c r="H5" i="6"/>
  <c r="J5" i="6"/>
  <c r="P5" i="6"/>
  <c r="K5" i="6"/>
  <c r="H6" i="6"/>
  <c r="J6" i="6"/>
  <c r="P6" i="6"/>
  <c r="K6" i="6"/>
  <c r="F14" i="6"/>
  <c r="H7" i="6"/>
  <c r="J7" i="6"/>
  <c r="P7" i="6"/>
  <c r="K7" i="6"/>
  <c r="H8" i="6"/>
  <c r="J8" i="6"/>
  <c r="P8" i="6"/>
  <c r="K8" i="6"/>
  <c r="H9" i="6"/>
  <c r="J9" i="6"/>
  <c r="P9" i="6"/>
  <c r="K9" i="6"/>
  <c r="H10" i="6"/>
  <c r="J10" i="6"/>
  <c r="P10" i="6"/>
  <c r="K10" i="6"/>
  <c r="H11" i="6"/>
  <c r="J11" i="6"/>
  <c r="P11" i="6"/>
  <c r="K11" i="6"/>
  <c r="H12" i="6"/>
  <c r="J12" i="6"/>
  <c r="P12" i="6"/>
  <c r="K12" i="6"/>
  <c r="L9" i="6"/>
  <c r="J13" i="25"/>
  <c r="J14" i="25"/>
  <c r="J26" i="25"/>
  <c r="J37" i="25"/>
  <c r="J38" i="25"/>
  <c r="J39" i="25"/>
  <c r="K27" i="9"/>
  <c r="K30" i="9"/>
  <c r="M27" i="9"/>
  <c r="M30" i="9"/>
  <c r="N27" i="9"/>
  <c r="N30" i="9"/>
  <c r="C35" i="18"/>
  <c r="L27" i="9"/>
  <c r="L30" i="9"/>
  <c r="C36" i="18"/>
  <c r="C37" i="18"/>
  <c r="J27" i="9"/>
  <c r="J30" i="9"/>
  <c r="C38" i="18"/>
  <c r="I27" i="9"/>
  <c r="I30" i="9"/>
  <c r="C39" i="18"/>
  <c r="I28" i="9"/>
  <c r="I29" i="9"/>
  <c r="B39" i="18"/>
  <c r="J28" i="9"/>
  <c r="J29" i="9"/>
  <c r="B38" i="18"/>
  <c r="K28" i="9"/>
  <c r="K29" i="9"/>
  <c r="B37" i="18"/>
  <c r="L28" i="9"/>
  <c r="L29" i="9"/>
  <c r="B36" i="18"/>
  <c r="M28" i="9"/>
  <c r="M29" i="9"/>
  <c r="B35" i="18"/>
  <c r="H27" i="9"/>
  <c r="N28" i="9"/>
  <c r="H28" i="9"/>
  <c r="N29" i="9"/>
  <c r="H29" i="9"/>
  <c r="H30" i="9"/>
  <c r="H24" i="9"/>
  <c r="H26" i="9"/>
  <c r="H4" i="9"/>
  <c r="H25" i="9"/>
  <c r="I24" i="16"/>
  <c r="P24" i="16"/>
  <c r="H5" i="9"/>
  <c r="B5" i="9"/>
  <c r="C5" i="9"/>
  <c r="C6" i="16"/>
  <c r="B6" i="16"/>
  <c r="E6" i="16"/>
  <c r="H6" i="9"/>
  <c r="B6" i="9"/>
  <c r="C6" i="9"/>
  <c r="C7" i="16"/>
  <c r="B7" i="16"/>
  <c r="E7" i="16"/>
  <c r="H7" i="9"/>
  <c r="B7" i="9"/>
  <c r="C7" i="9"/>
  <c r="C8" i="16"/>
  <c r="B8" i="16"/>
  <c r="E8" i="16"/>
  <c r="H8" i="9"/>
  <c r="B8" i="9"/>
  <c r="C8" i="9"/>
  <c r="C9" i="16"/>
  <c r="B9" i="16"/>
  <c r="E9" i="16"/>
  <c r="H9" i="9"/>
  <c r="B9" i="9"/>
  <c r="C9" i="9"/>
  <c r="C10" i="16"/>
  <c r="B10" i="16"/>
  <c r="E10" i="16"/>
  <c r="H10" i="9"/>
  <c r="B10" i="9"/>
  <c r="C10" i="9"/>
  <c r="C11" i="16"/>
  <c r="B11" i="16"/>
  <c r="E11" i="16"/>
  <c r="H11" i="9"/>
  <c r="B11" i="9"/>
  <c r="C11" i="9"/>
  <c r="C12" i="16"/>
  <c r="B12" i="16"/>
  <c r="E12" i="16"/>
  <c r="H12" i="9"/>
  <c r="B12" i="9"/>
  <c r="C12" i="9"/>
  <c r="C13" i="16"/>
  <c r="B13" i="16"/>
  <c r="E13" i="16"/>
  <c r="H13" i="9"/>
  <c r="B13" i="9"/>
  <c r="C13" i="9"/>
  <c r="C14" i="16"/>
  <c r="B14" i="16"/>
  <c r="E14" i="16"/>
  <c r="H14" i="9"/>
  <c r="B14" i="9"/>
  <c r="C14" i="9"/>
  <c r="C15" i="16"/>
  <c r="B15" i="16"/>
  <c r="E15" i="16"/>
  <c r="H15" i="9"/>
  <c r="B15" i="9"/>
  <c r="C15" i="9"/>
  <c r="C16" i="16"/>
  <c r="B16" i="16"/>
  <c r="E16" i="16"/>
  <c r="I16" i="9"/>
  <c r="J16" i="9"/>
  <c r="K16" i="9"/>
  <c r="L16" i="9"/>
  <c r="M16" i="9"/>
  <c r="N16" i="9"/>
  <c r="H16" i="9"/>
  <c r="B16" i="9"/>
  <c r="C16" i="9"/>
  <c r="C17" i="16"/>
  <c r="B17" i="16"/>
  <c r="E17" i="16"/>
  <c r="Q24" i="16"/>
  <c r="M24" i="16"/>
  <c r="C21" i="9"/>
  <c r="C22" i="16"/>
  <c r="B22" i="16"/>
  <c r="C22" i="9"/>
  <c r="C23" i="16"/>
  <c r="B23" i="16"/>
  <c r="M5" i="24"/>
  <c r="G47" i="23"/>
  <c r="J40" i="23"/>
  <c r="J35" i="23"/>
  <c r="J28" i="23"/>
  <c r="J24" i="23"/>
  <c r="J14" i="23"/>
  <c r="B19" i="9"/>
  <c r="B23" i="9"/>
  <c r="B22" i="9"/>
  <c r="B21" i="9"/>
  <c r="B20" i="9"/>
  <c r="B18" i="9"/>
  <c r="B17" i="9"/>
  <c r="H23" i="9"/>
  <c r="H22" i="9"/>
  <c r="H21" i="9"/>
  <c r="D5" i="9"/>
  <c r="D6" i="9"/>
  <c r="D7" i="9"/>
  <c r="D8" i="9"/>
  <c r="D9" i="9"/>
  <c r="D10" i="9"/>
  <c r="D11" i="9"/>
  <c r="D12" i="9"/>
  <c r="D13" i="9"/>
  <c r="D14" i="9"/>
  <c r="D15" i="9"/>
  <c r="D16" i="9"/>
  <c r="D4" i="9"/>
  <c r="D17" i="9"/>
  <c r="D18" i="9"/>
  <c r="D19" i="9"/>
  <c r="D20" i="9"/>
  <c r="D23" i="9"/>
  <c r="D24" i="9"/>
  <c r="R24" i="16"/>
  <c r="S24" i="16"/>
  <c r="C25" i="16"/>
  <c r="B25" i="9"/>
  <c r="C24" i="9"/>
  <c r="L3" i="6"/>
  <c r="L8" i="6"/>
  <c r="L7" i="6"/>
  <c r="L6" i="6"/>
  <c r="L5" i="6"/>
  <c r="L4" i="6"/>
  <c r="D19" i="16"/>
  <c r="F19" i="16"/>
  <c r="I7" i="34"/>
  <c r="C7" i="24"/>
  <c r="C7" i="34"/>
  <c r="D20" i="16"/>
  <c r="F20" i="16"/>
  <c r="C8" i="24"/>
  <c r="I8" i="34"/>
  <c r="C8" i="34"/>
  <c r="D21" i="16"/>
  <c r="F21" i="16"/>
  <c r="C9" i="24"/>
  <c r="I9" i="34"/>
  <c r="C9" i="34"/>
  <c r="D18" i="16"/>
  <c r="F18" i="16"/>
  <c r="C12" i="24"/>
  <c r="I12" i="34"/>
  <c r="C12" i="34"/>
  <c r="D5" i="16"/>
  <c r="F5" i="16"/>
  <c r="C5" i="24"/>
  <c r="I5" i="34"/>
  <c r="C5" i="34"/>
  <c r="B7" i="24"/>
  <c r="B7" i="34"/>
  <c r="B8" i="24"/>
  <c r="B8" i="34"/>
  <c r="B9" i="24"/>
  <c r="B9" i="34"/>
  <c r="B12" i="24"/>
  <c r="B12" i="34"/>
  <c r="B5" i="24"/>
  <c r="B5" i="34"/>
  <c r="I19" i="16"/>
  <c r="P19" i="16"/>
  <c r="Q19" i="16"/>
  <c r="E24" i="16"/>
  <c r="I20" i="16"/>
  <c r="I21" i="16"/>
  <c r="D7" i="16"/>
  <c r="F7" i="16"/>
  <c r="I7" i="16"/>
  <c r="P7" i="16"/>
  <c r="D8" i="16"/>
  <c r="F8" i="16"/>
  <c r="I8" i="16"/>
  <c r="P8" i="16"/>
  <c r="D9" i="16"/>
  <c r="F9" i="16"/>
  <c r="I9" i="16"/>
  <c r="P9" i="16"/>
  <c r="D10" i="16"/>
  <c r="F10" i="16"/>
  <c r="I10" i="16"/>
  <c r="P10" i="16"/>
  <c r="D11" i="16"/>
  <c r="F11" i="16"/>
  <c r="I11" i="16"/>
  <c r="P11" i="16"/>
  <c r="D12" i="16"/>
  <c r="F12" i="16"/>
  <c r="I12" i="16"/>
  <c r="P12" i="16"/>
  <c r="D13" i="16"/>
  <c r="F13" i="16"/>
  <c r="I13" i="16"/>
  <c r="P13" i="16"/>
  <c r="D14" i="16"/>
  <c r="F14" i="16"/>
  <c r="I14" i="16"/>
  <c r="D15" i="16"/>
  <c r="F15" i="16"/>
  <c r="I15" i="16"/>
  <c r="P15" i="16"/>
  <c r="D16" i="16"/>
  <c r="F16" i="16"/>
  <c r="I16" i="16"/>
  <c r="D17" i="16"/>
  <c r="F17" i="16"/>
  <c r="I17" i="16"/>
  <c r="D6" i="16"/>
  <c r="F6" i="16"/>
  <c r="I6" i="16"/>
  <c r="P6" i="16"/>
  <c r="Q20" i="16"/>
  <c r="Q21" i="16"/>
  <c r="Q7" i="16"/>
  <c r="Q8" i="16"/>
  <c r="Q9" i="16"/>
  <c r="Q10" i="16"/>
  <c r="Q11" i="16"/>
  <c r="Q12" i="16"/>
  <c r="Q13" i="16"/>
  <c r="Q14" i="16"/>
  <c r="Q15" i="16"/>
  <c r="Q16" i="16"/>
  <c r="Q17" i="16"/>
  <c r="Q6" i="16"/>
  <c r="Q5" i="16"/>
  <c r="I5" i="16"/>
  <c r="R6" i="16"/>
  <c r="S6" i="16"/>
  <c r="R7" i="16"/>
  <c r="S7" i="16"/>
  <c r="R8" i="16"/>
  <c r="S8" i="16"/>
  <c r="R9" i="16"/>
  <c r="S9" i="16"/>
  <c r="R10" i="16"/>
  <c r="S10" i="16"/>
  <c r="R11" i="16"/>
  <c r="S11" i="16"/>
  <c r="R12" i="16"/>
  <c r="S12" i="16"/>
  <c r="R13" i="16"/>
  <c r="S13" i="16"/>
  <c r="R14" i="16"/>
  <c r="S14" i="16"/>
  <c r="R15" i="16"/>
  <c r="S15" i="16"/>
  <c r="R16" i="16"/>
  <c r="S16" i="16"/>
  <c r="R17" i="16"/>
  <c r="S17" i="16"/>
  <c r="R19" i="16"/>
  <c r="S19" i="16"/>
  <c r="R20" i="16"/>
  <c r="S20" i="16"/>
  <c r="R21" i="16"/>
  <c r="S21" i="16"/>
  <c r="R5" i="16"/>
  <c r="S5" i="16"/>
  <c r="I18" i="16"/>
  <c r="Q18" i="16"/>
  <c r="R18" i="16"/>
  <c r="L14" i="6"/>
  <c r="F25" i="16"/>
  <c r="G19" i="16"/>
  <c r="G20" i="16"/>
  <c r="G21" i="16"/>
  <c r="G24" i="16"/>
  <c r="G5" i="16"/>
  <c r="G18" i="16"/>
  <c r="G25" i="16"/>
  <c r="F22" i="16"/>
  <c r="I6" i="34"/>
  <c r="C6" i="24"/>
  <c r="C6" i="34"/>
  <c r="F23" i="16"/>
  <c r="I10" i="34"/>
  <c r="C10" i="24"/>
  <c r="C10" i="34"/>
  <c r="B6" i="24"/>
  <c r="B6" i="34"/>
  <c r="B10" i="24"/>
  <c r="B10" i="34"/>
  <c r="I22" i="16"/>
  <c r="Q22" i="16"/>
  <c r="I23" i="16"/>
  <c r="Q23" i="16"/>
  <c r="Q25" i="16"/>
  <c r="P22" i="16"/>
  <c r="P23" i="16"/>
  <c r="P18" i="16"/>
  <c r="B13" i="24"/>
  <c r="B13" i="34"/>
  <c r="C13" i="34"/>
  <c r="M18" i="16"/>
  <c r="N18" i="16"/>
  <c r="N24" i="16"/>
  <c r="M23" i="16"/>
  <c r="N23" i="16"/>
  <c r="M21" i="16"/>
  <c r="N21" i="16"/>
  <c r="M20" i="16"/>
  <c r="N20" i="16"/>
  <c r="M19" i="16"/>
  <c r="N19" i="16"/>
  <c r="D13" i="24"/>
  <c r="I15" i="24"/>
  <c r="M6" i="16"/>
  <c r="N6" i="16"/>
  <c r="M7" i="16"/>
  <c r="N7" i="16"/>
  <c r="M8" i="16"/>
  <c r="N8" i="16"/>
  <c r="M9" i="16"/>
  <c r="N9" i="16"/>
  <c r="M10" i="16"/>
  <c r="N10" i="16"/>
  <c r="M11" i="16"/>
  <c r="N11" i="16"/>
  <c r="M12" i="16"/>
  <c r="N12" i="16"/>
  <c r="M13" i="16"/>
  <c r="N13" i="16"/>
  <c r="M14" i="16"/>
  <c r="N14" i="16"/>
  <c r="M15" i="16"/>
  <c r="N15" i="16"/>
  <c r="M16" i="16"/>
  <c r="N16" i="16"/>
  <c r="M17" i="16"/>
  <c r="N17" i="16"/>
  <c r="N25" i="16"/>
  <c r="D23" i="16"/>
  <c r="E23" i="16"/>
  <c r="R22" i="16"/>
  <c r="S22" i="16"/>
  <c r="R23" i="16"/>
  <c r="S23" i="16"/>
  <c r="I25" i="16"/>
  <c r="P27" i="16"/>
  <c r="R25" i="16"/>
  <c r="S25" i="16"/>
  <c r="G6" i="16"/>
  <c r="G7" i="16"/>
  <c r="G8" i="16"/>
  <c r="G9" i="16"/>
  <c r="G10" i="16"/>
  <c r="G11" i="16"/>
  <c r="G12" i="16"/>
  <c r="G13" i="16"/>
  <c r="G14" i="16"/>
  <c r="G15" i="16"/>
  <c r="G16" i="16"/>
  <c r="G17" i="16"/>
  <c r="D22" i="16"/>
  <c r="E22" i="16"/>
  <c r="E25" i="16"/>
  <c r="D12" i="24"/>
  <c r="D11" i="24"/>
  <c r="D10" i="24"/>
  <c r="D9" i="24"/>
  <c r="D8" i="24"/>
  <c r="D7" i="24"/>
  <c r="D6" i="24"/>
  <c r="D5" i="24"/>
  <c r="C13" i="24"/>
</calcChain>
</file>

<file path=xl/comments1.xml><?xml version="1.0" encoding="utf-8"?>
<comments xmlns="http://schemas.openxmlformats.org/spreadsheetml/2006/main">
  <authors>
    <author>Microsoft Office User</author>
  </authors>
  <commentList>
    <comment ref="K19" authorId="0">
      <text>
        <r>
          <rPr>
            <b/>
            <sz val="10"/>
            <color indexed="81"/>
            <rFont val="Calibri"/>
          </rPr>
          <t>Microsoft Office User:</t>
        </r>
        <r>
          <rPr>
            <sz val="10"/>
            <color indexed="81"/>
            <rFont val="Calibri"/>
          </rPr>
          <t xml:space="preserve">
Japan: 50%; South Korea: 45% Australia: 0%; New Zealand: 0%</t>
        </r>
      </text>
    </comment>
  </commentList>
</comments>
</file>

<file path=xl/sharedStrings.xml><?xml version="1.0" encoding="utf-8"?>
<sst xmlns="http://schemas.openxmlformats.org/spreadsheetml/2006/main" count="312" uniqueCount="257">
  <si>
    <t>Share belonging to Europeans</t>
  </si>
  <si>
    <t>Fraction of Europe's financial wealth held in Switzerland</t>
  </si>
  <si>
    <t>Fiduciary deposits</t>
  </si>
  <si>
    <t>Of which: foreign securities belonging to foreigners</t>
  </si>
  <si>
    <t>Of which: Swiss securities belonging to foreigners, undeclared</t>
  </si>
  <si>
    <t>Of which: foreign securities wrongly attributed to Switzerland</t>
  </si>
  <si>
    <t>Total offshore wealth in Switzerland</t>
  </si>
  <si>
    <t>Securities in custody in Swiss banks</t>
  </si>
  <si>
    <t>Memo: Europe national income</t>
  </si>
  <si>
    <t>Europe's wealth in all tax havens</t>
  </si>
  <si>
    <t>Fraction of securities in custody in Switzerland held offshore by foreigners</t>
  </si>
  <si>
    <t>European fortunes in Switzerland</t>
  </si>
  <si>
    <t>(Memo: UK + France + Germany national income)</t>
  </si>
  <si>
    <t>Memo: Europe net financial wealth/national income</t>
  </si>
  <si>
    <t>Memo: Europe's net financial wealth</t>
  </si>
  <si>
    <t>Africa</t>
  </si>
  <si>
    <t>Europe</t>
  </si>
  <si>
    <t>Total</t>
  </si>
  <si>
    <t>m x mu</t>
  </si>
  <si>
    <t>r (nominal)</t>
  </si>
  <si>
    <t>Tax havens</t>
  </si>
  <si>
    <t>Middle East</t>
  </si>
  <si>
    <t>Latin and South America</t>
  </si>
  <si>
    <t>Asia</t>
  </si>
  <si>
    <t>North America</t>
  </si>
  <si>
    <t>(Memo: Caribbean)</t>
  </si>
  <si>
    <t>En 2013, la fraude permise par le secret bancaire a coûé 130 milliards d'euros aux États du monde entier.</t>
  </si>
  <si>
    <t>Clearstream (Luxembourg)</t>
  </si>
  <si>
    <t>Euroclear France (France)</t>
  </si>
  <si>
    <t>Despository Trust Corporation     (USA)</t>
  </si>
  <si>
    <t>Finance</t>
  </si>
  <si>
    <t>Who owns Swiss accounts</t>
  </si>
  <si>
    <t>Other central securities depositories &amp; other sources</t>
  </si>
  <si>
    <t>Other tax administrations</t>
  </si>
  <si>
    <t>The companies Clearstream, Euroclear, etc. feed the world financial register.  Tax authorities can verify that tax-payers indeed declare all the financial securities included in the register</t>
  </si>
  <si>
    <t>The case for a world financial register</t>
  </si>
  <si>
    <t>World financial register</t>
  </si>
  <si>
    <t>U.S. tax authority</t>
  </si>
  <si>
    <t>U.K. tax authority</t>
  </si>
  <si>
    <t>French tax authority</t>
  </si>
  <si>
    <t>US$ billion</t>
  </si>
  <si>
    <t>% of total</t>
  </si>
  <si>
    <t>Tax revenue losses</t>
  </si>
  <si>
    <t>Investments</t>
  </si>
  <si>
    <t>Gulf countries</t>
  </si>
  <si>
    <t>Latin America</t>
  </si>
  <si>
    <t>Russia</t>
  </si>
  <si>
    <r>
      <t xml:space="preserve">     </t>
    </r>
    <r>
      <rPr>
        <sz val="12"/>
        <color theme="1"/>
        <rFont val="Arial"/>
        <family val="2"/>
      </rPr>
      <t>Of which: through shell companies</t>
    </r>
  </si>
  <si>
    <t xml:space="preserve">   Germany</t>
  </si>
  <si>
    <t xml:space="preserve">   France</t>
  </si>
  <si>
    <t xml:space="preserve">   Italy</t>
  </si>
  <si>
    <t xml:space="preserve">   UK</t>
  </si>
  <si>
    <t xml:space="preserve">   Spain</t>
  </si>
  <si>
    <t xml:space="preserve">   Greece</t>
  </si>
  <si>
    <t xml:space="preserve">   Belgium</t>
  </si>
  <si>
    <t xml:space="preserve">   Portugal</t>
  </si>
  <si>
    <t xml:space="preserve">   Poland</t>
  </si>
  <si>
    <t xml:space="preserve">   Sweden</t>
  </si>
  <si>
    <t xml:space="preserve">   Norway</t>
  </si>
  <si>
    <t xml:space="preserve">   Other</t>
  </si>
  <si>
    <r>
      <t>Fiduciary deposits official SNB data "Banks in Switzerland" 201</t>
    </r>
    <r>
      <rPr>
        <sz val="12"/>
        <color theme="1"/>
        <rFont val="Arial"/>
        <family val="2"/>
      </rPr>
      <t>3</t>
    </r>
  </si>
  <si>
    <r>
      <t>2008-201</t>
    </r>
    <r>
      <rPr>
        <sz val="12"/>
        <color theme="1"/>
        <rFont val="Arial"/>
        <family val="2"/>
      </rPr>
      <t>3</t>
    </r>
  </si>
  <si>
    <r>
      <t>Within Europe, shares are obtained from 2008-201</t>
    </r>
    <r>
      <rPr>
        <sz val="12"/>
        <color theme="1"/>
        <rFont val="Arial"/>
        <family val="2"/>
      </rPr>
      <t>3</t>
    </r>
    <r>
      <rPr>
        <sz val="12"/>
        <color theme="1"/>
        <rFont val="Arial"/>
        <family val="2"/>
      </rPr>
      <t xml:space="preserve"> average shares of individual European countries in European-owned fiduciary deposits</t>
    </r>
  </si>
  <si>
    <t>United States</t>
  </si>
  <si>
    <t>Canada</t>
  </si>
  <si>
    <t>North America is split into USA (2/3 of North America based on average share of US in 2008-2013 North American fiduciary deposits) and Canada (1/3)</t>
  </si>
  <si>
    <t>USA ($80bn) and Canda ($40bn)</t>
  </si>
  <si>
    <r>
      <t>Total offshore wealth in Switzerland:            $</t>
    </r>
    <r>
      <rPr>
        <b/>
        <sz val="18"/>
        <rFont val="Arial"/>
        <family val="2"/>
      </rPr>
      <t>2,300bn</t>
    </r>
  </si>
  <si>
    <t>Luxembourg mutual funds:            $750bn</t>
  </si>
  <si>
    <t>Irish mutual funds:  $200bn</t>
  </si>
  <si>
    <t>Global equities (US, etc.) :                                        $500bn</t>
  </si>
  <si>
    <t>Global bonds: $600bn</t>
  </si>
  <si>
    <t>Deposits, other: $250bn</t>
  </si>
  <si>
    <r>
      <t>(%</t>
    </r>
    <r>
      <rPr>
        <sz val="12"/>
        <color theme="1"/>
        <rFont val="Arial"/>
        <family val="2"/>
      </rPr>
      <t>)</t>
    </r>
  </si>
  <si>
    <t>(%)</t>
  </si>
  <si>
    <t>% of offshore wealth declared</t>
  </si>
  <si>
    <t>Top marginal inheritance/estate tax rate</t>
  </si>
  <si>
    <t>Welath tax rate</t>
  </si>
  <si>
    <r>
      <rPr>
        <sz val="12"/>
        <color theme="1"/>
        <rFont val="Arial"/>
        <family val="2"/>
      </rPr>
      <t>Income + wealth tax revenue losses</t>
    </r>
    <r>
      <rPr>
        <sz val="12"/>
        <color theme="1"/>
        <rFont val="Arial"/>
        <family val="2"/>
      </rPr>
      <t xml:space="preserve"> (% </t>
    </r>
    <r>
      <rPr>
        <sz val="12"/>
        <color theme="1"/>
        <rFont val="Arial"/>
        <family val="2"/>
      </rPr>
      <t>undeclared income)</t>
    </r>
  </si>
  <si>
    <t>Offshore wealth ($ bn)</t>
  </si>
  <si>
    <t>Share of financial wealth held offshore</t>
  </si>
  <si>
    <t>Tax revenue loss ($ bn)</t>
  </si>
  <si>
    <t>Gross financial wealth per adult ($)</t>
  </si>
  <si>
    <t>Debt per adult ($)</t>
  </si>
  <si>
    <t>Number of adults (mn)</t>
  </si>
  <si>
    <t>USA</t>
  </si>
  <si>
    <t>Industry</t>
  </si>
  <si>
    <r>
      <t xml:space="preserve">Of which wealth tax:                        </t>
    </r>
    <r>
      <rPr>
        <b/>
        <sz val="15.7"/>
        <rFont val="Arial"/>
        <family val="2"/>
      </rPr>
      <t xml:space="preserve"> $10bn</t>
    </r>
  </si>
  <si>
    <t>Liechtenstein</t>
  </si>
  <si>
    <t>Total incl. Liechtenstein</t>
  </si>
  <si>
    <t>Share shell</t>
  </si>
  <si>
    <t>Share Europe</t>
  </si>
  <si>
    <t>Tax havens excl. Liechtenstein</t>
  </si>
  <si>
    <t>Tax havens incl. Liechtenstein</t>
  </si>
  <si>
    <t>Total excl. Liechtenstein</t>
  </si>
  <si>
    <t>Source: Zucman (2013, Appendix Table A25) through to 2008; 2009-2013: update based on SNB's Banks in Switzerland yearly data</t>
  </si>
  <si>
    <t>Swiss bank accounts (2017)</t>
  </si>
  <si>
    <t>Financial wealth in tax havens (2016)</t>
  </si>
  <si>
    <t>In 2016, on a global scale households on average owned 8% of their financial wealth through bank accounts in tax havens. One-third of the world’s offshore wealth was in Switzerland</t>
  </si>
  <si>
    <r>
      <t xml:space="preserve">Held offshore (in tax havens throughout the world):                       </t>
    </r>
    <r>
      <rPr>
        <b/>
        <sz val="14"/>
        <rFont val="Arial"/>
        <family val="2"/>
      </rPr>
      <t xml:space="preserve"> 8.7 trillion $            </t>
    </r>
    <r>
      <rPr>
        <sz val="14"/>
        <rFont val="Arial"/>
        <family val="2"/>
      </rPr>
      <t>(8%)</t>
    </r>
  </si>
  <si>
    <r>
      <t xml:space="preserve">Around 25% of offshore wealth is in Switzerland:                                                              </t>
    </r>
    <r>
      <rPr>
        <b/>
        <sz val="14"/>
        <rFont val="Arial"/>
        <family val="2"/>
      </rPr>
      <t xml:space="preserve"> 2.3 trillion $</t>
    </r>
  </si>
  <si>
    <r>
      <t xml:space="preserve">75% is in tax havens other than Switzerland (Singapore, Cayman islands…):                          </t>
    </r>
    <r>
      <rPr>
        <b/>
        <sz val="14"/>
        <rFont val="Arial"/>
        <family val="2"/>
      </rPr>
      <t>6.4 trillion $</t>
    </r>
  </si>
  <si>
    <t>Net financial wealth (onshore + offshore)</t>
  </si>
  <si>
    <t>Net onshore recorded financial wealth (bn$)</t>
  </si>
  <si>
    <t>Russia: 75% of the benchmark estimate of Novokmet, Piketty and Zucman (2017) for 2015, converted to US$ using current market exchange rate (1$ = 60 rb). 25% remaining percent  assumed to correspond to wealth of non-residents oligarchs.</t>
  </si>
  <si>
    <t>Gulf countries:                     $180bn</t>
  </si>
  <si>
    <t>Latin America: $260bn</t>
  </si>
  <si>
    <t>Russia (3%) is isolated from Asia (which thus moves from 13% to 13% - 3% + 3.5% = 13.5%).</t>
  </si>
  <si>
    <t>Non-oil Middle East countries (about 1.5%) are merged with Africa (which thus increases from 5% to 5% +1.5% +3.5% = 10%)</t>
  </si>
  <si>
    <t>Europe is reduced by 10 points to account for post-2005 evolution; Russia, is increased by 3 points and Asia and Africa by 3.5 points each.</t>
  </si>
  <si>
    <t>The global cost of offshore tax evasion (2016)</t>
  </si>
  <si>
    <r>
      <t>Global household wealth in tax havens</t>
    </r>
    <r>
      <rPr>
        <sz val="15.7"/>
        <rFont val="Arial"/>
        <family val="2"/>
      </rPr>
      <t>:                                                                                         $</t>
    </r>
    <r>
      <rPr>
        <b/>
        <sz val="15.7"/>
        <rFont val="Arial"/>
        <family val="2"/>
      </rPr>
      <t xml:space="preserve">8,700bn  </t>
    </r>
    <r>
      <rPr>
        <sz val="15.7"/>
        <rFont val="Arial"/>
        <family val="2"/>
      </rPr>
      <t xml:space="preserve">                                                                                                                                   (100%)</t>
    </r>
  </si>
  <si>
    <r>
      <t>2017</t>
    </r>
    <r>
      <rPr>
        <sz val="12"/>
        <color theme="1"/>
        <rFont val="Arial"/>
        <family val="2"/>
      </rPr>
      <t xml:space="preserve"> (euros)</t>
    </r>
  </si>
  <si>
    <t>Continental shares are from Zucman (2013, Table A26, line for 2004, the last year which is note contaminated by the saving directive), with the following changes:</t>
  </si>
  <si>
    <t>Notes: Total for Swiss offshore wealth is from UpdatedZucman2014JEPdata Table S.1, using April 2017 SNB data point ($2,252bn, rounded to $2,300).</t>
  </si>
  <si>
    <r>
      <rPr>
        <b/>
        <u/>
        <sz val="12"/>
        <color theme="1"/>
        <rFont val="Arial"/>
        <family val="2"/>
      </rPr>
      <t>Notes</t>
    </r>
    <r>
      <rPr>
        <b/>
        <sz val="12"/>
        <color theme="1"/>
        <rFont val="Arial"/>
        <family val="2"/>
      </rPr>
      <t xml:space="preserve">: </t>
    </r>
    <r>
      <rPr>
        <sz val="12"/>
        <color theme="1"/>
        <rFont val="Arial"/>
        <family val="2"/>
      </rPr>
      <t>All figures in current billion US$. 1910 is the average of 1910-1919, 1920 the average of 1920-1929, ..., 2010 the average of 2010-2016, and 2017 is 2017. Swiss data for the 2010s data point are set equal to their 2013 value (taken from the first edition of the book  (Zucman, 2013) and obtained as 56% of all 2013 offshore wealth in Switzerland); total offshore wealth of Europeans for the 2010s data point is assumed to be 2 times the Swiss offshore wealth of Europeans</t>
    </r>
    <r>
      <rPr>
        <b/>
        <sz val="12"/>
        <color theme="1"/>
        <rFont val="Arial"/>
        <family val="2"/>
      </rPr>
      <t xml:space="preserve">. </t>
    </r>
    <r>
      <rPr>
        <b/>
        <u/>
        <sz val="12"/>
        <color theme="1"/>
        <rFont val="Arial"/>
        <family val="2"/>
      </rPr>
      <t>Sources</t>
    </r>
    <r>
      <rPr>
        <b/>
        <sz val="12"/>
        <color theme="1"/>
        <rFont val="Arial"/>
        <family val="2"/>
      </rPr>
      <t xml:space="preserve">: </t>
    </r>
    <r>
      <rPr>
        <sz val="12"/>
        <color theme="1"/>
        <rFont val="Arial"/>
        <family val="2"/>
      </rPr>
      <t>Securities in custody in Swiss banks and fiduciary deposits: See detailed computations &amp; explanations in "SwissBanks20c.xlsx" and the Appendix of the book</t>
    </r>
    <r>
      <rPr>
        <b/>
        <sz val="12"/>
        <color theme="1"/>
        <rFont val="Arial"/>
        <family val="2"/>
      </rPr>
      <t xml:space="preserve">. </t>
    </r>
    <r>
      <rPr>
        <sz val="12"/>
        <color theme="1"/>
        <rFont val="Arial"/>
        <family val="2"/>
      </rPr>
      <t>Europe net financial wealth / national income 1910: 30% of the average 1910-1919 private wealth-national income ratio of the UK, Germany and France, as reported in Piketty-Zucman (2014, Table A5). 1920-1980: 40% of the European private wealth-income ratio in Piketty-Zucman (2014, Table A8) . 1990-2013: Eurostat (EU 27 data. Series start in 1995 and I assume the same yearly growth rate over 1990-1995 as in 1995-1996, consistent with UK, French and German data). Europe's national income 1980-2012: Eurostat data (EU27. Convereted to US$ using year-average exchange rates); 2010s national income = 2012 national income in euros times 1.3 (memo: euro/dollar exchange rate as of May 2013: 1.304); 1910-1970: based on the evolution of French, UK and German national incomes in current US dollars, as reported in Piketty-Zucman (2014, Table A153). 2017 European national income: assume growth rate of 10% in euros over 2010s data point; 2017 European onshore financial wealth: assume same ratio to national income as in 2010s. 2017 euro/$ exchange rate used is 1.1.</t>
    </r>
  </si>
  <si>
    <t>In 2017 banks domiciled in Switzerland manage 2.3 trillion dollars belonging to non-residents. Within this total, 1.06 trillion belong to Europeans. 40% of the wealth managed in Switzerland is placed in mutual funds, principally in Luxembourg.</t>
  </si>
  <si>
    <t>Asia: $310bn</t>
  </si>
  <si>
    <t>Africa: $230bn</t>
  </si>
  <si>
    <t>Russia: $140bn</t>
  </si>
  <si>
    <t>UK deposits are divided by 4 to account for non-doms and sham corporations; this is very uncertain</t>
  </si>
  <si>
    <t xml:space="preserve">Estimation of net onshore financial wealth (= recorded financial assets minus liabilities): </t>
  </si>
  <si>
    <t>Europe: See notes to Figure 1.</t>
  </si>
  <si>
    <t>Russia: Novokmet, Piketty and Zucman (2017)</t>
  </si>
  <si>
    <t>Other countries: Credit Suise (2013), upgraded by 15% to account for evolution since 2013 (and possible under-estimation in Credit Suisse).</t>
  </si>
  <si>
    <t>USA: PSZ (2017), Table B1, mid-2015 value upgraded by 5% to approximate 2016.</t>
  </si>
  <si>
    <t>Estimation of total offshore wealth:</t>
  </si>
  <si>
    <t>Who bears the cost of tax havens (2016)</t>
  </si>
  <si>
    <t>We assume that 75% of offshore wealth is undeclared (both in tax data and in the national accounts statistics); hence to compute net financial wealth (onshore + offshore) we add 75% of offshore wealth to recorded net onshore financial wealth</t>
  </si>
  <si>
    <t>$8,700 billion grand total taken from AJZ (2017) Appendix I.</t>
  </si>
  <si>
    <r>
      <rPr>
        <sz val="15.7"/>
        <rFont val="Arial"/>
        <family val="2"/>
      </rPr>
      <t>World financial wealth</t>
    </r>
    <r>
      <rPr>
        <b/>
        <sz val="15.7"/>
        <rFont val="Arial"/>
        <family val="2"/>
      </rPr>
      <t xml:space="preserve">:                                 108.3 trillion $                         </t>
    </r>
    <r>
      <rPr>
        <sz val="15.7"/>
        <rFont val="Arial"/>
        <family val="2"/>
      </rPr>
      <t>(100%)</t>
    </r>
  </si>
  <si>
    <r>
      <t xml:space="preserve">Held onshore (in the U.S., Japan, France…) :             </t>
    </r>
    <r>
      <rPr>
        <b/>
        <sz val="14"/>
        <rFont val="Arial"/>
        <family val="2"/>
      </rPr>
      <t xml:space="preserve">99.6 trillion $               </t>
    </r>
    <r>
      <rPr>
        <sz val="14"/>
        <rFont val="Arial"/>
        <family val="2"/>
      </rPr>
      <t>(92 %)</t>
    </r>
  </si>
  <si>
    <r>
      <t>Of which declared:             $</t>
    </r>
    <r>
      <rPr>
        <b/>
        <sz val="15.7"/>
        <rFont val="Arial"/>
        <family val="2"/>
      </rPr>
      <t xml:space="preserve">2,200bn </t>
    </r>
    <r>
      <rPr>
        <sz val="15.7"/>
        <rFont val="Arial"/>
        <family val="2"/>
      </rPr>
      <t xml:space="preserve">              (25%)</t>
    </r>
  </si>
  <si>
    <r>
      <t>Of which undeclared :                                                                                              $</t>
    </r>
    <r>
      <rPr>
        <b/>
        <sz val="15.7"/>
        <rFont val="Arial"/>
        <family val="2"/>
      </rPr>
      <t xml:space="preserve">6,500bn </t>
    </r>
    <r>
      <rPr>
        <sz val="15.7"/>
        <rFont val="Arial"/>
        <family val="2"/>
      </rPr>
      <t xml:space="preserve">                                                                                        (75%)                                                                          </t>
    </r>
  </si>
  <si>
    <r>
      <t>Europe:                                           $</t>
    </r>
    <r>
      <rPr>
        <b/>
        <sz val="14"/>
        <rFont val="Arial"/>
        <family val="2"/>
      </rPr>
      <t>1,060bn</t>
    </r>
    <r>
      <rPr>
        <sz val="14"/>
        <rFont val="Arial"/>
        <family val="2"/>
      </rPr>
      <t>.                         Of which:                    Germany: $210bn          France: $190bn            Italy: $120bn                  UK: $110bn                  Spain: $90bn          Greece: $60bn         Belgium: $60bn           Portugal: $40bn          Other: $180bn</t>
    </r>
  </si>
  <si>
    <t>Les comptes en Suisse (2017)</t>
  </si>
  <si>
    <t>Les détenteurs de comptes en Suisse</t>
  </si>
  <si>
    <t>Les placements réalisés</t>
  </si>
  <si>
    <t>€</t>
  </si>
  <si>
    <t xml:space="preserve">En 2017, les banques situées sur le territoire suisse gèrent 2 100 milliards d'euros appartenant à des non-résidents. Au sein de ce total, 960 milliards appartiennent à des Européens. 40 % des fortunes gérées en Suisse sont placées dans des fonds d'investissements, principalement luxembourgeois. </t>
  </si>
  <si>
    <r>
      <t xml:space="preserve">Europe :                                     </t>
    </r>
    <r>
      <rPr>
        <b/>
        <sz val="14"/>
        <rFont val="Arial"/>
        <family val="2"/>
      </rPr>
      <t xml:space="preserve"> 960 milliards €</t>
    </r>
    <r>
      <rPr>
        <sz val="14"/>
        <rFont val="Arial"/>
        <family val="2"/>
      </rPr>
      <t>.             Dont:                     Allemagne: 190 Mds €          France: 170 Mds €            Italie: 110 Mds €                  Royaume-Uni: 100 Mds €         Espagne: 80 Mds €          Grèce: 50 Mds €         Belgique: 50 Mds €           Portugal: 40 Mds €          Autres: 170 Mds €</t>
    </r>
  </si>
  <si>
    <t>Pays du Golfe :                     170 milliards €</t>
  </si>
  <si>
    <t>Asie : 280 milliards €</t>
  </si>
  <si>
    <t>Amérique latine: 240 milliards €</t>
  </si>
  <si>
    <t>Afrique: 210 milliards €</t>
  </si>
  <si>
    <t>Amérique du Nord:                     110 milliards €</t>
  </si>
  <si>
    <t>Russie: 130 milliards €</t>
  </si>
  <si>
    <r>
      <t>Total des fortunes gérées en Suisse :             </t>
    </r>
    <r>
      <rPr>
        <b/>
        <sz val="18"/>
        <rFont val="Arial"/>
        <family val="2"/>
      </rPr>
      <t>2 100 milliards €</t>
    </r>
  </si>
  <si>
    <t>Fonds d'investissements luxembourgeois :           750 milliards €</t>
  </si>
  <si>
    <t>Fonds d'investissements irlandais : 200 milliards €</t>
  </si>
  <si>
    <t>Actions internationales (américaines, etc.) :                                         500 milliards €</t>
  </si>
  <si>
    <t>Obligations internationales (allemandes, etc.) :                                600 milliards €</t>
  </si>
  <si>
    <t>Autres (dépôts à terme, autres fonds…) :              250 milliards €</t>
  </si>
  <si>
    <t>La richesse financière dans les paradis fiscaux (2016)</t>
  </si>
  <si>
    <r>
      <rPr>
        <sz val="15.7"/>
        <rFont val="Arial"/>
        <family val="2"/>
      </rPr>
      <t>Patrimoine financier mondial</t>
    </r>
    <r>
      <rPr>
        <b/>
        <sz val="15.7"/>
        <rFont val="Arial"/>
        <family val="2"/>
      </rPr>
      <t xml:space="preserve"> :                                 98 400                  milliards €                         </t>
    </r>
    <r>
      <rPr>
        <sz val="15.7"/>
        <rFont val="Arial"/>
        <family val="2"/>
      </rPr>
      <t>(100%)</t>
    </r>
  </si>
  <si>
    <r>
      <t xml:space="preserve">Détenu </t>
    </r>
    <r>
      <rPr>
        <i/>
        <sz val="14"/>
        <rFont val="Arial"/>
        <family val="2"/>
      </rPr>
      <t>offshore (</t>
    </r>
    <r>
      <rPr>
        <sz val="14"/>
        <rFont val="Arial"/>
        <family val="2"/>
      </rPr>
      <t xml:space="preserve">dans les paradis fiscaux du monde entier) :                       </t>
    </r>
    <r>
      <rPr>
        <b/>
        <sz val="14"/>
        <rFont val="Arial"/>
        <family val="2"/>
      </rPr>
      <t xml:space="preserve"> 7 900                     milliards €             </t>
    </r>
    <r>
      <rPr>
        <sz val="14"/>
        <rFont val="Arial"/>
        <family val="2"/>
      </rPr>
      <t>(8%)</t>
    </r>
  </si>
  <si>
    <r>
      <t xml:space="preserve">Détenu </t>
    </r>
    <r>
      <rPr>
        <i/>
        <sz val="14"/>
        <rFont val="Arial"/>
        <family val="2"/>
      </rPr>
      <t>onshore</t>
    </r>
    <r>
      <rPr>
        <sz val="14"/>
        <rFont val="Arial"/>
        <family val="2"/>
      </rPr>
      <t xml:space="preserve"> (aux États-Unis, au Japon en France…) :              </t>
    </r>
    <r>
      <rPr>
        <b/>
        <sz val="14"/>
        <rFont val="Arial"/>
        <family val="2"/>
      </rPr>
      <t xml:space="preserve">90 500                  milliards €               </t>
    </r>
    <r>
      <rPr>
        <sz val="14"/>
        <rFont val="Arial"/>
        <family val="2"/>
      </rPr>
      <t>(92 %)</t>
    </r>
  </si>
  <si>
    <r>
      <t xml:space="preserve">Plus de 25%  des fortunes </t>
    </r>
    <r>
      <rPr>
        <i/>
        <sz val="14"/>
        <rFont val="Arial"/>
        <family val="2"/>
      </rPr>
      <t xml:space="preserve">offshore </t>
    </r>
    <r>
      <rPr>
        <sz val="14"/>
        <rFont val="Arial"/>
        <family val="2"/>
      </rPr>
      <t xml:space="preserve">sont en Suisse :                                                              </t>
    </r>
    <r>
      <rPr>
        <b/>
        <sz val="14"/>
        <rFont val="Arial"/>
        <family val="2"/>
      </rPr>
      <t xml:space="preserve"> 2 100  milliards €</t>
    </r>
  </si>
  <si>
    <r>
      <t xml:space="preserve">Preès de 75 % sont dans les paradis fiscaux autres que la Suisse (Singapour, îles Caïmans…) :                                 </t>
    </r>
    <r>
      <rPr>
        <b/>
        <sz val="14"/>
        <rFont val="Arial"/>
        <family val="2"/>
      </rPr>
      <t>5 800 milliards €</t>
    </r>
  </si>
  <si>
    <t>Le coût mondial de la fraude dans les paradis fiscaux</t>
  </si>
  <si>
    <r>
      <rPr>
        <sz val="15.7"/>
        <rFont val="Arial"/>
        <family val="2"/>
      </rPr>
      <t xml:space="preserve">Patrimoine financier mondial détenu dans les paradis fiscaux :                                                                                         </t>
    </r>
    <r>
      <rPr>
        <b/>
        <sz val="15.7"/>
        <rFont val="Arial"/>
        <family val="2"/>
      </rPr>
      <t xml:space="preserve">7 900 milliards €  </t>
    </r>
    <r>
      <rPr>
        <sz val="15.7"/>
        <rFont val="Arial"/>
        <family val="2"/>
      </rPr>
      <t xml:space="preserve">                                                                                                                                   (100%)</t>
    </r>
  </si>
  <si>
    <r>
      <t xml:space="preserve">Dont déclaré :              </t>
    </r>
    <r>
      <rPr>
        <b/>
        <sz val="15.7"/>
        <rFont val="Arial"/>
        <family val="2"/>
      </rPr>
      <t xml:space="preserve">1 975  milliards € </t>
    </r>
    <r>
      <rPr>
        <sz val="15.7"/>
        <rFont val="Arial"/>
        <family val="2"/>
      </rPr>
      <t xml:space="preserve">              (25%)</t>
    </r>
  </si>
  <si>
    <r>
      <t xml:space="preserve">Dont non déclaré :                                                                                              </t>
    </r>
    <r>
      <rPr>
        <b/>
        <sz val="15.7"/>
        <rFont val="Arial"/>
        <family val="2"/>
      </rPr>
      <t xml:space="preserve">5 925 milliards €    </t>
    </r>
    <r>
      <rPr>
        <sz val="15.7"/>
        <rFont val="Arial"/>
        <family val="2"/>
      </rPr>
      <t xml:space="preserve">                                                                                        (75%)                                                                          </t>
    </r>
  </si>
  <si>
    <t>Qui paye le coût des paradis fiscaux ? (2016)</t>
  </si>
  <si>
    <t>Richesse financière offshore (milliards €)</t>
  </si>
  <si>
    <t>Fraction de la richesse financière détenue offshore</t>
  </si>
  <si>
    <t>Pertes de recettes fiscales (milliards €)</t>
  </si>
  <si>
    <t>Etats-Unis</t>
  </si>
  <si>
    <t>Asie</t>
  </si>
  <si>
    <t>Amérique Latine</t>
  </si>
  <si>
    <t>Afrique</t>
  </si>
  <si>
    <t>Russie</t>
  </si>
  <si>
    <t>Pays du Golfe</t>
  </si>
  <si>
    <t>En 2016, les ménages détiennent en moyenne à l'échelle mondiale 8 % de leur patrimoine financier dans les paradis fiscaux, dont plus d'un quart en Suisse</t>
  </si>
  <si>
    <t>Dividend income tax rate (OECD, net personal tax)</t>
  </si>
  <si>
    <t>Offshore wealth in Switzerland ($bn)</t>
  </si>
  <si>
    <t>Offshore wealth in other tax havens ($bn)</t>
  </si>
  <si>
    <t>Offshore wealth in all tax havens ($bn)</t>
  </si>
  <si>
    <t>Undeclared offshore wealth ($bn)</t>
  </si>
  <si>
    <t>Total tax revenue losses ($bn)</t>
  </si>
  <si>
    <t>Income tax revenue losses ($bn)</t>
  </si>
  <si>
    <t>Inheritance/Estate tax revenue losses ($bn)</t>
  </si>
  <si>
    <t>Wealth tax revenue losses ($bn)</t>
  </si>
  <si>
    <t>Income + wealth tax revenue losses ($bn)</t>
  </si>
  <si>
    <t>Source: Zucman 2014 JEP. I make the following changes: (i) Shares of Swiss offshore wealth are updated; see notes to Table 1. (ii) Fraction of offshore wealth declared is increased to 25% for all countries, based on latest AFC STD data (see update to Johannesen Zucman 2014 and December 2014 update to JEP appendix: http://gabriel-zucman.eu/files/Zucman2014JEPAppendix.pdf); (iii) Nominal rate of return on offshore assets changed to 6.5% based on latest values of 10-years returns on Venduard diversified funds (see link in cell O3). (iv) Income, estate, and wealth tax rates are updated to 2016; (v) Share of European wealth in tax havens other than Switzerland is slightly reduced from 25% to 22%; Asian share is increased in proportion (reflecting rise of Hong Kong and Singapore).</t>
  </si>
  <si>
    <t>Tax rates are for year 2016.</t>
  </si>
  <si>
    <r>
      <t xml:space="preserve">Yearly tax revenue losses due to offshore tax evasion                                                                                           </t>
    </r>
    <r>
      <rPr>
        <b/>
        <sz val="15.7"/>
        <rFont val="Arial"/>
        <family val="2"/>
      </rPr>
      <t xml:space="preserve"> $170bn    </t>
    </r>
    <r>
      <rPr>
        <sz val="15.7"/>
        <rFont val="Arial"/>
        <family val="2"/>
      </rPr>
      <t xml:space="preserve">                                                                                                                                                                 </t>
    </r>
  </si>
  <si>
    <r>
      <t xml:space="preserve">Of which income tax (interest, dividends):             </t>
    </r>
    <r>
      <rPr>
        <b/>
        <sz val="15.7"/>
        <rFont val="Arial"/>
        <family val="2"/>
      </rPr>
      <t>$110bn</t>
    </r>
  </si>
  <si>
    <r>
      <t xml:space="preserve">Of which inheritance tax:      </t>
    </r>
    <r>
      <rPr>
        <b/>
        <sz val="15.7"/>
        <rFont val="Arial"/>
        <family val="2"/>
      </rPr>
      <t>$50bn</t>
    </r>
  </si>
  <si>
    <r>
      <t xml:space="preserve">Dont fraude à l'impôt sur les successions :      </t>
    </r>
    <r>
      <rPr>
        <b/>
        <sz val="15.7"/>
        <rFont val="Arial"/>
        <family val="2"/>
      </rPr>
      <t>45 milliards €</t>
    </r>
  </si>
  <si>
    <r>
      <t xml:space="preserve">Dont fraude à l'impôt sur le revenu (intérêts, dividendes et plus-values) :             </t>
    </r>
    <r>
      <rPr>
        <b/>
        <sz val="15.7"/>
        <rFont val="Arial"/>
        <family val="2"/>
      </rPr>
      <t>102 milliards €</t>
    </r>
  </si>
  <si>
    <r>
      <t xml:space="preserve">Dont fraude à l'impôt sur la fortune :                </t>
    </r>
    <r>
      <rPr>
        <b/>
        <sz val="15.7"/>
        <rFont val="Arial"/>
        <family val="2"/>
      </rPr>
      <t>8 milliards €</t>
    </r>
  </si>
  <si>
    <r>
      <t xml:space="preserve">Pertes annuelles de recettes fiscales totales                                 dues aux paradis fiscaux :                                                                                             </t>
    </r>
    <r>
      <rPr>
        <b/>
        <sz val="15.7"/>
        <rFont val="Arial"/>
        <family val="2"/>
      </rPr>
      <t xml:space="preserve"> 155 milliards €    </t>
    </r>
    <r>
      <rPr>
        <sz val="15.7"/>
        <rFont val="Arial"/>
        <family val="2"/>
      </rPr>
      <t xml:space="preserve">                                                                                                                                                                 </t>
    </r>
  </si>
  <si>
    <t>En 2016, la fraude permise par les paradis fiscaux a coûté 155 milliards d'euros aux États du monde entier.</t>
  </si>
  <si>
    <t>Pour un cadastre financier du monde</t>
  </si>
  <si>
    <t>Les sociétés Clearstream, Euroclear, etc., alimentent le cadastre financier mondial. Les administrations fiscales peuvent vérifier que les contribuables déclarent bien tous les titres financiers inscrits dans le cadastre.</t>
  </si>
  <si>
    <t>Cadastre financier du monde</t>
  </si>
  <si>
    <t>Fisc américain</t>
  </si>
  <si>
    <t>Fisc anglais</t>
  </si>
  <si>
    <t>Fisc français</t>
  </si>
  <si>
    <t xml:space="preserve">Autres administrations fiscales </t>
  </si>
  <si>
    <t xml:space="preserve">Autres dépositaires &amp; autres sources  </t>
  </si>
  <si>
    <t>Check</t>
  </si>
  <si>
    <t>P.99.99-P100</t>
  </si>
  <si>
    <t>P99.9-99.99</t>
  </si>
  <si>
    <t>P99-P99.9</t>
  </si>
  <si>
    <t>P90-P99</t>
  </si>
  <si>
    <t>P50-P90</t>
  </si>
  <si>
    <t>P0-50</t>
  </si>
  <si>
    <t>Share of taxable income, Denmark  (households, 2006)</t>
  </si>
  <si>
    <t>Share of taxable income, Norway (households, 2006)</t>
  </si>
  <si>
    <t>Share of taxable income, Sweden (households, 2006)</t>
  </si>
  <si>
    <t>Share of taxable income, Scandinavia (households, 2006)</t>
  </si>
  <si>
    <t>Share of onshore wealth, Denmark (households, 2006)</t>
  </si>
  <si>
    <t>Share of onshore wealth, Norway  (households, 2006)</t>
  </si>
  <si>
    <t>Share of onshore wealth, Sweden (households, 2006)</t>
  </si>
  <si>
    <t>Share of onshore wealth, Scandinavia  (households, 2006)</t>
  </si>
  <si>
    <t>Share of disclosed wealth (bins of Norwegian wealth)</t>
  </si>
  <si>
    <t>Share of HSBC wealth (bins of Scandinavian wealth)</t>
  </si>
  <si>
    <r>
      <t>P99.9-P99.95        [9.1 – 14.</t>
    </r>
    <r>
      <rPr>
        <sz val="12"/>
        <rFont val="Arial"/>
      </rPr>
      <t>6</t>
    </r>
    <r>
      <rPr>
        <sz val="12"/>
        <rFont val="Arial"/>
      </rPr>
      <t>]</t>
    </r>
  </si>
  <si>
    <t>P99.5-P99.9        [3.0 – 9.1]</t>
  </si>
  <si>
    <t>P99-P99.5        [2.0 – 3.0]</t>
  </si>
  <si>
    <t>P95-P99        [0.9 – 2.0]</t>
  </si>
  <si>
    <t>P90-P95        [0.6 – 0.9]</t>
  </si>
  <si>
    <t>P80-90</t>
  </si>
  <si>
    <t>P70-80</t>
  </si>
  <si>
    <t>P60-70</t>
  </si>
  <si>
    <t>P50-60</t>
  </si>
  <si>
    <t>P40-50</t>
  </si>
  <si>
    <t>P30-40</t>
  </si>
  <si>
    <t>P20-30</t>
  </si>
  <si>
    <t>P10-20</t>
  </si>
  <si>
    <t>P0-10</t>
  </si>
  <si>
    <t>Macro tax evaded (% taxes owed) (main)</t>
  </si>
  <si>
    <t>Taxes evaded (% taxes owed) (main)</t>
  </si>
  <si>
    <t>taxes evaded (% taxes owed) (upper bound)</t>
  </si>
  <si>
    <t>taxes evaded (% taxes owed) (lower bound)</t>
  </si>
  <si>
    <r>
      <t>Macro tax evaded</t>
    </r>
    <r>
      <rPr>
        <sz val="12"/>
        <color theme="1"/>
        <rFont val="Arial"/>
        <family val="2"/>
      </rPr>
      <t xml:space="preserve">  (% taxes owed) (main)</t>
    </r>
  </si>
  <si>
    <r>
      <rPr>
        <sz val="12"/>
        <color theme="1"/>
        <rFont val="Arial"/>
        <family val="2"/>
      </rPr>
      <t>T</t>
    </r>
    <r>
      <rPr>
        <sz val="12"/>
        <color theme="1"/>
        <rFont val="Arial"/>
        <family val="2"/>
      </rPr>
      <t>axes evaded (% taxes owed) (main)</t>
    </r>
  </si>
  <si>
    <t>Average wealth in bin, US$</t>
  </si>
  <si>
    <t>Wealth threshold, US$</t>
  </si>
  <si>
    <t>Population</t>
  </si>
  <si>
    <t>USD bin, millions (for graph)</t>
  </si>
  <si>
    <t>USD threshold, millions</t>
  </si>
  <si>
    <t>Total evasion (random audits + offshore)</t>
  </si>
  <si>
    <t>Offshore evasion (2006)</t>
  </si>
  <si>
    <t>Scandinavian wealth (2006)</t>
  </si>
  <si>
    <t>group</t>
  </si>
  <si>
    <t>P90-95</t>
  </si>
  <si>
    <t>P95-99</t>
  </si>
  <si>
    <t>P99-99.5</t>
  </si>
  <si>
    <t>P99.5-99.9</t>
  </si>
  <si>
    <t>P99.9-P99.95</t>
  </si>
  <si>
    <t>P99.95-P99.99</t>
  </si>
  <si>
    <t>P99.95-P99.99          [14.6 – 44.5]</t>
  </si>
  <si>
    <t>P99.99-P100</t>
  </si>
  <si>
    <t>Top 0.01%          [&gt; 44.5]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</si>
</sst>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 &quot;€&quot;;[Red]\-#,##0.00\ &quot;€&quot;"/>
    <numFmt numFmtId="165" formatCode="0.0%"/>
    <numFmt numFmtId="166" formatCode="\$#,##0\ ;\(\$#,##0\)"/>
    <numFmt numFmtId="167" formatCode="#,##0.0"/>
    <numFmt numFmtId="168" formatCode="0.0"/>
    <numFmt numFmtId="169" formatCode="0.0000%"/>
    <numFmt numFmtId="170" formatCode="_ * #,##0.00_ ;_ * \-#,##0.00_ ;_ * &quot;-&quot;??_ ;_ @_ "/>
    <numFmt numFmtId="171" formatCode="0.000%"/>
  </numFmts>
  <fonts count="79" x14ac:knownFonts="1">
    <font>
      <sz val="12"/>
      <color theme="1"/>
      <name val="Calibri"/>
      <family val="2"/>
      <scheme val="minor"/>
    </font>
    <font>
      <sz val="12"/>
      <color theme="1"/>
      <name val="Arial"/>
      <family val="2"/>
    </font>
    <font>
      <sz val="12"/>
      <name val="Arial"/>
    </font>
    <font>
      <sz val="12"/>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Calibri"/>
      <family val="2"/>
      <scheme val="minor"/>
    </font>
    <font>
      <sz val="12"/>
      <color indexed="24"/>
      <name val="Arial"/>
      <family val="2"/>
    </font>
    <font>
      <b/>
      <sz val="8"/>
      <color indexed="24"/>
      <name val="Times New Roman"/>
      <family val="1"/>
    </font>
    <font>
      <sz val="8"/>
      <color indexed="24"/>
      <name val="Times New Roman"/>
      <family val="1"/>
    </font>
    <font>
      <sz val="10"/>
      <name val="Verdana"/>
      <family val="2"/>
    </font>
    <font>
      <sz val="10"/>
      <name val="Arial"/>
      <family val="2"/>
    </font>
    <font>
      <sz val="7"/>
      <name val="Helvetica"/>
      <family val="2"/>
    </font>
    <font>
      <u/>
      <sz val="12"/>
      <color theme="10"/>
      <name val="Calibri"/>
      <family val="2"/>
      <scheme val="minor"/>
    </font>
    <font>
      <u/>
      <sz val="12"/>
      <color theme="11"/>
      <name val="Calibri"/>
      <family val="2"/>
      <scheme val="minor"/>
    </font>
    <font>
      <b/>
      <sz val="12"/>
      <color theme="1"/>
      <name val="Arial"/>
      <family val="2"/>
    </font>
    <font>
      <i/>
      <sz val="12"/>
      <color theme="1"/>
      <name val="Arial"/>
      <family val="2"/>
    </font>
    <font>
      <b/>
      <u/>
      <sz val="12"/>
      <color theme="1"/>
      <name val="Arial"/>
      <family val="2"/>
    </font>
    <font>
      <sz val="12"/>
      <color theme="1"/>
      <name val="Arial Narrow"/>
      <family val="2"/>
    </font>
    <font>
      <b/>
      <sz val="20"/>
      <name val="Arial"/>
      <family val="2"/>
    </font>
    <font>
      <b/>
      <sz val="16"/>
      <name val="Arial"/>
      <family val="2"/>
    </font>
    <font>
      <b/>
      <sz val="14"/>
      <name val="Arial"/>
      <family val="2"/>
    </font>
    <font>
      <sz val="14"/>
      <name val="Arial"/>
      <family val="2"/>
    </font>
    <font>
      <sz val="11"/>
      <name val="Arial"/>
      <family val="2"/>
    </font>
    <font>
      <sz val="11"/>
      <color indexed="8"/>
      <name val="Calibri"/>
      <family val="2"/>
    </font>
    <font>
      <sz val="11"/>
      <color indexed="17"/>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5"/>
      <name val="Arial"/>
      <family val="2"/>
    </font>
    <font>
      <b/>
      <sz val="15"/>
      <name val="Arial"/>
      <family val="2"/>
    </font>
    <font>
      <sz val="15.7"/>
      <name val="Arial"/>
      <family val="2"/>
    </font>
    <font>
      <b/>
      <sz val="15.7"/>
      <name val="Arial"/>
      <family val="2"/>
    </font>
    <font>
      <sz val="18"/>
      <name val="Arial"/>
      <family val="2"/>
    </font>
    <font>
      <b/>
      <sz val="18"/>
      <name val="Arial"/>
      <family val="2"/>
    </font>
    <font>
      <u/>
      <sz val="12"/>
      <color theme="10"/>
      <name val="Arial"/>
      <family val="2"/>
    </font>
    <font>
      <sz val="8"/>
      <name val="Calibri"/>
      <family val="2"/>
      <scheme val="minor"/>
    </font>
    <font>
      <sz val="16"/>
      <name val="Arial Narrow"/>
      <family val="2"/>
    </font>
    <font>
      <sz val="13"/>
      <name val="Arial"/>
      <family val="2"/>
    </font>
    <font>
      <b/>
      <sz val="15"/>
      <color theme="3"/>
      <name val="Arial"/>
      <family val="2"/>
    </font>
    <font>
      <b/>
      <sz val="13"/>
      <color theme="3"/>
      <name val="Arial"/>
      <family val="2"/>
    </font>
    <font>
      <b/>
      <sz val="11"/>
      <color theme="3"/>
      <name val="Arial"/>
      <family val="2"/>
    </font>
    <font>
      <sz val="9"/>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2"/>
      <color rgb="FFFF0000"/>
      <name val="Arial"/>
      <family val="2"/>
    </font>
    <font>
      <sz val="12"/>
      <color rgb="FFFF0000"/>
      <name val="Calibri"/>
      <family val="2"/>
      <scheme val="minor"/>
    </font>
    <font>
      <i/>
      <sz val="14"/>
      <name val="Arial"/>
      <family val="2"/>
    </font>
    <font>
      <sz val="10"/>
      <color indexed="81"/>
      <name val="Calibri"/>
    </font>
    <font>
      <b/>
      <sz val="10"/>
      <color indexed="81"/>
      <name val="Calibri"/>
    </font>
    <font>
      <sz val="11"/>
      <name val="Calibri"/>
      <family val="2"/>
    </font>
    <font>
      <sz val="10"/>
      <name val="Calibri"/>
      <family val="2"/>
    </font>
    <font>
      <sz val="12"/>
      <color indexed="8"/>
      <name val="Calibri"/>
      <family val="2"/>
    </font>
    <font>
      <sz val="12"/>
      <name val="Arial"/>
      <family val="2"/>
    </font>
    <font>
      <sz val="12"/>
      <color rgb="FF000000"/>
      <name val="Arial"/>
      <family val="2"/>
    </font>
    <font>
      <b/>
      <sz val="12"/>
      <name val="Arial"/>
      <family val="2"/>
    </font>
  </fonts>
  <fills count="37">
    <fill>
      <patternFill patternType="none"/>
    </fill>
    <fill>
      <patternFill patternType="gray125"/>
    </fill>
    <fill>
      <patternFill patternType="solid">
        <fgColor indexed="26"/>
      </patternFill>
    </fill>
    <fill>
      <patternFill patternType="solid">
        <fgColor indexed="42"/>
      </patternFill>
    </fill>
    <fill>
      <patternFill patternType="solid">
        <fgColor indexed="5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double">
        <color auto="1"/>
      </bottom>
      <diagonal/>
    </border>
    <border>
      <left/>
      <right/>
      <top style="double">
        <color auto="1"/>
      </top>
      <bottom/>
      <diagonal/>
    </border>
    <border>
      <left/>
      <right/>
      <top/>
      <bottom style="thin">
        <color auto="1"/>
      </bottom>
      <diagonal/>
    </border>
    <border>
      <left/>
      <right/>
      <top style="thin">
        <color auto="1"/>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s>
  <cellStyleXfs count="418">
    <xf numFmtId="0" fontId="0" fillId="0" borderId="0"/>
    <xf numFmtId="9" fontId="16" fillId="0" borderId="0" applyFont="0" applyFill="0" applyBorder="0" applyAlignment="0" applyProtection="0"/>
    <xf numFmtId="0"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3" fontId="17" fillId="0" borderId="0" applyFont="0" applyFill="0" applyBorder="0" applyAlignment="0" applyProtection="0"/>
    <xf numFmtId="166" fontId="17" fillId="0" borderId="0" applyFont="0" applyFill="0" applyBorder="0" applyAlignment="0" applyProtection="0"/>
    <xf numFmtId="0" fontId="16" fillId="0" borderId="0"/>
    <xf numFmtId="0" fontId="20" fillId="0" borderId="0"/>
    <xf numFmtId="0" fontId="16" fillId="0" borderId="0"/>
    <xf numFmtId="0" fontId="16" fillId="0" borderId="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xf numFmtId="0" fontId="22" fillId="0" borderId="1">
      <alignment horizontal="center"/>
    </xf>
    <xf numFmtId="2" fontId="17"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1" fillId="0" borderId="0"/>
    <xf numFmtId="0" fontId="34" fillId="2" borderId="16" applyNumberFormat="0" applyFont="0" applyAlignment="0" applyProtection="0"/>
    <xf numFmtId="0" fontId="35" fillId="3" borderId="0" applyNumberFormat="0" applyBorder="0" applyAlignment="0" applyProtection="0"/>
    <xf numFmtId="0" fontId="36" fillId="0" borderId="0" applyNumberFormat="0" applyFill="0" applyBorder="0" applyAlignment="0" applyProtection="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4" borderId="2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2" fillId="0" borderId="0"/>
    <xf numFmtId="9" fontId="12"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10"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 fillId="0" borderId="0"/>
    <xf numFmtId="0" fontId="6" fillId="0" borderId="0"/>
    <xf numFmtId="9" fontId="6" fillId="0" borderId="0" applyFont="0" applyFill="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15" borderId="0" applyNumberFormat="0" applyBorder="0" applyAlignment="0" applyProtection="0"/>
    <xf numFmtId="0" fontId="55" fillId="19" borderId="0" applyNumberFormat="0" applyBorder="0" applyAlignment="0" applyProtection="0"/>
    <xf numFmtId="0" fontId="55" fillId="23"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35"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13"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7" fillId="7" borderId="0" applyNumberFormat="0" applyBorder="0" applyAlignment="0" applyProtection="0"/>
    <xf numFmtId="0" fontId="58" fillId="10" borderId="40" applyNumberFormat="0" applyAlignment="0" applyProtection="0"/>
    <xf numFmtId="0" fontId="59" fillId="11" borderId="43" applyNumberFormat="0" applyAlignment="0" applyProtection="0"/>
    <xf numFmtId="0" fontId="60" fillId="0" borderId="0" applyNumberFormat="0" applyFill="0" applyBorder="0" applyAlignment="0" applyProtection="0"/>
    <xf numFmtId="0" fontId="61" fillId="6" borderId="0" applyNumberFormat="0" applyBorder="0" applyAlignment="0" applyProtection="0"/>
    <xf numFmtId="0" fontId="51" fillId="0" borderId="37" applyNumberFormat="0" applyFill="0" applyAlignment="0" applyProtection="0"/>
    <xf numFmtId="0" fontId="52" fillId="0" borderId="38" applyNumberFormat="0" applyFill="0" applyAlignment="0" applyProtection="0"/>
    <xf numFmtId="0" fontId="53" fillId="0" borderId="39" applyNumberFormat="0" applyFill="0" applyAlignment="0" applyProtection="0"/>
    <xf numFmtId="0" fontId="53" fillId="0" borderId="0" applyNumberFormat="0" applyFill="0" applyBorder="0" applyAlignment="0" applyProtection="0"/>
    <xf numFmtId="0" fontId="62" fillId="9" borderId="40" applyNumberFormat="0" applyAlignment="0" applyProtection="0"/>
    <xf numFmtId="0" fontId="23" fillId="0" borderId="0" applyNumberFormat="0" applyFill="0" applyBorder="0" applyAlignment="0" applyProtection="0"/>
    <xf numFmtId="0" fontId="63" fillId="0" borderId="42" applyNumberFormat="0" applyFill="0" applyAlignment="0" applyProtection="0"/>
    <xf numFmtId="0" fontId="64" fillId="8" borderId="0" applyNumberFormat="0" applyBorder="0" applyAlignment="0" applyProtection="0"/>
    <xf numFmtId="0" fontId="55" fillId="12" borderId="44" applyNumberFormat="0" applyFont="0" applyAlignment="0" applyProtection="0"/>
    <xf numFmtId="0" fontId="65" fillId="10" borderId="41" applyNumberFormat="0" applyAlignment="0" applyProtection="0"/>
    <xf numFmtId="0" fontId="66" fillId="0" borderId="45" applyNumberFormat="0" applyFill="0" applyAlignment="0" applyProtection="0"/>
    <xf numFmtId="0" fontId="6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9" fontId="4" fillId="0" borderId="0" applyFont="0" applyFill="0" applyBorder="0" applyAlignment="0" applyProtection="0"/>
    <xf numFmtId="43" fontId="21" fillId="0" borderId="0" applyFont="0" applyFill="0" applyBorder="0" applyAlignment="0" applyProtection="0"/>
    <xf numFmtId="170" fontId="21" fillId="0" borderId="0" applyFont="0" applyFill="0" applyBorder="0" applyAlignment="0" applyProtection="0"/>
    <xf numFmtId="0" fontId="21" fillId="0" borderId="0"/>
    <xf numFmtId="0" fontId="4" fillId="0" borderId="0"/>
    <xf numFmtId="0" fontId="3" fillId="0" borderId="0"/>
    <xf numFmtId="0" fontId="3" fillId="0" borderId="0"/>
    <xf numFmtId="0" fontId="4" fillId="0" borderId="0"/>
    <xf numFmtId="0" fontId="73" fillId="0" borderId="0"/>
    <xf numFmtId="0" fontId="4" fillId="0" borderId="0"/>
    <xf numFmtId="0" fontId="74" fillId="0" borderId="0"/>
    <xf numFmtId="0" fontId="21" fillId="0" borderId="0"/>
    <xf numFmtId="0" fontId="17" fillId="0" borderId="0"/>
    <xf numFmtId="0" fontId="21" fillId="0" borderId="0"/>
    <xf numFmtId="0" fontId="4" fillId="0" borderId="0"/>
    <xf numFmtId="0" fontId="21" fillId="0" borderId="0"/>
    <xf numFmtId="0" fontId="3" fillId="0" borderId="0"/>
    <xf numFmtId="0" fontId="3"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73"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1" fillId="0" borderId="0"/>
    <xf numFmtId="9" fontId="3" fillId="0" borderId="0" applyFont="0" applyFill="0" applyBorder="0" applyAlignment="0" applyProtection="0"/>
  </cellStyleXfs>
  <cellXfs count="335">
    <xf numFmtId="0" fontId="0" fillId="0" borderId="0" xfId="0"/>
    <xf numFmtId="0" fontId="0" fillId="0" borderId="0" xfId="0" applyAlignment="1">
      <alignment wrapText="1"/>
    </xf>
    <xf numFmtId="9" fontId="0" fillId="0" borderId="0" xfId="1" applyFont="1"/>
    <xf numFmtId="0" fontId="15" fillId="0" borderId="0" xfId="0" applyFont="1" applyAlignment="1">
      <alignment horizontal="center" vertical="center" wrapText="1"/>
    </xf>
    <xf numFmtId="0" fontId="15" fillId="0" borderId="0" xfId="0" applyFont="1"/>
    <xf numFmtId="0" fontId="15" fillId="0" borderId="2" xfId="0" applyFont="1" applyBorder="1" applyAlignment="1">
      <alignment horizontal="center" vertical="center" wrapText="1"/>
    </xf>
    <xf numFmtId="0" fontId="15" fillId="0" borderId="5" xfId="0" applyFont="1" applyBorder="1" applyAlignment="1">
      <alignment horizontal="center"/>
    </xf>
    <xf numFmtId="0" fontId="15" fillId="0" borderId="7" xfId="0" applyNumberFormat="1" applyFont="1" applyBorder="1" applyAlignment="1">
      <alignment horizontal="center"/>
    </xf>
    <xf numFmtId="0" fontId="15" fillId="0" borderId="11" xfId="0" applyFont="1" applyBorder="1" applyAlignment="1">
      <alignment horizontal="center" vertical="center" wrapText="1"/>
    </xf>
    <xf numFmtId="0" fontId="26" fillId="0" borderId="11" xfId="0" applyFont="1" applyBorder="1" applyAlignment="1">
      <alignment horizontal="center" vertical="center" wrapText="1"/>
    </xf>
    <xf numFmtId="0" fontId="28" fillId="0" borderId="11" xfId="0" applyFont="1" applyBorder="1" applyAlignment="1">
      <alignment horizontal="center" vertical="center" wrapText="1"/>
    </xf>
    <xf numFmtId="0" fontId="15" fillId="0" borderId="10" xfId="0" applyFont="1" applyBorder="1" applyAlignment="1">
      <alignment horizontal="center" vertical="center" wrapText="1"/>
    </xf>
    <xf numFmtId="167"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9" fontId="15" fillId="0" borderId="0" xfId="0" applyNumberFormat="1" applyFont="1" applyFill="1" applyBorder="1" applyAlignment="1">
      <alignment horizontal="center" vertical="center"/>
    </xf>
    <xf numFmtId="168" fontId="15" fillId="0" borderId="0" xfId="0" applyNumberFormat="1" applyFont="1" applyBorder="1" applyAlignment="1">
      <alignment horizontal="center" vertical="center"/>
    </xf>
    <xf numFmtId="9" fontId="15" fillId="0" borderId="0" xfId="0" applyNumberFormat="1" applyFont="1" applyBorder="1" applyAlignment="1">
      <alignment horizontal="center" vertical="center"/>
    </xf>
    <xf numFmtId="165" fontId="15" fillId="0" borderId="0" xfId="1" applyNumberFormat="1" applyFont="1" applyBorder="1" applyAlignment="1">
      <alignment horizontal="center" vertical="center"/>
    </xf>
    <xf numFmtId="165" fontId="15" fillId="0" borderId="6" xfId="0" applyNumberFormat="1" applyFont="1" applyBorder="1" applyAlignment="1">
      <alignment horizontal="center" vertical="center"/>
    </xf>
    <xf numFmtId="3" fontId="15" fillId="0" borderId="0" xfId="0" applyNumberFormat="1" applyFont="1" applyBorder="1" applyAlignment="1">
      <alignment horizontal="center" vertical="center"/>
    </xf>
    <xf numFmtId="9" fontId="15" fillId="0" borderId="0" xfId="1" applyFont="1" applyBorder="1" applyAlignment="1">
      <alignment horizontal="center" vertical="center"/>
    </xf>
    <xf numFmtId="168" fontId="15" fillId="0" borderId="6" xfId="0" applyNumberFormat="1" applyFont="1" applyBorder="1" applyAlignment="1">
      <alignment horizontal="center" vertical="center"/>
    </xf>
    <xf numFmtId="167" fontId="15" fillId="0" borderId="6" xfId="0" applyNumberFormat="1" applyFont="1" applyBorder="1" applyAlignment="1">
      <alignment horizontal="center" vertical="center"/>
    </xf>
    <xf numFmtId="3" fontId="15" fillId="0" borderId="6" xfId="0" applyNumberFormat="1" applyFont="1" applyBorder="1" applyAlignment="1">
      <alignment horizontal="center" vertical="center"/>
    </xf>
    <xf numFmtId="165" fontId="15" fillId="0" borderId="6" xfId="1" applyNumberFormat="1" applyFont="1" applyBorder="1" applyAlignment="1">
      <alignment horizontal="center" vertical="center"/>
    </xf>
    <xf numFmtId="3" fontId="26" fillId="0" borderId="0" xfId="0" applyNumberFormat="1" applyFont="1" applyBorder="1" applyAlignment="1">
      <alignment horizontal="center" vertical="center"/>
    </xf>
    <xf numFmtId="0" fontId="26" fillId="0" borderId="0" xfId="0" applyFont="1" applyBorder="1" applyAlignment="1">
      <alignment horizontal="center" vertical="center"/>
    </xf>
    <xf numFmtId="9" fontId="15" fillId="0" borderId="0" xfId="1" applyFont="1" applyFill="1" applyBorder="1" applyAlignment="1">
      <alignment horizontal="center" vertical="center"/>
    </xf>
    <xf numFmtId="3" fontId="26" fillId="0" borderId="0" xfId="0" applyNumberFormat="1" applyFont="1" applyFill="1" applyBorder="1" applyAlignment="1">
      <alignment horizontal="center" vertical="center"/>
    </xf>
    <xf numFmtId="3" fontId="15" fillId="0" borderId="8" xfId="0" applyNumberFormat="1" applyFont="1" applyBorder="1" applyAlignment="1">
      <alignment horizontal="center" vertical="center"/>
    </xf>
    <xf numFmtId="3" fontId="26" fillId="0" borderId="8" xfId="0" applyNumberFormat="1" applyFont="1" applyBorder="1" applyAlignment="1">
      <alignment horizontal="center" vertical="center"/>
    </xf>
    <xf numFmtId="9" fontId="15" fillId="0" borderId="8" xfId="1" applyFont="1" applyFill="1" applyBorder="1" applyAlignment="1">
      <alignment horizontal="center" vertical="center"/>
    </xf>
    <xf numFmtId="3" fontId="15" fillId="0" borderId="8" xfId="0" applyNumberFormat="1" applyFont="1" applyFill="1" applyBorder="1" applyAlignment="1">
      <alignment horizontal="center" vertical="center"/>
    </xf>
    <xf numFmtId="9" fontId="15" fillId="0" borderId="8" xfId="0" applyNumberFormat="1" applyFont="1" applyBorder="1" applyAlignment="1">
      <alignment horizontal="center" vertical="center"/>
    </xf>
    <xf numFmtId="165" fontId="15" fillId="0" borderId="8" xfId="1" applyNumberFormat="1" applyFont="1" applyBorder="1" applyAlignment="1">
      <alignment horizontal="center" vertical="center"/>
    </xf>
    <xf numFmtId="0" fontId="15" fillId="0" borderId="8" xfId="0" applyFont="1" applyBorder="1" applyAlignment="1">
      <alignment horizontal="center" vertical="center"/>
    </xf>
    <xf numFmtId="9" fontId="15" fillId="0" borderId="8" xfId="1" applyFont="1" applyBorder="1" applyAlignment="1">
      <alignment horizontal="center" vertical="center"/>
    </xf>
    <xf numFmtId="3" fontId="15" fillId="0" borderId="9" xfId="0" applyNumberFormat="1" applyFont="1" applyBorder="1" applyAlignment="1">
      <alignment horizontal="center" vertical="center"/>
    </xf>
    <xf numFmtId="0" fontId="14" fillId="0" borderId="0" xfId="0" applyFont="1"/>
    <xf numFmtId="0" fontId="21" fillId="0" borderId="12" xfId="163" applyBorder="1"/>
    <xf numFmtId="0" fontId="21" fillId="0" borderId="0" xfId="163"/>
    <xf numFmtId="3" fontId="15" fillId="0" borderId="0" xfId="0" applyNumberFormat="1" applyFont="1" applyAlignment="1">
      <alignment horizontal="center"/>
    </xf>
    <xf numFmtId="0" fontId="13" fillId="0" borderId="0" xfId="0" applyFont="1"/>
    <xf numFmtId="165" fontId="47" fillId="0" borderId="0" xfId="242" applyNumberFormat="1" applyFont="1" applyAlignment="1">
      <alignment horizontal="center"/>
    </xf>
    <xf numFmtId="9" fontId="11" fillId="0" borderId="0" xfId="1" applyFont="1" applyAlignment="1">
      <alignment horizontal="center"/>
    </xf>
    <xf numFmtId="3" fontId="11" fillId="0" borderId="0" xfId="0" applyNumberFormat="1" applyFont="1" applyAlignment="1">
      <alignment horizontal="center"/>
    </xf>
    <xf numFmtId="9" fontId="25" fillId="0" borderId="0" xfId="1" applyFont="1" applyAlignment="1">
      <alignment horizontal="center"/>
    </xf>
    <xf numFmtId="3" fontId="25" fillId="0" borderId="0" xfId="0" applyNumberFormat="1" applyFont="1" applyAlignment="1">
      <alignment horizontal="center"/>
    </xf>
    <xf numFmtId="0" fontId="11" fillId="0" borderId="0" xfId="0" applyFont="1" applyAlignment="1">
      <alignment horizontal="center"/>
    </xf>
    <xf numFmtId="9" fontId="11" fillId="0" borderId="0" xfId="0" applyNumberFormat="1" applyFont="1" applyAlignment="1">
      <alignment horizontal="center"/>
    </xf>
    <xf numFmtId="0" fontId="11" fillId="0" borderId="0" xfId="0" applyFont="1" applyAlignment="1">
      <alignment horizontal="center" vertical="center" wrapText="1"/>
    </xf>
    <xf numFmtId="10" fontId="11" fillId="0" borderId="0" xfId="0" applyNumberFormat="1" applyFont="1" applyAlignment="1">
      <alignment horizontal="center"/>
    </xf>
    <xf numFmtId="0" fontId="25" fillId="0" borderId="0" xfId="0" applyFont="1" applyAlignment="1">
      <alignment horizontal="center"/>
    </xf>
    <xf numFmtId="9" fontId="11" fillId="0" borderId="0" xfId="1" applyNumberFormat="1" applyFont="1" applyAlignment="1">
      <alignment horizontal="center"/>
    </xf>
    <xf numFmtId="9" fontId="0" fillId="0" borderId="0" xfId="252" applyFont="1" applyAlignment="1">
      <alignment wrapText="1"/>
    </xf>
    <xf numFmtId="9" fontId="0" fillId="0" borderId="0" xfId="252" applyFont="1" applyAlignment="1">
      <alignment horizontal="center" wrapText="1"/>
    </xf>
    <xf numFmtId="9" fontId="0" fillId="0" borderId="0" xfId="0" applyNumberFormat="1" applyAlignment="1">
      <alignment wrapText="1"/>
    </xf>
    <xf numFmtId="169" fontId="0" fillId="0" borderId="0" xfId="0" applyNumberFormat="1" applyAlignment="1">
      <alignment wrapText="1"/>
    </xf>
    <xf numFmtId="9" fontId="0" fillId="0" borderId="0" xfId="1" applyFont="1" applyAlignment="1">
      <alignment horizontal="center"/>
    </xf>
    <xf numFmtId="9" fontId="0" fillId="0" borderId="0" xfId="0" applyNumberFormat="1"/>
    <xf numFmtId="1" fontId="21" fillId="0" borderId="0" xfId="163" applyNumberFormat="1"/>
    <xf numFmtId="0" fontId="21" fillId="5" borderId="0" xfId="163" applyFill="1"/>
    <xf numFmtId="0" fontId="21" fillId="5" borderId="0" xfId="163" applyFill="1" applyBorder="1"/>
    <xf numFmtId="0" fontId="30" fillId="5" borderId="0" xfId="163" applyFont="1" applyFill="1" applyBorder="1" applyAlignment="1">
      <alignment vertical="center" wrapText="1"/>
    </xf>
    <xf numFmtId="0" fontId="32" fillId="5" borderId="8" xfId="163" applyFont="1" applyFill="1" applyBorder="1" applyAlignment="1">
      <alignment vertical="center" wrapText="1"/>
    </xf>
    <xf numFmtId="0" fontId="43" fillId="5" borderId="0" xfId="163" applyFont="1" applyFill="1" applyBorder="1" applyAlignment="1">
      <alignment vertical="center" wrapText="1"/>
    </xf>
    <xf numFmtId="0" fontId="21" fillId="0" borderId="0" xfId="163" applyAlignment="1">
      <alignment vertical="center"/>
    </xf>
    <xf numFmtId="165" fontId="15" fillId="0" borderId="0" xfId="1" applyNumberFormat="1" applyFont="1" applyAlignment="1">
      <alignment horizontal="center"/>
    </xf>
    <xf numFmtId="0" fontId="32" fillId="5" borderId="12" xfId="163" applyFont="1" applyFill="1" applyBorder="1"/>
    <xf numFmtId="0" fontId="21" fillId="5" borderId="12" xfId="163" applyFill="1" applyBorder="1"/>
    <xf numFmtId="0" fontId="21" fillId="5" borderId="0" xfId="163" applyFill="1" applyAlignment="1">
      <alignment vertical="center"/>
    </xf>
    <xf numFmtId="0" fontId="32" fillId="5" borderId="0" xfId="163" applyFont="1" applyFill="1" applyBorder="1"/>
    <xf numFmtId="0" fontId="9" fillId="0" borderId="0" xfId="0" applyFont="1"/>
    <xf numFmtId="0" fontId="9" fillId="0" borderId="0" xfId="0" applyFont="1" applyAlignment="1">
      <alignment wrapText="1"/>
    </xf>
    <xf numFmtId="3" fontId="9" fillId="0" borderId="0" xfId="0" applyNumberFormat="1" applyFont="1"/>
    <xf numFmtId="3" fontId="9" fillId="0" borderId="0" xfId="0" applyNumberFormat="1" applyFont="1" applyFill="1"/>
    <xf numFmtId="0" fontId="9" fillId="0" borderId="3" xfId="0" applyFont="1" applyBorder="1"/>
    <xf numFmtId="0" fontId="9" fillId="0" borderId="4" xfId="0" applyFont="1" applyBorder="1"/>
    <xf numFmtId="0" fontId="9" fillId="0" borderId="5" xfId="0" applyFont="1" applyBorder="1"/>
    <xf numFmtId="0" fontId="9" fillId="0" borderId="0" xfId="0" applyFont="1" applyBorder="1"/>
    <xf numFmtId="0" fontId="9" fillId="0" borderId="6" xfId="0" applyFont="1" applyBorder="1"/>
    <xf numFmtId="0" fontId="9" fillId="0" borderId="8" xfId="0" applyFont="1" applyBorder="1"/>
    <xf numFmtId="0" fontId="9" fillId="0" borderId="9" xfId="0" applyFont="1" applyBorder="1"/>
    <xf numFmtId="0" fontId="9" fillId="0" borderId="2" xfId="0" applyFont="1" applyBorder="1" applyAlignment="1">
      <alignment wrapText="1"/>
    </xf>
    <xf numFmtId="3" fontId="9" fillId="0" borderId="0" xfId="0" applyNumberFormat="1" applyFont="1" applyBorder="1" applyAlignment="1">
      <alignment horizontal="center"/>
    </xf>
    <xf numFmtId="9" fontId="9" fillId="0" borderId="0" xfId="1" applyFont="1" applyBorder="1" applyAlignment="1">
      <alignment horizontal="center"/>
    </xf>
    <xf numFmtId="167" fontId="26" fillId="0" borderId="6" xfId="0" applyNumberFormat="1" applyFont="1" applyBorder="1" applyAlignment="1">
      <alignment horizontal="center"/>
    </xf>
    <xf numFmtId="0" fontId="26" fillId="0" borderId="5" xfId="0" applyFont="1" applyBorder="1"/>
    <xf numFmtId="3" fontId="26" fillId="0" borderId="0" xfId="0" applyNumberFormat="1" applyFont="1" applyBorder="1" applyAlignment="1">
      <alignment horizontal="center"/>
    </xf>
    <xf numFmtId="0" fontId="26" fillId="0" borderId="5" xfId="0" applyFont="1" applyFill="1" applyBorder="1"/>
    <xf numFmtId="9" fontId="9" fillId="0" borderId="0" xfId="1" applyNumberFormat="1" applyFont="1" applyBorder="1" applyAlignment="1">
      <alignment horizontal="center"/>
    </xf>
    <xf numFmtId="3" fontId="25" fillId="0" borderId="8" xfId="0" applyNumberFormat="1" applyFont="1" applyBorder="1" applyAlignment="1">
      <alignment horizontal="center"/>
    </xf>
    <xf numFmtId="9" fontId="25" fillId="0" borderId="8" xfId="1" applyFont="1" applyBorder="1" applyAlignment="1">
      <alignment horizontal="center"/>
    </xf>
    <xf numFmtId="9" fontId="25" fillId="0" borderId="9" xfId="1" applyFont="1" applyBorder="1" applyAlignment="1">
      <alignment horizontal="center"/>
    </xf>
    <xf numFmtId="9" fontId="9" fillId="0" borderId="0" xfId="0" applyNumberFormat="1" applyFont="1" applyAlignment="1">
      <alignment horizontal="center"/>
    </xf>
    <xf numFmtId="0" fontId="41" fillId="5" borderId="0" xfId="163"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7" fillId="0" borderId="5" xfId="0" applyFont="1" applyBorder="1"/>
    <xf numFmtId="0" fontId="7" fillId="0" borderId="7" xfId="0" applyFont="1" applyBorder="1" applyAlignment="1">
      <alignment wrapText="1"/>
    </xf>
    <xf numFmtId="0" fontId="7" fillId="0" borderId="0" xfId="0" applyFont="1"/>
    <xf numFmtId="0" fontId="7" fillId="0" borderId="0" xfId="0" applyFont="1" applyAlignment="1">
      <alignment wrapText="1"/>
    </xf>
    <xf numFmtId="0" fontId="6" fillId="0" borderId="0" xfId="0" applyFont="1"/>
    <xf numFmtId="0" fontId="6" fillId="0" borderId="5" xfId="0" applyFont="1" applyBorder="1"/>
    <xf numFmtId="0" fontId="42" fillId="0" borderId="0" xfId="163" applyFont="1" applyFill="1" applyBorder="1" applyAlignment="1">
      <alignment horizontal="center" vertical="center" wrapText="1"/>
    </xf>
    <xf numFmtId="0" fontId="41" fillId="0" borderId="0" xfId="163" applyFont="1" applyFill="1" applyBorder="1" applyAlignment="1">
      <alignment horizontal="center" vertical="center" wrapText="1"/>
    </xf>
    <xf numFmtId="0" fontId="21" fillId="0" borderId="0" xfId="163" applyFill="1"/>
    <xf numFmtId="0" fontId="32" fillId="0" borderId="0" xfId="163" applyFont="1" applyFill="1" applyBorder="1" applyAlignment="1">
      <alignment vertical="center" wrapText="1"/>
    </xf>
    <xf numFmtId="0" fontId="44" fillId="0" borderId="0" xfId="163" applyFont="1" applyFill="1" applyBorder="1" applyAlignment="1">
      <alignment vertical="center" wrapText="1"/>
    </xf>
    <xf numFmtId="0" fontId="32" fillId="0" borderId="27" xfId="163" applyFont="1" applyFill="1" applyBorder="1" applyAlignment="1">
      <alignment horizontal="center" vertical="center" wrapText="1"/>
    </xf>
    <xf numFmtId="0" fontId="32" fillId="0" borderId="28" xfId="163" applyFont="1" applyFill="1" applyBorder="1" applyAlignment="1">
      <alignment vertical="center" wrapText="1"/>
    </xf>
    <xf numFmtId="1" fontId="21" fillId="0" borderId="0" xfId="163" applyNumberFormat="1" applyAlignment="1">
      <alignment horizontal="center"/>
    </xf>
    <xf numFmtId="0" fontId="6" fillId="0" borderId="0" xfId="0" applyFont="1" applyAlignment="1">
      <alignment horizontal="center" vertical="center" wrapText="1"/>
    </xf>
    <xf numFmtId="0" fontId="26" fillId="0" borderId="5" xfId="0" applyFont="1" applyBorder="1" applyAlignment="1">
      <alignment horizontal="center"/>
    </xf>
    <xf numFmtId="0" fontId="26" fillId="0" borderId="5" xfId="0" applyFont="1" applyFill="1" applyBorder="1" applyAlignment="1">
      <alignment horizontal="center"/>
    </xf>
    <xf numFmtId="0" fontId="6" fillId="0" borderId="0" xfId="0" applyFont="1" applyAlignment="1">
      <alignment horizontal="center"/>
    </xf>
    <xf numFmtId="0" fontId="28" fillId="0" borderId="0" xfId="0" applyFont="1" applyAlignment="1">
      <alignment horizontal="center" vertical="center" wrapText="1"/>
    </xf>
    <xf numFmtId="165" fontId="6" fillId="0" borderId="0" xfId="11" applyNumberFormat="1" applyFont="1" applyAlignment="1">
      <alignment horizontal="center"/>
    </xf>
    <xf numFmtId="9" fontId="6" fillId="0" borderId="0" xfId="8" applyNumberFormat="1" applyFont="1" applyAlignment="1">
      <alignment horizontal="center"/>
    </xf>
    <xf numFmtId="0" fontId="6" fillId="0" borderId="0" xfId="318" applyFont="1" applyAlignment="1">
      <alignment horizontal="center"/>
    </xf>
    <xf numFmtId="0" fontId="6" fillId="0" borderId="0" xfId="319"/>
    <xf numFmtId="0" fontId="0" fillId="0" borderId="0" xfId="318" applyFont="1" applyAlignment="1">
      <alignment horizontal="center"/>
    </xf>
    <xf numFmtId="0" fontId="6" fillId="0" borderId="13" xfId="318" applyFont="1" applyBorder="1" applyAlignment="1">
      <alignment horizontal="center" vertical="center" wrapText="1"/>
    </xf>
    <xf numFmtId="0" fontId="6" fillId="0" borderId="0" xfId="318" applyFont="1" applyAlignment="1">
      <alignment horizontal="center" vertical="center" wrapText="1"/>
    </xf>
    <xf numFmtId="0" fontId="0" fillId="0" borderId="0" xfId="318" applyFont="1" applyAlignment="1">
      <alignment horizontal="center" vertical="center" wrapText="1"/>
    </xf>
    <xf numFmtId="0" fontId="6" fillId="0" borderId="15" xfId="318" applyFont="1" applyBorder="1" applyAlignment="1">
      <alignment horizontal="center"/>
    </xf>
    <xf numFmtId="3" fontId="6" fillId="0" borderId="15" xfId="318" applyNumberFormat="1" applyFont="1" applyBorder="1" applyAlignment="1">
      <alignment horizontal="center"/>
    </xf>
    <xf numFmtId="3" fontId="25" fillId="0" borderId="0" xfId="318" applyNumberFormat="1" applyFont="1" applyAlignment="1">
      <alignment horizontal="center"/>
    </xf>
    <xf numFmtId="3" fontId="6" fillId="0" borderId="0" xfId="318" applyNumberFormat="1" applyFont="1" applyAlignment="1">
      <alignment horizontal="center"/>
    </xf>
    <xf numFmtId="3" fontId="6" fillId="0" borderId="0" xfId="318" applyNumberFormat="1" applyFont="1" applyFill="1" applyBorder="1" applyAlignment="1">
      <alignment horizontal="center"/>
    </xf>
    <xf numFmtId="9" fontId="6" fillId="0" borderId="0" xfId="320" applyNumberFormat="1" applyFont="1" applyFill="1" applyBorder="1" applyAlignment="1">
      <alignment horizontal="center"/>
    </xf>
    <xf numFmtId="3" fontId="6" fillId="0" borderId="0" xfId="318" applyNumberFormat="1" applyFont="1" applyBorder="1" applyAlignment="1">
      <alignment horizontal="center"/>
    </xf>
    <xf numFmtId="0" fontId="25" fillId="0" borderId="46" xfId="318" applyFont="1" applyBorder="1" applyAlignment="1">
      <alignment horizontal="center" vertical="center"/>
    </xf>
    <xf numFmtId="3" fontId="25" fillId="0" borderId="46" xfId="318" applyNumberFormat="1" applyFont="1" applyBorder="1" applyAlignment="1">
      <alignment horizontal="center" vertical="center"/>
    </xf>
    <xf numFmtId="165" fontId="25" fillId="0" borderId="46" xfId="320" applyNumberFormat="1" applyFont="1" applyBorder="1" applyAlignment="1">
      <alignment horizontal="center" vertical="center"/>
    </xf>
    <xf numFmtId="1" fontId="25" fillId="0" borderId="46" xfId="318" applyNumberFormat="1" applyFont="1" applyBorder="1" applyAlignment="1">
      <alignment horizontal="center" vertical="center"/>
    </xf>
    <xf numFmtId="0" fontId="25" fillId="0" borderId="0" xfId="318" applyFont="1" applyAlignment="1">
      <alignment horizontal="center"/>
    </xf>
    <xf numFmtId="0" fontId="54" fillId="0" borderId="0" xfId="318" applyFont="1" applyAlignment="1">
      <alignment wrapText="1"/>
    </xf>
    <xf numFmtId="165" fontId="25" fillId="0" borderId="0" xfId="1" applyNumberFormat="1" applyFont="1" applyAlignment="1">
      <alignment horizontal="center"/>
    </xf>
    <xf numFmtId="10" fontId="25" fillId="0" borderId="0" xfId="1" applyNumberFormat="1" applyFont="1" applyAlignment="1">
      <alignment horizontal="center"/>
    </xf>
    <xf numFmtId="165" fontId="11" fillId="0" borderId="0" xfId="1" applyNumberFormat="1" applyFont="1" applyAlignment="1">
      <alignment horizontal="center"/>
    </xf>
    <xf numFmtId="165" fontId="11" fillId="0" borderId="0" xfId="1" applyNumberFormat="1" applyFont="1" applyFill="1" applyAlignment="1">
      <alignment horizontal="center"/>
    </xf>
    <xf numFmtId="165" fontId="11" fillId="0" borderId="0" xfId="0" applyNumberFormat="1" applyFont="1" applyAlignment="1">
      <alignment horizontal="center"/>
    </xf>
    <xf numFmtId="0" fontId="6" fillId="0" borderId="0" xfId="318" applyFont="1" applyBorder="1" applyAlignment="1">
      <alignment horizontal="center"/>
    </xf>
    <xf numFmtId="0" fontId="32" fillId="5" borderId="0" xfId="163" applyFont="1" applyFill="1" applyBorder="1" applyAlignment="1">
      <alignment horizontal="center" vertical="center" wrapText="1"/>
    </xf>
    <xf numFmtId="0" fontId="44" fillId="5" borderId="0" xfId="163" applyFont="1" applyFill="1" applyBorder="1" applyAlignment="1">
      <alignment horizontal="center" vertical="center" wrapText="1"/>
    </xf>
    <xf numFmtId="0" fontId="43" fillId="5" borderId="0" xfId="163" applyFont="1" applyFill="1" applyBorder="1" applyAlignment="1">
      <alignment horizontal="center" vertical="center" wrapText="1"/>
    </xf>
    <xf numFmtId="0" fontId="5" fillId="0" borderId="0" xfId="0" applyFont="1"/>
    <xf numFmtId="9" fontId="9" fillId="0" borderId="0" xfId="1" applyFont="1"/>
    <xf numFmtId="0" fontId="8" fillId="0" borderId="0" xfId="0" applyFont="1" applyBorder="1" applyAlignment="1">
      <alignment horizontal="center" vertical="center" wrapText="1"/>
    </xf>
    <xf numFmtId="167" fontId="26" fillId="0" borderId="0" xfId="0" applyNumberFormat="1" applyFont="1" applyBorder="1" applyAlignment="1">
      <alignment horizontal="center"/>
    </xf>
    <xf numFmtId="9" fontId="25" fillId="0" borderId="0" xfId="1" applyFont="1" applyBorder="1" applyAlignment="1">
      <alignment horizontal="center"/>
    </xf>
    <xf numFmtId="0" fontId="5" fillId="0" borderId="0" xfId="0" applyFont="1" applyAlignment="1">
      <alignment wrapText="1"/>
    </xf>
    <xf numFmtId="0" fontId="7" fillId="0" borderId="0" xfId="0" applyFont="1" applyBorder="1" applyAlignment="1">
      <alignment wrapText="1"/>
    </xf>
    <xf numFmtId="3" fontId="25" fillId="0" borderId="0" xfId="0" applyNumberFormat="1" applyFont="1" applyBorder="1" applyAlignment="1">
      <alignment horizontal="center"/>
    </xf>
    <xf numFmtId="9" fontId="9" fillId="0" borderId="0" xfId="1" applyNumberFormat="1" applyFont="1"/>
    <xf numFmtId="9" fontId="0" fillId="0" borderId="0" xfId="252" applyNumberFormat="1" applyFont="1" applyAlignment="1">
      <alignment horizontal="center" wrapText="1"/>
    </xf>
    <xf numFmtId="9" fontId="0" fillId="0" borderId="0" xfId="1" applyNumberFormat="1" applyFont="1" applyAlignment="1">
      <alignment horizontal="center"/>
    </xf>
    <xf numFmtId="0" fontId="32" fillId="5" borderId="0" xfId="163" applyFont="1" applyFill="1" applyBorder="1" applyAlignment="1">
      <alignment horizontal="center" vertical="center" wrapText="1"/>
    </xf>
    <xf numFmtId="0" fontId="44" fillId="5" borderId="0" xfId="163" applyFont="1" applyFill="1" applyBorder="1" applyAlignment="1">
      <alignment horizontal="center" vertical="center" wrapText="1"/>
    </xf>
    <xf numFmtId="0" fontId="41" fillId="5" borderId="0" xfId="163" applyFont="1" applyFill="1" applyBorder="1" applyAlignment="1">
      <alignment horizontal="center" vertical="center" wrapText="1"/>
    </xf>
    <xf numFmtId="0" fontId="43" fillId="5" borderId="0" xfId="163" applyFont="1" applyFill="1" applyBorder="1" applyAlignment="1">
      <alignment horizontal="center" vertical="center" wrapText="1"/>
    </xf>
    <xf numFmtId="0" fontId="4" fillId="0" borderId="0" xfId="318" applyFont="1" applyAlignment="1">
      <alignment horizontal="center" vertical="center" wrapText="1"/>
    </xf>
    <xf numFmtId="0" fontId="4" fillId="0" borderId="5" xfId="0" applyFont="1" applyBorder="1"/>
    <xf numFmtId="165" fontId="9" fillId="0" borderId="0" xfId="1" applyNumberFormat="1" applyFont="1" applyBorder="1" applyAlignment="1">
      <alignment horizontal="center"/>
    </xf>
    <xf numFmtId="165" fontId="4" fillId="0" borderId="0" xfId="1" applyNumberFormat="1" applyFont="1" applyBorder="1" applyAlignment="1">
      <alignment horizontal="center"/>
    </xf>
    <xf numFmtId="9" fontId="4" fillId="0" borderId="0" xfId="1" applyFont="1" applyFill="1" applyAlignment="1">
      <alignment horizontal="center"/>
    </xf>
    <xf numFmtId="0" fontId="4" fillId="0" borderId="0" xfId="0" applyFont="1" applyAlignment="1">
      <alignment horizontal="center"/>
    </xf>
    <xf numFmtId="3" fontId="54" fillId="0" borderId="0" xfId="318" applyNumberFormat="1" applyFont="1" applyAlignment="1">
      <alignment wrapText="1"/>
    </xf>
    <xf numFmtId="0" fontId="4" fillId="0" borderId="2" xfId="0" applyFont="1" applyBorder="1"/>
    <xf numFmtId="0" fontId="4" fillId="0" borderId="7" xfId="0" applyFont="1" applyBorder="1"/>
    <xf numFmtId="0" fontId="6" fillId="0" borderId="0" xfId="318" applyFont="1" applyAlignment="1"/>
    <xf numFmtId="0" fontId="4" fillId="0" borderId="0" xfId="319" applyFont="1" applyAlignment="1"/>
    <xf numFmtId="0" fontId="25" fillId="0" borderId="0" xfId="318" applyFont="1" applyAlignment="1">
      <alignment horizontal="left"/>
    </xf>
    <xf numFmtId="0" fontId="54" fillId="0" borderId="0" xfId="318" applyFont="1" applyBorder="1" applyAlignment="1">
      <alignment vertical="center" wrapText="1"/>
    </xf>
    <xf numFmtId="0" fontId="27" fillId="0" borderId="29" xfId="318" applyFont="1" applyBorder="1" applyAlignment="1"/>
    <xf numFmtId="0" fontId="6" fillId="0" borderId="30" xfId="318" applyFont="1" applyBorder="1" applyAlignment="1">
      <alignment horizontal="center"/>
    </xf>
    <xf numFmtId="0" fontId="6" fillId="0" borderId="30" xfId="319" applyBorder="1"/>
    <xf numFmtId="0" fontId="6" fillId="0" borderId="31" xfId="318" applyFont="1" applyBorder="1" applyAlignment="1">
      <alignment horizontal="center"/>
    </xf>
    <xf numFmtId="0" fontId="4" fillId="0" borderId="32" xfId="318" applyFont="1" applyBorder="1" applyAlignment="1"/>
    <xf numFmtId="0" fontId="6" fillId="0" borderId="0" xfId="319" applyBorder="1"/>
    <xf numFmtId="0" fontId="6" fillId="0" borderId="33" xfId="318" applyFont="1" applyBorder="1" applyAlignment="1">
      <alignment horizontal="center"/>
    </xf>
    <xf numFmtId="0" fontId="27" fillId="0" borderId="32" xfId="318" applyFont="1" applyBorder="1" applyAlignment="1">
      <alignment horizontal="left"/>
    </xf>
    <xf numFmtId="0" fontId="4" fillId="0" borderId="32" xfId="318" applyFont="1" applyBorder="1" applyAlignment="1">
      <alignment horizontal="left"/>
    </xf>
    <xf numFmtId="0" fontId="4" fillId="0" borderId="32" xfId="319" applyFont="1" applyBorder="1" applyAlignment="1"/>
    <xf numFmtId="0" fontId="4" fillId="0" borderId="34" xfId="319" applyFont="1" applyBorder="1" applyAlignment="1"/>
    <xf numFmtId="0" fontId="6" fillId="0" borderId="35" xfId="318" applyFont="1" applyBorder="1" applyAlignment="1">
      <alignment horizontal="center"/>
    </xf>
    <xf numFmtId="0" fontId="6" fillId="0" borderId="35" xfId="319" applyBorder="1"/>
    <xf numFmtId="0" fontId="6" fillId="0" borderId="36" xfId="318" applyFont="1" applyBorder="1" applyAlignment="1">
      <alignment horizontal="center"/>
    </xf>
    <xf numFmtId="0" fontId="54" fillId="0" borderId="35" xfId="318" applyFont="1" applyBorder="1" applyAlignment="1">
      <alignment vertical="center" wrapText="1"/>
    </xf>
    <xf numFmtId="9" fontId="26" fillId="0" borderId="0" xfId="1" applyNumberFormat="1" applyFont="1" applyBorder="1" applyAlignment="1">
      <alignment horizontal="center"/>
    </xf>
    <xf numFmtId="9" fontId="26" fillId="0" borderId="0" xfId="1" applyNumberFormat="1" applyFont="1" applyFill="1" applyBorder="1" applyAlignment="1">
      <alignment horizontal="center"/>
    </xf>
    <xf numFmtId="165" fontId="0" fillId="0" borderId="0" xfId="1" applyNumberFormat="1" applyFont="1" applyAlignment="1">
      <alignment horizontal="center"/>
    </xf>
    <xf numFmtId="165" fontId="0" fillId="0" borderId="0" xfId="0" applyNumberFormat="1" applyAlignment="1">
      <alignment horizontal="center"/>
    </xf>
    <xf numFmtId="165" fontId="69" fillId="0" borderId="0" xfId="0" applyNumberFormat="1" applyFont="1" applyAlignment="1">
      <alignment horizontal="center"/>
    </xf>
    <xf numFmtId="9" fontId="69" fillId="0" borderId="0" xfId="1" applyFont="1" applyAlignment="1">
      <alignment horizontal="center"/>
    </xf>
    <xf numFmtId="9" fontId="69" fillId="0" borderId="0" xfId="0" applyNumberFormat="1" applyFont="1" applyAlignment="1">
      <alignment horizontal="center"/>
    </xf>
    <xf numFmtId="9" fontId="68" fillId="0" borderId="0" xfId="0" applyNumberFormat="1" applyFont="1" applyAlignment="1">
      <alignment horizontal="center"/>
    </xf>
    <xf numFmtId="0" fontId="42" fillId="5" borderId="0" xfId="163" applyFont="1" applyFill="1" applyBorder="1" applyAlignment="1">
      <alignment horizontal="center" vertical="center" wrapText="1"/>
    </xf>
    <xf numFmtId="0" fontId="32" fillId="5" borderId="0" xfId="163" applyFont="1" applyFill="1" applyBorder="1" applyAlignment="1">
      <alignment vertical="center" wrapText="1"/>
    </xf>
    <xf numFmtId="0" fontId="44" fillId="5" borderId="0" xfId="163" applyFont="1" applyFill="1" applyBorder="1" applyAlignment="1">
      <alignment vertical="center" wrapText="1"/>
    </xf>
    <xf numFmtId="0" fontId="32" fillId="5" borderId="28" xfId="163" applyFont="1" applyFill="1" applyBorder="1" applyAlignment="1">
      <alignment vertical="center" wrapText="1"/>
    </xf>
    <xf numFmtId="0" fontId="4" fillId="0" borderId="0" xfId="0" applyFont="1" applyBorder="1" applyAlignment="1">
      <alignment horizontal="center" vertical="center" wrapText="1"/>
    </xf>
    <xf numFmtId="0" fontId="32" fillId="5" borderId="27" xfId="163" applyFont="1" applyFill="1" applyBorder="1" applyAlignment="1">
      <alignment horizontal="center" vertical="center" wrapText="1"/>
    </xf>
    <xf numFmtId="3" fontId="6" fillId="0" borderId="0" xfId="319" applyNumberFormat="1"/>
    <xf numFmtId="0" fontId="4" fillId="0" borderId="13" xfId="318" applyFont="1" applyBorder="1" applyAlignment="1">
      <alignment horizontal="center" vertical="center" wrapText="1"/>
    </xf>
    <xf numFmtId="0" fontId="4" fillId="0" borderId="0" xfId="318" applyFont="1" applyBorder="1" applyAlignment="1">
      <alignment horizontal="center"/>
    </xf>
    <xf numFmtId="9" fontId="4" fillId="0" borderId="0" xfId="1" applyFont="1" applyAlignment="1">
      <alignment horizontal="center"/>
    </xf>
    <xf numFmtId="10" fontId="15" fillId="0" borderId="9" xfId="1" applyNumberFormat="1" applyFont="1" applyBorder="1" applyAlignment="1">
      <alignment horizontal="center" vertical="center"/>
    </xf>
    <xf numFmtId="10" fontId="15" fillId="0" borderId="6" xfId="1" applyNumberFormat="1" applyFont="1" applyBorder="1" applyAlignment="1">
      <alignment horizontal="center" vertical="center"/>
    </xf>
    <xf numFmtId="0" fontId="4" fillId="0" borderId="0" xfId="0" applyFont="1" applyAlignment="1">
      <alignment horizontal="center" vertical="center" wrapText="1"/>
    </xf>
    <xf numFmtId="0" fontId="23" fillId="0" borderId="0" xfId="242" applyAlignment="1">
      <alignment horizontal="center" vertical="center" wrapText="1"/>
    </xf>
    <xf numFmtId="0" fontId="25" fillId="0" borderId="0" xfId="0" applyFont="1" applyFill="1" applyAlignment="1">
      <alignment horizontal="center"/>
    </xf>
    <xf numFmtId="3" fontId="4" fillId="0" borderId="0" xfId="318" applyNumberFormat="1" applyFont="1" applyAlignment="1">
      <alignment horizontal="center"/>
    </xf>
    <xf numFmtId="0" fontId="4" fillId="0" borderId="0" xfId="0" applyFont="1"/>
    <xf numFmtId="165" fontId="4" fillId="0" borderId="0" xfId="0" applyNumberFormat="1" applyFont="1" applyAlignment="1">
      <alignment horizontal="center"/>
    </xf>
    <xf numFmtId="1" fontId="76" fillId="0" borderId="0" xfId="395" applyNumberFormat="1" applyFont="1" applyFill="1" applyBorder="1" applyAlignment="1">
      <alignment horizontal="left"/>
    </xf>
    <xf numFmtId="165" fontId="4" fillId="0" borderId="0" xfId="417" applyNumberFormat="1" applyFont="1" applyAlignment="1">
      <alignment horizontal="center"/>
    </xf>
    <xf numFmtId="9" fontId="4" fillId="0" borderId="0" xfId="0" applyNumberFormat="1" applyFont="1" applyAlignment="1">
      <alignment horizontal="center"/>
    </xf>
    <xf numFmtId="0" fontId="76" fillId="0" borderId="0" xfId="395" applyFont="1" applyBorder="1" applyAlignment="1">
      <alignment vertical="top" wrapText="1"/>
    </xf>
    <xf numFmtId="1" fontId="76" fillId="0" borderId="0" xfId="395" applyNumberFormat="1" applyFont="1" applyBorder="1" applyAlignment="1">
      <alignment horizontal="left"/>
    </xf>
    <xf numFmtId="0" fontId="76" fillId="0" borderId="0" xfId="392" applyFont="1"/>
    <xf numFmtId="165" fontId="76" fillId="0" borderId="0" xfId="417" applyNumberFormat="1" applyFont="1"/>
    <xf numFmtId="10" fontId="76" fillId="0" borderId="0" xfId="417" applyNumberFormat="1" applyFont="1"/>
    <xf numFmtId="171" fontId="76" fillId="0" borderId="0" xfId="392" applyNumberFormat="1" applyFont="1"/>
    <xf numFmtId="10" fontId="4" fillId="0" borderId="0" xfId="0" applyNumberFormat="1" applyFont="1"/>
    <xf numFmtId="10" fontId="76" fillId="0" borderId="0" xfId="392" applyNumberFormat="1" applyFont="1"/>
    <xf numFmtId="165" fontId="4" fillId="0" borderId="0" xfId="417" applyNumberFormat="1" applyFont="1"/>
    <xf numFmtId="3" fontId="76" fillId="0" borderId="0" xfId="392" applyNumberFormat="1" applyFont="1" applyAlignment="1">
      <alignment horizontal="center"/>
    </xf>
    <xf numFmtId="0" fontId="76" fillId="0" borderId="0" xfId="392" applyFont="1" applyAlignment="1">
      <alignment horizontal="center"/>
    </xf>
    <xf numFmtId="171" fontId="4" fillId="0" borderId="0" xfId="417" applyNumberFormat="1" applyFont="1"/>
    <xf numFmtId="10" fontId="4" fillId="0" borderId="0" xfId="0" applyNumberFormat="1" applyFont="1" applyAlignment="1">
      <alignment horizontal="right"/>
    </xf>
    <xf numFmtId="0" fontId="4" fillId="0" borderId="0" xfId="0" applyFont="1" applyFill="1"/>
    <xf numFmtId="0" fontId="77" fillId="0" borderId="0" xfId="0" applyFont="1"/>
    <xf numFmtId="165" fontId="4" fillId="0" borderId="0" xfId="0" applyNumberFormat="1" applyFont="1"/>
    <xf numFmtId="10" fontId="76" fillId="0" borderId="0" xfId="392" applyNumberFormat="1" applyFont="1" applyBorder="1" applyAlignment="1">
      <alignment horizontal="center"/>
    </xf>
    <xf numFmtId="165" fontId="76" fillId="0" borderId="0" xfId="417" applyNumberFormat="1" applyFont="1" applyBorder="1" applyAlignment="1">
      <alignment horizontal="center"/>
    </xf>
    <xf numFmtId="9" fontId="4" fillId="0" borderId="0" xfId="417" applyFont="1" applyFill="1" applyBorder="1" applyAlignment="1">
      <alignment horizontal="center"/>
    </xf>
    <xf numFmtId="165" fontId="4" fillId="0" borderId="0" xfId="417" applyNumberFormat="1" applyFont="1" applyBorder="1" applyAlignment="1">
      <alignment horizontal="center"/>
    </xf>
    <xf numFmtId="10" fontId="4" fillId="0" borderId="0" xfId="417" applyNumberFormat="1" applyFont="1" applyFill="1" applyBorder="1" applyAlignment="1">
      <alignment horizontal="center"/>
    </xf>
    <xf numFmtId="168" fontId="76" fillId="0" borderId="0" xfId="392" applyNumberFormat="1" applyFont="1"/>
    <xf numFmtId="168" fontId="76" fillId="0" borderId="0" xfId="392" applyNumberFormat="1" applyFont="1" applyAlignment="1">
      <alignment horizontal="center"/>
    </xf>
    <xf numFmtId="165" fontId="25" fillId="0" borderId="0" xfId="417" applyNumberFormat="1" applyFont="1"/>
    <xf numFmtId="0" fontId="76" fillId="0" borderId="0" xfId="392" applyFont="1" applyBorder="1"/>
    <xf numFmtId="0" fontId="4" fillId="0" borderId="0" xfId="0" applyFont="1" applyBorder="1"/>
    <xf numFmtId="3" fontId="76" fillId="0" borderId="0" xfId="392" applyNumberFormat="1" applyFont="1" applyBorder="1" applyAlignment="1">
      <alignment horizontal="center"/>
    </xf>
    <xf numFmtId="168" fontId="76" fillId="0" borderId="0" xfId="392" applyNumberFormat="1" applyFont="1" applyBorder="1"/>
    <xf numFmtId="168" fontId="76" fillId="0" borderId="0" xfId="392" applyNumberFormat="1" applyFont="1" applyBorder="1" applyAlignment="1">
      <alignment horizontal="center"/>
    </xf>
    <xf numFmtId="0" fontId="76" fillId="0" borderId="0" xfId="392" applyFont="1" applyAlignment="1">
      <alignment horizontal="center" vertical="center" wrapText="1"/>
    </xf>
    <xf numFmtId="0" fontId="4" fillId="0" borderId="0" xfId="0" applyFont="1" applyAlignment="1">
      <alignment horizontal="left" vertical="center" wrapText="1"/>
    </xf>
    <xf numFmtId="0" fontId="25" fillId="0" borderId="0" xfId="0" applyFont="1"/>
    <xf numFmtId="9" fontId="4" fillId="0" borderId="0" xfId="0" applyNumberFormat="1" applyFont="1"/>
    <xf numFmtId="0" fontId="78" fillId="0" borderId="0" xfId="392" applyFont="1"/>
    <xf numFmtId="0" fontId="4"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32" fillId="0" borderId="24" xfId="163" applyFont="1" applyFill="1" applyBorder="1" applyAlignment="1">
      <alignment horizontal="center" vertical="center" wrapText="1"/>
    </xf>
    <xf numFmtId="0" fontId="31" fillId="0" borderId="26" xfId="163" applyFont="1" applyFill="1" applyBorder="1" applyAlignment="1">
      <alignment horizontal="center" vertical="center" wrapText="1"/>
    </xf>
    <xf numFmtId="0" fontId="32" fillId="0" borderId="25" xfId="163" applyFont="1" applyFill="1" applyBorder="1" applyAlignment="1">
      <alignment horizontal="center" vertical="center" wrapText="1"/>
    </xf>
    <xf numFmtId="0" fontId="32" fillId="0" borderId="26" xfId="163" applyFont="1" applyFill="1" applyBorder="1" applyAlignment="1">
      <alignment horizontal="center" vertical="center" wrapText="1"/>
    </xf>
    <xf numFmtId="0" fontId="33" fillId="5" borderId="13" xfId="163" applyFont="1" applyFill="1" applyBorder="1" applyAlignment="1">
      <alignment horizontal="justify" vertical="center" wrapText="1"/>
    </xf>
    <xf numFmtId="0" fontId="29" fillId="5" borderId="13" xfId="163" applyFont="1" applyFill="1" applyBorder="1" applyAlignment="1">
      <alignment horizontal="center" vertical="center" wrapText="1"/>
    </xf>
    <xf numFmtId="0" fontId="29" fillId="5" borderId="0" xfId="163" applyFont="1" applyFill="1" applyBorder="1" applyAlignment="1">
      <alignment horizontal="center" vertical="center" wrapText="1"/>
    </xf>
    <xf numFmtId="0" fontId="29" fillId="5" borderId="14" xfId="163" applyFont="1" applyFill="1" applyBorder="1" applyAlignment="1">
      <alignment horizontal="center" vertical="center" wrapText="1"/>
    </xf>
    <xf numFmtId="0" fontId="45" fillId="0" borderId="21" xfId="163" applyFont="1" applyFill="1" applyBorder="1" applyAlignment="1">
      <alignment horizontal="center" vertical="center" wrapText="1"/>
    </xf>
    <xf numFmtId="0" fontId="45" fillId="0" borderId="22" xfId="163" applyFont="1" applyFill="1" applyBorder="1" applyAlignment="1">
      <alignment horizontal="center" vertical="center" wrapText="1"/>
    </xf>
    <xf numFmtId="0" fontId="45" fillId="0" borderId="23" xfId="163" applyFont="1" applyFill="1" applyBorder="1" applyAlignment="1">
      <alignment horizontal="center" vertical="center" wrapText="1"/>
    </xf>
    <xf numFmtId="0" fontId="32" fillId="5" borderId="15" xfId="163" applyFont="1" applyFill="1" applyBorder="1" applyAlignment="1">
      <alignment horizontal="center" vertical="center" wrapText="1"/>
    </xf>
    <xf numFmtId="0" fontId="32" fillId="5" borderId="0" xfId="163" applyFont="1" applyFill="1" applyBorder="1" applyAlignment="1">
      <alignment horizontal="center" vertical="center" wrapText="1"/>
    </xf>
    <xf numFmtId="0" fontId="32" fillId="5" borderId="14" xfId="163" applyFont="1" applyFill="1" applyBorder="1" applyAlignment="1">
      <alignment horizontal="center" vertical="center" wrapText="1"/>
    </xf>
    <xf numFmtId="0" fontId="32" fillId="5" borderId="24" xfId="163" applyFont="1" applyFill="1" applyBorder="1" applyAlignment="1">
      <alignment horizontal="center" vertical="center" wrapText="1"/>
    </xf>
    <xf numFmtId="0" fontId="31" fillId="5" borderId="26" xfId="163" applyFont="1" applyFill="1" applyBorder="1" applyAlignment="1">
      <alignment horizontal="center" vertical="center" wrapText="1"/>
    </xf>
    <xf numFmtId="0" fontId="32" fillId="5" borderId="25" xfId="163" applyFont="1" applyFill="1" applyBorder="1" applyAlignment="1">
      <alignment horizontal="center" vertical="center" wrapText="1"/>
    </xf>
    <xf numFmtId="0" fontId="32" fillId="5" borderId="26" xfId="163" applyFont="1" applyFill="1" applyBorder="1" applyAlignment="1">
      <alignment horizontal="center" vertical="center" wrapText="1"/>
    </xf>
    <xf numFmtId="0" fontId="45" fillId="5" borderId="21" xfId="163" applyFont="1" applyFill="1" applyBorder="1" applyAlignment="1">
      <alignment horizontal="center" vertical="center" wrapText="1"/>
    </xf>
    <xf numFmtId="0" fontId="45" fillId="5" borderId="22" xfId="163" applyFont="1" applyFill="1" applyBorder="1" applyAlignment="1">
      <alignment horizontal="center" vertical="center" wrapText="1"/>
    </xf>
    <xf numFmtId="0" fontId="45" fillId="5" borderId="23" xfId="163" applyFont="1" applyFill="1" applyBorder="1" applyAlignment="1">
      <alignment horizontal="center" vertical="center" wrapText="1"/>
    </xf>
    <xf numFmtId="0" fontId="50" fillId="5" borderId="15" xfId="163" applyFont="1" applyFill="1" applyBorder="1" applyAlignment="1">
      <alignment horizontal="center" vertical="center" wrapText="1"/>
    </xf>
    <xf numFmtId="0" fontId="50" fillId="5" borderId="0" xfId="163" applyFont="1" applyFill="1" applyBorder="1" applyAlignment="1">
      <alignment horizontal="center" vertical="center" wrapText="1"/>
    </xf>
    <xf numFmtId="0" fontId="50" fillId="5" borderId="14" xfId="163" applyFont="1" applyFill="1" applyBorder="1" applyAlignment="1">
      <alignment horizontal="center" vertical="center" wrapText="1"/>
    </xf>
    <xf numFmtId="0" fontId="44" fillId="5" borderId="21" xfId="163" applyFont="1" applyFill="1" applyBorder="1" applyAlignment="1">
      <alignment horizontal="center" vertical="center" wrapText="1"/>
    </xf>
    <xf numFmtId="0" fontId="44" fillId="5" borderId="22" xfId="163" applyFont="1" applyFill="1" applyBorder="1" applyAlignment="1">
      <alignment horizontal="center" vertical="center" wrapText="1"/>
    </xf>
    <xf numFmtId="0" fontId="43" fillId="5" borderId="22" xfId="163" applyFont="1" applyFill="1" applyBorder="1" applyAlignment="1">
      <alignment horizontal="center" vertical="center" wrapText="1"/>
    </xf>
    <xf numFmtId="0" fontId="43" fillId="5" borderId="23" xfId="163" applyFont="1" applyFill="1" applyBorder="1" applyAlignment="1">
      <alignment horizontal="center" vertical="center" wrapText="1"/>
    </xf>
    <xf numFmtId="0" fontId="32" fillId="5" borderId="21" xfId="163" applyFont="1" applyFill="1" applyBorder="1" applyAlignment="1">
      <alignment horizontal="center" vertical="center" wrapText="1"/>
    </xf>
    <xf numFmtId="0" fontId="32" fillId="5" borderId="22" xfId="163" applyFont="1" applyFill="1" applyBorder="1" applyAlignment="1">
      <alignment horizontal="center" vertical="center" wrapText="1"/>
    </xf>
    <xf numFmtId="0" fontId="32" fillId="5" borderId="23" xfId="163" applyFont="1" applyFill="1" applyBorder="1" applyAlignment="1">
      <alignment horizontal="center" vertical="center" wrapText="1"/>
    </xf>
    <xf numFmtId="164" fontId="43" fillId="5" borderId="21" xfId="163" applyNumberFormat="1" applyFont="1" applyFill="1" applyBorder="1" applyAlignment="1">
      <alignment horizontal="center" vertical="center" wrapText="1"/>
    </xf>
    <xf numFmtId="164" fontId="43" fillId="5" borderId="22" xfId="163" applyNumberFormat="1" applyFont="1" applyFill="1" applyBorder="1" applyAlignment="1">
      <alignment horizontal="center" vertical="center" wrapText="1"/>
    </xf>
    <xf numFmtId="164" fontId="43" fillId="5" borderId="23" xfId="163" applyNumberFormat="1" applyFont="1" applyFill="1" applyBorder="1" applyAlignment="1">
      <alignment horizontal="center" vertical="center" wrapText="1"/>
    </xf>
    <xf numFmtId="0" fontId="44" fillId="5" borderId="2" xfId="163" applyFont="1" applyFill="1" applyBorder="1" applyAlignment="1">
      <alignment horizontal="center" vertical="center" wrapText="1"/>
    </xf>
    <xf numFmtId="0" fontId="44" fillId="5" borderId="3" xfId="163" applyFont="1" applyFill="1" applyBorder="1" applyAlignment="1">
      <alignment horizontal="center" vertical="center" wrapText="1"/>
    </xf>
    <xf numFmtId="0" fontId="44" fillId="5" borderId="4" xfId="163" applyFont="1" applyFill="1" applyBorder="1" applyAlignment="1">
      <alignment horizontal="center" vertical="center" wrapText="1"/>
    </xf>
    <xf numFmtId="0" fontId="44" fillId="5" borderId="5" xfId="163" applyFont="1" applyFill="1" applyBorder="1" applyAlignment="1">
      <alignment horizontal="center" vertical="center" wrapText="1"/>
    </xf>
    <xf numFmtId="0" fontId="44" fillId="5" borderId="0" xfId="163" applyFont="1" applyFill="1" applyBorder="1" applyAlignment="1">
      <alignment horizontal="center" vertical="center" wrapText="1"/>
    </xf>
    <xf numFmtId="0" fontId="44" fillId="5" borderId="6" xfId="163" applyFont="1" applyFill="1" applyBorder="1" applyAlignment="1">
      <alignment horizontal="center" vertical="center" wrapText="1"/>
    </xf>
    <xf numFmtId="0" fontId="44" fillId="5" borderId="7" xfId="163" applyFont="1" applyFill="1" applyBorder="1" applyAlignment="1">
      <alignment horizontal="center" vertical="center" wrapText="1"/>
    </xf>
    <xf numFmtId="0" fontId="44" fillId="5" borderId="8" xfId="163" applyFont="1" applyFill="1" applyBorder="1" applyAlignment="1">
      <alignment horizontal="center" vertical="center" wrapText="1"/>
    </xf>
    <xf numFmtId="0" fontId="44" fillId="5" borderId="9" xfId="163" applyFont="1" applyFill="1" applyBorder="1" applyAlignment="1">
      <alignment horizontal="center" vertical="center" wrapText="1"/>
    </xf>
    <xf numFmtId="0" fontId="41" fillId="5" borderId="15" xfId="163" applyFont="1" applyFill="1" applyBorder="1" applyAlignment="1">
      <alignment horizontal="center" vertical="center" wrapText="1"/>
    </xf>
    <xf numFmtId="0" fontId="41" fillId="5" borderId="0" xfId="163" applyFont="1" applyFill="1" applyBorder="1" applyAlignment="1">
      <alignment horizontal="center" vertical="center" wrapText="1"/>
    </xf>
    <xf numFmtId="0" fontId="41" fillId="5" borderId="14" xfId="163" applyFont="1" applyFill="1" applyBorder="1" applyAlignment="1">
      <alignment horizontal="center" vertical="center" wrapText="1"/>
    </xf>
    <xf numFmtId="0" fontId="43" fillId="5" borderId="21" xfId="163" applyFont="1" applyFill="1" applyBorder="1" applyAlignment="1">
      <alignment horizontal="center" vertical="center" wrapText="1"/>
    </xf>
    <xf numFmtId="0" fontId="44" fillId="5" borderId="23" xfId="163" applyFont="1" applyFill="1" applyBorder="1" applyAlignment="1">
      <alignment horizontal="center" vertical="center" wrapText="1"/>
    </xf>
    <xf numFmtId="0" fontId="43" fillId="5" borderId="2" xfId="163" applyFont="1" applyFill="1" applyBorder="1" applyAlignment="1">
      <alignment horizontal="center" vertical="center" wrapText="1"/>
    </xf>
    <xf numFmtId="0" fontId="43" fillId="5" borderId="3" xfId="163" applyFont="1" applyFill="1" applyBorder="1" applyAlignment="1">
      <alignment horizontal="center" vertical="center" wrapText="1"/>
    </xf>
    <xf numFmtId="0" fontId="43" fillId="5" borderId="4" xfId="163" applyFont="1" applyFill="1" applyBorder="1" applyAlignment="1">
      <alignment horizontal="center" vertical="center" wrapText="1"/>
    </xf>
    <xf numFmtId="0" fontId="43" fillId="5" borderId="5" xfId="163" applyFont="1" applyFill="1" applyBorder="1" applyAlignment="1">
      <alignment horizontal="center" vertical="center" wrapText="1"/>
    </xf>
    <xf numFmtId="0" fontId="43" fillId="5" borderId="0" xfId="163" applyFont="1" applyFill="1" applyBorder="1" applyAlignment="1">
      <alignment horizontal="center" vertical="center" wrapText="1"/>
    </xf>
    <xf numFmtId="0" fontId="43" fillId="5" borderId="6" xfId="163" applyFont="1" applyFill="1" applyBorder="1" applyAlignment="1">
      <alignment horizontal="center" vertical="center" wrapText="1"/>
    </xf>
    <xf numFmtId="0" fontId="43" fillId="5" borderId="7" xfId="163" applyFont="1" applyFill="1" applyBorder="1" applyAlignment="1">
      <alignment horizontal="center" vertical="center" wrapText="1"/>
    </xf>
    <xf numFmtId="0" fontId="43" fillId="5" borderId="8" xfId="163" applyFont="1" applyFill="1" applyBorder="1" applyAlignment="1">
      <alignment horizontal="center" vertical="center" wrapText="1"/>
    </xf>
    <xf numFmtId="0" fontId="43" fillId="5" borderId="9" xfId="163" applyFont="1" applyFill="1" applyBorder="1" applyAlignment="1">
      <alignment horizontal="center" vertical="center" wrapText="1"/>
    </xf>
    <xf numFmtId="0" fontId="25" fillId="0" borderId="12" xfId="318" applyFont="1" applyBorder="1" applyAlignment="1">
      <alignment horizontal="center"/>
    </xf>
    <xf numFmtId="0" fontId="55" fillId="0" borderId="2" xfId="318" applyFont="1" applyBorder="1" applyAlignment="1">
      <alignment horizontal="left" vertical="center" wrapText="1"/>
    </xf>
    <xf numFmtId="0" fontId="55" fillId="0" borderId="3" xfId="318" applyFont="1" applyBorder="1" applyAlignment="1">
      <alignment horizontal="left" vertical="center" wrapText="1"/>
    </xf>
    <xf numFmtId="0" fontId="55" fillId="0" borderId="4" xfId="318" applyFont="1" applyBorder="1" applyAlignment="1">
      <alignment horizontal="left" vertical="center" wrapText="1"/>
    </xf>
    <xf numFmtId="0" fontId="55" fillId="0" borderId="5" xfId="318" applyFont="1" applyBorder="1" applyAlignment="1">
      <alignment horizontal="left" vertical="center" wrapText="1"/>
    </xf>
    <xf numFmtId="0" fontId="55" fillId="0" borderId="0" xfId="318" applyFont="1" applyBorder="1" applyAlignment="1">
      <alignment horizontal="left" vertical="center" wrapText="1"/>
    </xf>
    <xf numFmtId="0" fontId="55" fillId="0" borderId="6" xfId="318" applyFont="1" applyBorder="1" applyAlignment="1">
      <alignment horizontal="left" vertical="center" wrapText="1"/>
    </xf>
    <xf numFmtId="0" fontId="55" fillId="0" borderId="7" xfId="318" applyFont="1" applyBorder="1" applyAlignment="1">
      <alignment horizontal="left" vertical="center" wrapText="1"/>
    </xf>
    <xf numFmtId="0" fontId="55" fillId="0" borderId="8" xfId="318" applyFont="1" applyBorder="1" applyAlignment="1">
      <alignment horizontal="left" vertical="center" wrapText="1"/>
    </xf>
    <xf numFmtId="0" fontId="55" fillId="0" borderId="9" xfId="318" applyFont="1" applyBorder="1" applyAlignment="1">
      <alignment horizontal="left" vertical="center" wrapText="1"/>
    </xf>
    <xf numFmtId="0" fontId="49" fillId="5" borderId="21" xfId="163" applyFont="1" applyFill="1" applyBorder="1" applyAlignment="1">
      <alignment horizontal="center" vertical="center" wrapText="1"/>
    </xf>
    <xf numFmtId="0" fontId="49" fillId="5" borderId="22" xfId="163" applyFont="1" applyFill="1" applyBorder="1" applyAlignment="1">
      <alignment horizontal="center" vertical="center" wrapText="1"/>
    </xf>
    <xf numFmtId="0" fontId="49" fillId="5" borderId="23" xfId="163" applyFont="1" applyFill="1" applyBorder="1" applyAlignment="1">
      <alignment horizontal="center" vertical="center" wrapText="1"/>
    </xf>
    <xf numFmtId="0" fontId="42" fillId="5" borderId="21" xfId="163" applyFont="1" applyFill="1" applyBorder="1" applyAlignment="1">
      <alignment horizontal="center" vertical="center" wrapText="1"/>
    </xf>
    <xf numFmtId="0" fontId="41" fillId="5" borderId="22" xfId="163" applyFont="1" applyFill="1" applyBorder="1" applyAlignment="1">
      <alignment horizontal="center" vertical="center" wrapText="1"/>
    </xf>
    <xf numFmtId="0" fontId="41" fillId="5" borderId="23" xfId="163" applyFont="1" applyFill="1" applyBorder="1" applyAlignment="1">
      <alignment horizontal="center" vertical="center" wrapText="1"/>
    </xf>
  </cellXfs>
  <cellStyles count="418">
    <cellStyle name="20% - Accent1 2" xfId="321"/>
    <cellStyle name="20% - Accent2 2" xfId="322"/>
    <cellStyle name="20% - Accent3 2" xfId="323"/>
    <cellStyle name="20% - Accent4 2" xfId="324"/>
    <cellStyle name="20% - Accent5 2" xfId="325"/>
    <cellStyle name="20% - Accent6 2" xfId="326"/>
    <cellStyle name="40% - Accent1 2" xfId="327"/>
    <cellStyle name="40% - Accent2 2" xfId="328"/>
    <cellStyle name="40% - Accent3 2" xfId="329"/>
    <cellStyle name="40% - Accent4 2" xfId="330"/>
    <cellStyle name="40% - Accent5 2" xfId="331"/>
    <cellStyle name="40% - Accent6 2" xfId="332"/>
    <cellStyle name="60% - Accent1 2" xfId="333"/>
    <cellStyle name="60% - Accent2 2" xfId="334"/>
    <cellStyle name="60% - Accent3 2" xfId="335"/>
    <cellStyle name="60% - Accent4 2" xfId="336"/>
    <cellStyle name="60% - Accent5 2" xfId="337"/>
    <cellStyle name="60% - Accent6 2" xfId="338"/>
    <cellStyle name="Accent1 2" xfId="339"/>
    <cellStyle name="Accent2 2" xfId="340"/>
    <cellStyle name="Accent3 2" xfId="341"/>
    <cellStyle name="Accent4 2" xfId="342"/>
    <cellStyle name="Accent5 2" xfId="343"/>
    <cellStyle name="Accent6 2" xfId="344"/>
    <cellStyle name="Bad 2" xfId="345"/>
    <cellStyle name="Calculation 2" xfId="346"/>
    <cellStyle name="Check Cell 2" xfId="347"/>
    <cellStyle name="Commentaire" xfId="164"/>
    <cellStyle name="Date" xfId="2"/>
    <cellStyle name="En-tête 1" xfId="3"/>
    <cellStyle name="En-tête 2" xfId="4"/>
    <cellStyle name="Explanatory Text 2" xfId="348"/>
    <cellStyle name="Financier0" xfId="5"/>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Good 2" xfId="349"/>
    <cellStyle name="Heading 1 2" xfId="350"/>
    <cellStyle name="Heading 2 2" xfId="351"/>
    <cellStyle name="Heading 3 2" xfId="352"/>
    <cellStyle name="Heading 4 2" xfId="353"/>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cellStyle name="Input 2" xfId="354"/>
    <cellStyle name="Lien hypertexte 2" xfId="355"/>
    <cellStyle name="Linked Cell 2" xfId="356"/>
    <cellStyle name="Milliers 2" xfId="385"/>
    <cellStyle name="Milliers 3" xfId="386"/>
    <cellStyle name="Monétaire0" xfId="6"/>
    <cellStyle name="Motif" xfId="387"/>
    <cellStyle name="Neutral 2" xfId="357"/>
    <cellStyle name="Normal" xfId="0" builtinId="0"/>
    <cellStyle name="Normal 10" xfId="388"/>
    <cellStyle name="Normal 11" xfId="389"/>
    <cellStyle name="Normal 12" xfId="390"/>
    <cellStyle name="Normal 13" xfId="391"/>
    <cellStyle name="Normal 14" xfId="392"/>
    <cellStyle name="Normal 15" xfId="393"/>
    <cellStyle name="Normal 16" xfId="394"/>
    <cellStyle name="Normal 2" xfId="7"/>
    <cellStyle name="Normal 2 2" xfId="395"/>
    <cellStyle name="Normal 2 2 2" xfId="396"/>
    <cellStyle name="Normal 2 3" xfId="397"/>
    <cellStyle name="Normal 2 4" xfId="398"/>
    <cellStyle name="Normal 2_AccumulationEquation" xfId="399"/>
    <cellStyle name="Normal 3" xfId="8"/>
    <cellStyle name="Normal 3 2" xfId="318"/>
    <cellStyle name="Normal 3 2 2" xfId="400"/>
    <cellStyle name="Normal 4" xfId="9"/>
    <cellStyle name="Normal 4 2" xfId="401"/>
    <cellStyle name="Normal 5" xfId="163"/>
    <cellStyle name="Normal 6" xfId="10"/>
    <cellStyle name="Normal 7" xfId="224"/>
    <cellStyle name="Normal 8" xfId="319"/>
    <cellStyle name="Normal 9" xfId="383"/>
    <cellStyle name="Note 2" xfId="358"/>
    <cellStyle name="Output 2" xfId="359"/>
    <cellStyle name="Percent" xfId="1" builtinId="5"/>
    <cellStyle name="Percent 2" xfId="320"/>
    <cellStyle name="Percent 2 2" xfId="402"/>
    <cellStyle name="Percent 3" xfId="417"/>
    <cellStyle name="Pourcentage 10" xfId="403"/>
    <cellStyle name="Pourcentage 11" xfId="404"/>
    <cellStyle name="Pourcentage 12" xfId="405"/>
    <cellStyle name="Pourcentage 13" xfId="406"/>
    <cellStyle name="Pourcentage 14" xfId="407"/>
    <cellStyle name="Pourcentage 2" xfId="11"/>
    <cellStyle name="Pourcentage 2 2" xfId="408"/>
    <cellStyle name="Pourcentage 2 3" xfId="409"/>
    <cellStyle name="Pourcentage 2 4" xfId="410"/>
    <cellStyle name="Pourcentage 3" xfId="12"/>
    <cellStyle name="Pourcentage 3 2" xfId="13"/>
    <cellStyle name="Pourcentage 4" xfId="225"/>
    <cellStyle name="Pourcentage 5" xfId="252"/>
    <cellStyle name="Pourcentage 5 2" xfId="411"/>
    <cellStyle name="Pourcentage 6" xfId="384"/>
    <cellStyle name="Pourcentage 6 2" xfId="412"/>
    <cellStyle name="Pourcentage 7" xfId="413"/>
    <cellStyle name="Pourcentage 8" xfId="414"/>
    <cellStyle name="Pourcentage 9" xfId="415"/>
    <cellStyle name="Satisfaisant" xfId="165"/>
    <cellStyle name="Standard 11" xfId="14"/>
    <cellStyle name="Standard_2 + 3" xfId="416"/>
    <cellStyle name="style_col_headings" xfId="15"/>
    <cellStyle name="Titre" xfId="166"/>
    <cellStyle name="Titre 1" xfId="167"/>
    <cellStyle name="Titre 2" xfId="168"/>
    <cellStyle name="Titre 3" xfId="169"/>
    <cellStyle name="Titre 4" xfId="170"/>
    <cellStyle name="Total 2" xfId="360"/>
    <cellStyle name="Vérification" xfId="171"/>
    <cellStyle name="Virgule fixe" xfId="16"/>
    <cellStyle name="Warning Text 2" xfId="36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3.xml"/><Relationship Id="rId20" Type="http://schemas.openxmlformats.org/officeDocument/2006/relationships/worksheet" Target="worksheets/sheet10.xml"/><Relationship Id="rId21" Type="http://schemas.openxmlformats.org/officeDocument/2006/relationships/worksheet" Target="worksheets/sheet11.xml"/><Relationship Id="rId22" Type="http://schemas.openxmlformats.org/officeDocument/2006/relationships/worksheet" Target="worksheets/sheet12.xml"/><Relationship Id="rId23" Type="http://schemas.openxmlformats.org/officeDocument/2006/relationships/worksheet" Target="worksheets/sheet13.xml"/><Relationship Id="rId24" Type="http://schemas.openxmlformats.org/officeDocument/2006/relationships/worksheet" Target="worksheets/sheet14.xml"/><Relationship Id="rId25" Type="http://schemas.openxmlformats.org/officeDocument/2006/relationships/worksheet" Target="worksheets/sheet15.xml"/><Relationship Id="rId26" Type="http://schemas.openxmlformats.org/officeDocument/2006/relationships/worksheet" Target="worksheets/sheet16.xml"/><Relationship Id="rId27" Type="http://schemas.openxmlformats.org/officeDocument/2006/relationships/worksheet" Target="worksheets/sheet17.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chartsheet" Target="chartsheets/sheet7.xml"/><Relationship Id="rId11" Type="http://schemas.openxmlformats.org/officeDocument/2006/relationships/chartsheet" Target="chartsheets/sheet8.xml"/><Relationship Id="rId12" Type="http://schemas.openxmlformats.org/officeDocument/2006/relationships/worksheet" Target="worksheets/sheet4.xml"/><Relationship Id="rId13" Type="http://schemas.openxmlformats.org/officeDocument/2006/relationships/chartsheet" Target="chartsheets/sheet9.xml"/><Relationship Id="rId14" Type="http://schemas.openxmlformats.org/officeDocument/2006/relationships/chartsheet" Target="chartsheets/sheet10.xml"/><Relationship Id="rId15" Type="http://schemas.openxmlformats.org/officeDocument/2006/relationships/worksheet" Target="worksheets/sheet5.xml"/><Relationship Id="rId16" Type="http://schemas.openxmlformats.org/officeDocument/2006/relationships/worksheet" Target="worksheets/sheet6.xml"/><Relationship Id="rId17" Type="http://schemas.openxmlformats.org/officeDocument/2006/relationships/worksheet" Target="worksheets/sheet7.xml"/><Relationship Id="rId18" Type="http://schemas.openxmlformats.org/officeDocument/2006/relationships/worksheet" Target="worksheets/sheet8.xml"/><Relationship Id="rId19" Type="http://schemas.openxmlformats.org/officeDocument/2006/relationships/worksheet" Target="worksheets/sheet9.xml"/><Relationship Id="rId1" Type="http://schemas.openxmlformats.org/officeDocument/2006/relationships/chartsheet" Target="chartsheets/sheet1.xml"/><Relationship Id="rId2" Type="http://schemas.openxmlformats.org/officeDocument/2006/relationships/chartsheet" Target="chartsheets/sheet2.xml"/><Relationship Id="rId3" Type="http://schemas.openxmlformats.org/officeDocument/2006/relationships/worksheet" Target="worksheets/sheet1.xml"/><Relationship Id="rId4" Type="http://schemas.openxmlformats.org/officeDocument/2006/relationships/chartsheet" Target="chartsheets/sheet3.xml"/><Relationship Id="rId5" Type="http://schemas.openxmlformats.org/officeDocument/2006/relationships/chartsheet" Target="chartsheets/sheet4.xml"/><Relationship Id="rId6" Type="http://schemas.openxmlformats.org/officeDocument/2006/relationships/worksheet" Target="worksheets/sheet2.xml"/><Relationship Id="rId7" Type="http://schemas.openxmlformats.org/officeDocument/2006/relationships/chartsheet" Target="chartsheets/sheet5.xml"/><Relationship Id="rId8"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1"/>
          <c:order val="0"/>
          <c:tx>
            <c:v>Dans tous les paradis fiscaux</c:v>
          </c:tx>
          <c:spPr>
            <a:ln>
              <a:solidFill>
                <a:schemeClr val="tx1"/>
              </a:solidFill>
            </a:ln>
            <a:effectLst/>
          </c:spPr>
          <c:marker>
            <c:symbol val="circle"/>
            <c:size val="12"/>
            <c:spPr>
              <a:solidFill>
                <a:schemeClr val="bg1"/>
              </a:solidFill>
              <a:ln>
                <a:solidFill>
                  <a:schemeClr val="tx1"/>
                </a:solidFill>
              </a:ln>
              <a:effectLst/>
            </c:spPr>
          </c:marker>
          <c:cat>
            <c:numRef>
              <c:f>'Data-Fig1'!$A$3:$A$14</c:f>
              <c:numCache>
                <c:formatCode>General</c:formatCode>
                <c:ptCount val="12"/>
                <c:pt idx="0">
                  <c:v>1910.0</c:v>
                </c:pt>
                <c:pt idx="1">
                  <c:v>1920.0</c:v>
                </c:pt>
                <c:pt idx="2">
                  <c:v>1930.0</c:v>
                </c:pt>
                <c:pt idx="3">
                  <c:v>1940.0</c:v>
                </c:pt>
                <c:pt idx="4">
                  <c:v>1950.0</c:v>
                </c:pt>
                <c:pt idx="5">
                  <c:v>1960.0</c:v>
                </c:pt>
                <c:pt idx="6">
                  <c:v>1970.0</c:v>
                </c:pt>
                <c:pt idx="7">
                  <c:v>1980.0</c:v>
                </c:pt>
                <c:pt idx="8">
                  <c:v>1990.0</c:v>
                </c:pt>
                <c:pt idx="9">
                  <c:v>2000.0</c:v>
                </c:pt>
                <c:pt idx="10">
                  <c:v>2010.0</c:v>
                </c:pt>
                <c:pt idx="11">
                  <c:v>2017.0</c:v>
                </c:pt>
              </c:numCache>
            </c:numRef>
          </c:cat>
          <c:val>
            <c:numRef>
              <c:f>'Data-Fig1'!$L$3:$L$14</c:f>
              <c:numCache>
                <c:formatCode>0.0%</c:formatCode>
                <c:ptCount val="12"/>
                <c:pt idx="0">
                  <c:v>0.00403712238827545</c:v>
                </c:pt>
                <c:pt idx="1">
                  <c:v>0.0137152823956428</c:v>
                </c:pt>
                <c:pt idx="2">
                  <c:v>0.0218730873462637</c:v>
                </c:pt>
                <c:pt idx="3">
                  <c:v>0.0164563263483926</c:v>
                </c:pt>
                <c:pt idx="4">
                  <c:v>0.0199079625285766</c:v>
                </c:pt>
                <c:pt idx="5">
                  <c:v>0.0317702142547079</c:v>
                </c:pt>
                <c:pt idx="6">
                  <c:v>0.0454711925314217</c:v>
                </c:pt>
                <c:pt idx="7">
                  <c:v>0.0623569058773297</c:v>
                </c:pt>
                <c:pt idx="8">
                  <c:v>0.0792426192232377</c:v>
                </c:pt>
                <c:pt idx="9">
                  <c:v>0.0961283325691457</c:v>
                </c:pt>
                <c:pt idx="10" formatCode="0.00%">
                  <c:v>0.113014045915054</c:v>
                </c:pt>
                <c:pt idx="11" formatCode="0.00%">
                  <c:v>0.113384913071332</c:v>
                </c:pt>
              </c:numCache>
            </c:numRef>
          </c:val>
          <c:smooth val="0"/>
        </c:ser>
        <c:ser>
          <c:idx val="0"/>
          <c:order val="1"/>
          <c:tx>
            <c:v>En Suisse</c:v>
          </c:tx>
          <c:spPr>
            <a:ln>
              <a:solidFill>
                <a:schemeClr val="tx1"/>
              </a:solidFill>
            </a:ln>
            <a:effectLst/>
          </c:spPr>
          <c:marker>
            <c:symbol val="circle"/>
            <c:size val="12"/>
            <c:spPr>
              <a:solidFill>
                <a:schemeClr val="tx1"/>
              </a:solidFill>
              <a:ln>
                <a:solidFill>
                  <a:schemeClr val="tx1"/>
                </a:solidFill>
              </a:ln>
              <a:effectLst/>
            </c:spPr>
          </c:marker>
          <c:cat>
            <c:numRef>
              <c:f>'Data-Fig1'!$A$3:$A$14</c:f>
              <c:numCache>
                <c:formatCode>General</c:formatCode>
                <c:ptCount val="12"/>
                <c:pt idx="0">
                  <c:v>1910.0</c:v>
                </c:pt>
                <c:pt idx="1">
                  <c:v>1920.0</c:v>
                </c:pt>
                <c:pt idx="2">
                  <c:v>1930.0</c:v>
                </c:pt>
                <c:pt idx="3">
                  <c:v>1940.0</c:v>
                </c:pt>
                <c:pt idx="4">
                  <c:v>1950.0</c:v>
                </c:pt>
                <c:pt idx="5">
                  <c:v>1960.0</c:v>
                </c:pt>
                <c:pt idx="6">
                  <c:v>1970.0</c:v>
                </c:pt>
                <c:pt idx="7">
                  <c:v>1980.0</c:v>
                </c:pt>
                <c:pt idx="8">
                  <c:v>1990.0</c:v>
                </c:pt>
                <c:pt idx="9">
                  <c:v>2000.0</c:v>
                </c:pt>
                <c:pt idx="10">
                  <c:v>2010.0</c:v>
                </c:pt>
                <c:pt idx="11">
                  <c:v>2017.0</c:v>
                </c:pt>
              </c:numCache>
            </c:numRef>
          </c:cat>
          <c:val>
            <c:numRef>
              <c:f>'Data-Fig1'!$K$3:$K$14</c:f>
              <c:numCache>
                <c:formatCode>0.0%</c:formatCode>
                <c:ptCount val="12"/>
                <c:pt idx="0">
                  <c:v>0.00403712238827545</c:v>
                </c:pt>
                <c:pt idx="1">
                  <c:v>0.0137152823956428</c:v>
                </c:pt>
                <c:pt idx="2">
                  <c:v>0.0218730873462637</c:v>
                </c:pt>
                <c:pt idx="3">
                  <c:v>0.0164563263483926</c:v>
                </c:pt>
                <c:pt idx="4">
                  <c:v>0.0199079625285766</c:v>
                </c:pt>
                <c:pt idx="5">
                  <c:v>0.0317702142547079</c:v>
                </c:pt>
                <c:pt idx="6">
                  <c:v>0.0454711925314217</c:v>
                </c:pt>
                <c:pt idx="7">
                  <c:v>0.0553636738218822</c:v>
                </c:pt>
                <c:pt idx="8">
                  <c:v>0.054864763141778</c:v>
                </c:pt>
                <c:pt idx="9">
                  <c:v>0.0588072661891313</c:v>
                </c:pt>
                <c:pt idx="10">
                  <c:v>0.0565070229575268</c:v>
                </c:pt>
                <c:pt idx="11">
                  <c:v>0.0494750541176858</c:v>
                </c:pt>
              </c:numCache>
            </c:numRef>
          </c:val>
          <c:smooth val="0"/>
        </c:ser>
        <c:dLbls>
          <c:showLegendKey val="0"/>
          <c:showVal val="0"/>
          <c:showCatName val="0"/>
          <c:showSerName val="0"/>
          <c:showPercent val="0"/>
          <c:showBubbleSize val="0"/>
        </c:dLbls>
        <c:marker val="1"/>
        <c:smooth val="0"/>
        <c:axId val="2114629256"/>
        <c:axId val="2114634248"/>
      </c:lineChart>
      <c:catAx>
        <c:axId val="2114629256"/>
        <c:scaling>
          <c:orientation val="minMax"/>
        </c:scaling>
        <c:delete val="0"/>
        <c:axPos val="b"/>
        <c:numFmt formatCode="General" sourceLinked="1"/>
        <c:majorTickMark val="out"/>
        <c:minorTickMark val="none"/>
        <c:tickLblPos val="nextTo"/>
        <c:txPr>
          <a:bodyPr/>
          <a:lstStyle/>
          <a:p>
            <a:pPr>
              <a:defRPr sz="2000">
                <a:latin typeface="Arial"/>
                <a:cs typeface="Arial"/>
              </a:defRPr>
            </a:pPr>
            <a:endParaRPr lang="en-US"/>
          </a:p>
        </c:txPr>
        <c:crossAx val="2114634248"/>
        <c:crosses val="autoZero"/>
        <c:auto val="1"/>
        <c:lblAlgn val="ctr"/>
        <c:lblOffset val="100"/>
        <c:noMultiLvlLbl val="0"/>
      </c:catAx>
      <c:valAx>
        <c:axId val="2114634248"/>
        <c:scaling>
          <c:orientation val="minMax"/>
          <c:max val="0.12"/>
        </c:scaling>
        <c:delete val="0"/>
        <c:axPos val="l"/>
        <c:majorGridlines>
          <c:spPr>
            <a:ln>
              <a:noFill/>
            </a:ln>
          </c:spPr>
        </c:majorGridlines>
        <c:numFmt formatCode="0%" sourceLinked="0"/>
        <c:majorTickMark val="out"/>
        <c:minorTickMark val="none"/>
        <c:tickLblPos val="nextTo"/>
        <c:txPr>
          <a:bodyPr/>
          <a:lstStyle/>
          <a:p>
            <a:pPr>
              <a:defRPr sz="2000">
                <a:latin typeface="Arial"/>
                <a:cs typeface="Arial"/>
              </a:defRPr>
            </a:pPr>
            <a:endParaRPr lang="en-US"/>
          </a:p>
        </c:txPr>
        <c:crossAx val="2114629256"/>
        <c:crosses val="autoZero"/>
        <c:crossBetween val="midCat"/>
        <c:majorUnit val="0.02"/>
      </c:valAx>
    </c:plotArea>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v>Finance</c:v>
          </c:tx>
          <c:spPr>
            <a:ln w="25400">
              <a:solidFill>
                <a:schemeClr val="tx1"/>
              </a:solidFill>
            </a:ln>
            <a:effectLst/>
          </c:spPr>
          <c:marker>
            <c:symbol val="square"/>
            <c:size val="10"/>
            <c:spPr>
              <a:solidFill>
                <a:schemeClr val="tx1"/>
              </a:solidFill>
              <a:ln>
                <a:solidFill>
                  <a:schemeClr val="bg1"/>
                </a:solidFill>
              </a:ln>
              <a:effectLst/>
            </c:spPr>
          </c:marker>
          <c:cat>
            <c:numRef>
              <c:f>'Data-Fig5'!$A$2:$A$47</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'Data-Fig5'!$B$2:$B$47</c:f>
              <c:numCache>
                <c:formatCode>0%</c:formatCode>
                <c:ptCount val="46"/>
                <c:pt idx="0">
                  <c:v>0.0180888106942649</c:v>
                </c:pt>
                <c:pt idx="1">
                  <c:v>0.0414279581454246</c:v>
                </c:pt>
                <c:pt idx="2">
                  <c:v>0.0733907824185143</c:v>
                </c:pt>
                <c:pt idx="3">
                  <c:v>0.0632359957448832</c:v>
                </c:pt>
                <c:pt idx="4">
                  <c:v>0.0603472976045397</c:v>
                </c:pt>
                <c:pt idx="5">
                  <c:v>0.158581485176697</c:v>
                </c:pt>
                <c:pt idx="6">
                  <c:v>0.174546797434155</c:v>
                </c:pt>
                <c:pt idx="7">
                  <c:v>0.195245523313946</c:v>
                </c:pt>
                <c:pt idx="8">
                  <c:v>0.18482959501195</c:v>
                </c:pt>
                <c:pt idx="9">
                  <c:v>0.140426511772885</c:v>
                </c:pt>
                <c:pt idx="10">
                  <c:v>0.11177974899384</c:v>
                </c:pt>
                <c:pt idx="11">
                  <c:v>0.138038825442769</c:v>
                </c:pt>
                <c:pt idx="12">
                  <c:v>0.247998762093083</c:v>
                </c:pt>
                <c:pt idx="13">
                  <c:v>0.29805198988466</c:v>
                </c:pt>
                <c:pt idx="14">
                  <c:v>0.26489531623047</c:v>
                </c:pt>
                <c:pt idx="15">
                  <c:v>0.261459091686465</c:v>
                </c:pt>
                <c:pt idx="16">
                  <c:v>0.252237377417299</c:v>
                </c:pt>
                <c:pt idx="17">
                  <c:v>0.24499974695108</c:v>
                </c:pt>
                <c:pt idx="18">
                  <c:v>0.23583320379287</c:v>
                </c:pt>
                <c:pt idx="19">
                  <c:v>0.208770194684009</c:v>
                </c:pt>
                <c:pt idx="20">
                  <c:v>0.214706653413107</c:v>
                </c:pt>
                <c:pt idx="21">
                  <c:v>0.240698494819418</c:v>
                </c:pt>
                <c:pt idx="22">
                  <c:v>0.246666136517731</c:v>
                </c:pt>
                <c:pt idx="23">
                  <c:v>0.239630264057135</c:v>
                </c:pt>
                <c:pt idx="24">
                  <c:v>0.2976783312316</c:v>
                </c:pt>
                <c:pt idx="25">
                  <c:v>0.309502793910915</c:v>
                </c:pt>
                <c:pt idx="26">
                  <c:v>0.319737531736873</c:v>
                </c:pt>
                <c:pt idx="27">
                  <c:v>0.292176472278615</c:v>
                </c:pt>
                <c:pt idx="28">
                  <c:v>0.297873459745503</c:v>
                </c:pt>
                <c:pt idx="29">
                  <c:v>0.333382946657771</c:v>
                </c:pt>
                <c:pt idx="30">
                  <c:v>0.353426195486065</c:v>
                </c:pt>
                <c:pt idx="31">
                  <c:v>0.327180713785558</c:v>
                </c:pt>
                <c:pt idx="32">
                  <c:v>0.331969063837213</c:v>
                </c:pt>
                <c:pt idx="33">
                  <c:v>0.3438202703474</c:v>
                </c:pt>
                <c:pt idx="34">
                  <c:v>0.339502270998232</c:v>
                </c:pt>
                <c:pt idx="35">
                  <c:v>0.367191022582225</c:v>
                </c:pt>
                <c:pt idx="36">
                  <c:v>0.40077527399993</c:v>
                </c:pt>
                <c:pt idx="37">
                  <c:v>0.396380101034109</c:v>
                </c:pt>
                <c:pt idx="38">
                  <c:v>0.399139577152042</c:v>
                </c:pt>
                <c:pt idx="39">
                  <c:v>0.413502055609025</c:v>
                </c:pt>
                <c:pt idx="40">
                  <c:v>0.4183283125337</c:v>
                </c:pt>
                <c:pt idx="41">
                  <c:v>0.408054168449113</c:v>
                </c:pt>
                <c:pt idx="42">
                  <c:v>0.408054168449113</c:v>
                </c:pt>
                <c:pt idx="43">
                  <c:v>0.408054168449113</c:v>
                </c:pt>
                <c:pt idx="44">
                  <c:v>0.413054168449113</c:v>
                </c:pt>
                <c:pt idx="45">
                  <c:v>0.418054168449113</c:v>
                </c:pt>
              </c:numCache>
            </c:numRef>
          </c:val>
          <c:smooth val="0"/>
        </c:ser>
        <c:ser>
          <c:idx val="1"/>
          <c:order val="1"/>
          <c:tx>
            <c:v>Industrie</c:v>
          </c:tx>
          <c:spPr>
            <a:ln w="25400">
              <a:solidFill>
                <a:schemeClr val="tx1"/>
              </a:solidFill>
            </a:ln>
            <a:effectLst/>
          </c:spPr>
          <c:marker>
            <c:symbol val="diamond"/>
            <c:size val="10"/>
            <c:spPr>
              <a:solidFill>
                <a:schemeClr val="bg1"/>
              </a:solidFill>
              <a:ln>
                <a:solidFill>
                  <a:schemeClr val="tx1"/>
                </a:solidFill>
              </a:ln>
              <a:effectLst/>
            </c:spPr>
          </c:marker>
          <c:cat>
            <c:numRef>
              <c:f>'Data-Fig5'!$A$2:$A$47</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'Data-Fig5'!$C$2:$C$47</c:f>
              <c:numCache>
                <c:formatCode>0%</c:formatCode>
                <c:ptCount val="46"/>
                <c:pt idx="0">
                  <c:v>0.450128176595486</c:v>
                </c:pt>
                <c:pt idx="1">
                  <c:v>0.390530997197539</c:v>
                </c:pt>
                <c:pt idx="2">
                  <c:v>0.362508885397733</c:v>
                </c:pt>
                <c:pt idx="3">
                  <c:v>0.392114042011473</c:v>
                </c:pt>
                <c:pt idx="4">
                  <c:v>0.412945219918096</c:v>
                </c:pt>
                <c:pt idx="5">
                  <c:v>0.278334338931757</c:v>
                </c:pt>
                <c:pt idx="6">
                  <c:v>0.29064718741234</c:v>
                </c:pt>
                <c:pt idx="7">
                  <c:v>0.259206746277734</c:v>
                </c:pt>
                <c:pt idx="8">
                  <c:v>0.268563038519489</c:v>
                </c:pt>
                <c:pt idx="9">
                  <c:v>0.28289279754718</c:v>
                </c:pt>
                <c:pt idx="10">
                  <c:v>0.279250495249455</c:v>
                </c:pt>
                <c:pt idx="11">
                  <c:v>0.264206992764144</c:v>
                </c:pt>
                <c:pt idx="12">
                  <c:v>0.239896428727148</c:v>
                </c:pt>
                <c:pt idx="13">
                  <c:v>0.218481511676271</c:v>
                </c:pt>
                <c:pt idx="14">
                  <c:v>0.237873228866501</c:v>
                </c:pt>
                <c:pt idx="15">
                  <c:v>0.242142905780951</c:v>
                </c:pt>
                <c:pt idx="16">
                  <c:v>0.245362835241594</c:v>
                </c:pt>
                <c:pt idx="17">
                  <c:v>0.221810872121224</c:v>
                </c:pt>
                <c:pt idx="18">
                  <c:v>0.226556649103152</c:v>
                </c:pt>
                <c:pt idx="19">
                  <c:v>0.243443128922378</c:v>
                </c:pt>
                <c:pt idx="20">
                  <c:v>0.222278289011523</c:v>
                </c:pt>
                <c:pt idx="21">
                  <c:v>0.19186689125642</c:v>
                </c:pt>
                <c:pt idx="22">
                  <c:v>0.181027108647606</c:v>
                </c:pt>
                <c:pt idx="23">
                  <c:v>0.173927055498812</c:v>
                </c:pt>
                <c:pt idx="24">
                  <c:v>0.157006871805972</c:v>
                </c:pt>
                <c:pt idx="25">
                  <c:v>0.152732378298927</c:v>
                </c:pt>
                <c:pt idx="26">
                  <c:v>0.140694437661767</c:v>
                </c:pt>
                <c:pt idx="27">
                  <c:v>0.147037506181035</c:v>
                </c:pt>
                <c:pt idx="28">
                  <c:v>0.146238182353167</c:v>
                </c:pt>
                <c:pt idx="29">
                  <c:v>0.128706373335427</c:v>
                </c:pt>
                <c:pt idx="30">
                  <c:v>0.126130028435439</c:v>
                </c:pt>
                <c:pt idx="31">
                  <c:v>0.124293395156119</c:v>
                </c:pt>
                <c:pt idx="32">
                  <c:v>0.117160735672308</c:v>
                </c:pt>
                <c:pt idx="33">
                  <c:v>0.115461752326192</c:v>
                </c:pt>
                <c:pt idx="34">
                  <c:v>0.113924050632911</c:v>
                </c:pt>
                <c:pt idx="35">
                  <c:v>0.105524631278788</c:v>
                </c:pt>
                <c:pt idx="36">
                  <c:v>0.0978694027653267</c:v>
                </c:pt>
                <c:pt idx="37">
                  <c:v>0.106119720413759</c:v>
                </c:pt>
                <c:pt idx="38">
                  <c:v>0.0883671004212361</c:v>
                </c:pt>
                <c:pt idx="39">
                  <c:v>0.0664645329231497</c:v>
                </c:pt>
                <c:pt idx="40">
                  <c:v>0.0728449832062405</c:v>
                </c:pt>
                <c:pt idx="41">
                  <c:v>0.0777483905094892</c:v>
                </c:pt>
                <c:pt idx="42">
                  <c:v>0.0777483905094892</c:v>
                </c:pt>
                <c:pt idx="43">
                  <c:v>0.0777483905094892</c:v>
                </c:pt>
                <c:pt idx="44">
                  <c:v>0.0727483905094892</c:v>
                </c:pt>
                <c:pt idx="45">
                  <c:v>0.0677483905094892</c:v>
                </c:pt>
              </c:numCache>
            </c:numRef>
          </c:val>
          <c:smooth val="0"/>
        </c:ser>
        <c:dLbls>
          <c:showLegendKey val="0"/>
          <c:showVal val="0"/>
          <c:showCatName val="0"/>
          <c:showSerName val="0"/>
          <c:showPercent val="0"/>
          <c:showBubbleSize val="0"/>
        </c:dLbls>
        <c:marker val="1"/>
        <c:smooth val="0"/>
        <c:axId val="2114100152"/>
        <c:axId val="2114094264"/>
      </c:lineChart>
      <c:catAx>
        <c:axId val="2114100152"/>
        <c:scaling>
          <c:orientation val="minMax"/>
        </c:scaling>
        <c:delete val="0"/>
        <c:axPos val="b"/>
        <c:numFmt formatCode="General" sourceLinked="1"/>
        <c:majorTickMark val="out"/>
        <c:minorTickMark val="none"/>
        <c:tickLblPos val="nextTo"/>
        <c:txPr>
          <a:bodyPr/>
          <a:lstStyle/>
          <a:p>
            <a:pPr>
              <a:defRPr sz="1800">
                <a:latin typeface="Arial"/>
                <a:cs typeface="Arial"/>
              </a:defRPr>
            </a:pPr>
            <a:endParaRPr lang="en-US"/>
          </a:p>
        </c:txPr>
        <c:crossAx val="2114094264"/>
        <c:crosses val="autoZero"/>
        <c:auto val="1"/>
        <c:lblAlgn val="ctr"/>
        <c:lblOffset val="100"/>
        <c:tickLblSkip val="5"/>
        <c:tickMarkSkip val="5"/>
        <c:noMultiLvlLbl val="0"/>
      </c:catAx>
      <c:valAx>
        <c:axId val="2114094264"/>
        <c:scaling>
          <c:orientation val="minMax"/>
        </c:scaling>
        <c:delete val="0"/>
        <c:axPos val="l"/>
        <c:numFmt formatCode="0%" sourceLinked="0"/>
        <c:majorTickMark val="out"/>
        <c:minorTickMark val="none"/>
        <c:tickLblPos val="nextTo"/>
        <c:txPr>
          <a:bodyPr/>
          <a:lstStyle/>
          <a:p>
            <a:pPr>
              <a:defRPr sz="1800">
                <a:latin typeface="Arial"/>
                <a:cs typeface="Arial"/>
              </a:defRPr>
            </a:pPr>
            <a:endParaRPr lang="en-US"/>
          </a:p>
        </c:txPr>
        <c:crossAx val="2114100152"/>
        <c:crossesAt val="1.0"/>
        <c:crossBetween val="between"/>
        <c:majorUnit val="0.1"/>
      </c:valAx>
      <c:spPr>
        <a:noFill/>
        <a:ln w="25400">
          <a:no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1"/>
          <c:order val="0"/>
          <c:tx>
            <c:v>Dans tous les paradis fiscaux</c:v>
          </c:tx>
          <c:spPr>
            <a:ln>
              <a:solidFill>
                <a:schemeClr val="tx1"/>
              </a:solidFill>
            </a:ln>
            <a:effectLst/>
          </c:spPr>
          <c:marker>
            <c:symbol val="circle"/>
            <c:size val="12"/>
            <c:spPr>
              <a:solidFill>
                <a:schemeClr val="bg1"/>
              </a:solidFill>
              <a:ln>
                <a:solidFill>
                  <a:schemeClr val="tx1"/>
                </a:solidFill>
              </a:ln>
              <a:effectLst/>
            </c:spPr>
          </c:marker>
          <c:cat>
            <c:numRef>
              <c:f>'Data-Fig1'!$A$3:$A$14</c:f>
              <c:numCache>
                <c:formatCode>General</c:formatCode>
                <c:ptCount val="12"/>
                <c:pt idx="0">
                  <c:v>1910.0</c:v>
                </c:pt>
                <c:pt idx="1">
                  <c:v>1920.0</c:v>
                </c:pt>
                <c:pt idx="2">
                  <c:v>1930.0</c:v>
                </c:pt>
                <c:pt idx="3">
                  <c:v>1940.0</c:v>
                </c:pt>
                <c:pt idx="4">
                  <c:v>1950.0</c:v>
                </c:pt>
                <c:pt idx="5">
                  <c:v>1960.0</c:v>
                </c:pt>
                <c:pt idx="6">
                  <c:v>1970.0</c:v>
                </c:pt>
                <c:pt idx="7">
                  <c:v>1980.0</c:v>
                </c:pt>
                <c:pt idx="8">
                  <c:v>1990.0</c:v>
                </c:pt>
                <c:pt idx="9">
                  <c:v>2000.0</c:v>
                </c:pt>
                <c:pt idx="10">
                  <c:v>2010.0</c:v>
                </c:pt>
                <c:pt idx="11">
                  <c:v>2017.0</c:v>
                </c:pt>
              </c:numCache>
            </c:numRef>
          </c:cat>
          <c:val>
            <c:numRef>
              <c:f>'Data-Fig1'!$L$3:$L$14</c:f>
              <c:numCache>
                <c:formatCode>0.0%</c:formatCode>
                <c:ptCount val="12"/>
                <c:pt idx="0">
                  <c:v>0.00403712238827545</c:v>
                </c:pt>
                <c:pt idx="1">
                  <c:v>0.0137152823956428</c:v>
                </c:pt>
                <c:pt idx="2">
                  <c:v>0.0218730873462637</c:v>
                </c:pt>
                <c:pt idx="3">
                  <c:v>0.0164563263483926</c:v>
                </c:pt>
                <c:pt idx="4">
                  <c:v>0.0199079625285766</c:v>
                </c:pt>
                <c:pt idx="5">
                  <c:v>0.0317702142547079</c:v>
                </c:pt>
                <c:pt idx="6">
                  <c:v>0.0454711925314217</c:v>
                </c:pt>
                <c:pt idx="7">
                  <c:v>0.0623569058773297</c:v>
                </c:pt>
                <c:pt idx="8">
                  <c:v>0.0792426192232377</c:v>
                </c:pt>
                <c:pt idx="9">
                  <c:v>0.0961283325691457</c:v>
                </c:pt>
                <c:pt idx="10" formatCode="0.00%">
                  <c:v>0.113014045915054</c:v>
                </c:pt>
                <c:pt idx="11" formatCode="0.00%">
                  <c:v>0.113384913071332</c:v>
                </c:pt>
              </c:numCache>
            </c:numRef>
          </c:val>
          <c:smooth val="0"/>
        </c:ser>
        <c:ser>
          <c:idx val="0"/>
          <c:order val="1"/>
          <c:tx>
            <c:v>En Suisse</c:v>
          </c:tx>
          <c:spPr>
            <a:ln>
              <a:solidFill>
                <a:schemeClr val="tx1"/>
              </a:solidFill>
            </a:ln>
            <a:effectLst/>
          </c:spPr>
          <c:marker>
            <c:symbol val="circle"/>
            <c:size val="12"/>
            <c:spPr>
              <a:solidFill>
                <a:schemeClr val="tx1"/>
              </a:solidFill>
              <a:ln>
                <a:solidFill>
                  <a:schemeClr val="tx1"/>
                </a:solidFill>
              </a:ln>
              <a:effectLst/>
            </c:spPr>
          </c:marker>
          <c:cat>
            <c:numRef>
              <c:f>'Data-Fig1'!$A$3:$A$14</c:f>
              <c:numCache>
                <c:formatCode>General</c:formatCode>
                <c:ptCount val="12"/>
                <c:pt idx="0">
                  <c:v>1910.0</c:v>
                </c:pt>
                <c:pt idx="1">
                  <c:v>1920.0</c:v>
                </c:pt>
                <c:pt idx="2">
                  <c:v>1930.0</c:v>
                </c:pt>
                <c:pt idx="3">
                  <c:v>1940.0</c:v>
                </c:pt>
                <c:pt idx="4">
                  <c:v>1950.0</c:v>
                </c:pt>
                <c:pt idx="5">
                  <c:v>1960.0</c:v>
                </c:pt>
                <c:pt idx="6">
                  <c:v>1970.0</c:v>
                </c:pt>
                <c:pt idx="7">
                  <c:v>1980.0</c:v>
                </c:pt>
                <c:pt idx="8">
                  <c:v>1990.0</c:v>
                </c:pt>
                <c:pt idx="9">
                  <c:v>2000.0</c:v>
                </c:pt>
                <c:pt idx="10">
                  <c:v>2010.0</c:v>
                </c:pt>
                <c:pt idx="11">
                  <c:v>2017.0</c:v>
                </c:pt>
              </c:numCache>
            </c:numRef>
          </c:cat>
          <c:val>
            <c:numRef>
              <c:f>'Data-Fig1'!$K$3:$K$14</c:f>
              <c:numCache>
                <c:formatCode>0.0%</c:formatCode>
                <c:ptCount val="12"/>
                <c:pt idx="0">
                  <c:v>0.00403712238827545</c:v>
                </c:pt>
                <c:pt idx="1">
                  <c:v>0.0137152823956428</c:v>
                </c:pt>
                <c:pt idx="2">
                  <c:v>0.0218730873462637</c:v>
                </c:pt>
                <c:pt idx="3">
                  <c:v>0.0164563263483926</c:v>
                </c:pt>
                <c:pt idx="4">
                  <c:v>0.0199079625285766</c:v>
                </c:pt>
                <c:pt idx="5">
                  <c:v>0.0317702142547079</c:v>
                </c:pt>
                <c:pt idx="6">
                  <c:v>0.0454711925314217</c:v>
                </c:pt>
                <c:pt idx="7">
                  <c:v>0.0553636738218822</c:v>
                </c:pt>
                <c:pt idx="8">
                  <c:v>0.054864763141778</c:v>
                </c:pt>
                <c:pt idx="9">
                  <c:v>0.0588072661891313</c:v>
                </c:pt>
                <c:pt idx="10">
                  <c:v>0.0565070229575268</c:v>
                </c:pt>
                <c:pt idx="11">
                  <c:v>0.0494750541176858</c:v>
                </c:pt>
              </c:numCache>
            </c:numRef>
          </c:val>
          <c:smooth val="0"/>
        </c:ser>
        <c:dLbls>
          <c:showLegendKey val="0"/>
          <c:showVal val="0"/>
          <c:showCatName val="0"/>
          <c:showSerName val="0"/>
          <c:showPercent val="0"/>
          <c:showBubbleSize val="0"/>
        </c:dLbls>
        <c:marker val="1"/>
        <c:smooth val="0"/>
        <c:axId val="2114685160"/>
        <c:axId val="2114690216"/>
      </c:lineChart>
      <c:catAx>
        <c:axId val="2114685160"/>
        <c:scaling>
          <c:orientation val="minMax"/>
        </c:scaling>
        <c:delete val="0"/>
        <c:axPos val="b"/>
        <c:numFmt formatCode="General" sourceLinked="1"/>
        <c:majorTickMark val="out"/>
        <c:minorTickMark val="none"/>
        <c:tickLblPos val="nextTo"/>
        <c:txPr>
          <a:bodyPr/>
          <a:lstStyle/>
          <a:p>
            <a:pPr>
              <a:defRPr sz="2000">
                <a:latin typeface="Arial"/>
                <a:cs typeface="Arial"/>
              </a:defRPr>
            </a:pPr>
            <a:endParaRPr lang="en-US"/>
          </a:p>
        </c:txPr>
        <c:crossAx val="2114690216"/>
        <c:crosses val="autoZero"/>
        <c:auto val="1"/>
        <c:lblAlgn val="ctr"/>
        <c:lblOffset val="100"/>
        <c:noMultiLvlLbl val="0"/>
      </c:catAx>
      <c:valAx>
        <c:axId val="2114690216"/>
        <c:scaling>
          <c:orientation val="minMax"/>
          <c:max val="0.12"/>
        </c:scaling>
        <c:delete val="0"/>
        <c:axPos val="l"/>
        <c:majorGridlines>
          <c:spPr>
            <a:ln>
              <a:noFill/>
            </a:ln>
          </c:spPr>
        </c:majorGridlines>
        <c:numFmt formatCode="0%" sourceLinked="0"/>
        <c:majorTickMark val="out"/>
        <c:minorTickMark val="none"/>
        <c:tickLblPos val="nextTo"/>
        <c:txPr>
          <a:bodyPr/>
          <a:lstStyle/>
          <a:p>
            <a:pPr>
              <a:defRPr sz="2000">
                <a:latin typeface="Arial"/>
                <a:cs typeface="Arial"/>
              </a:defRPr>
            </a:pPr>
            <a:endParaRPr lang="en-US"/>
          </a:p>
        </c:txPr>
        <c:crossAx val="2114685160"/>
        <c:crosses val="autoZero"/>
        <c:crossBetween val="midCat"/>
        <c:majorUnit val="0.02"/>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fr-FR" sz="1800" b="1" i="0" u="none" strike="noStrike" baseline="0" smtClean="0">
                <a:latin typeface="Arial"/>
                <a:cs typeface="Arial"/>
              </a:rPr>
              <a:t>Distribution of wealth: recorded vs. hidden</a:t>
            </a:r>
            <a:endParaRPr lang="fr-FR" sz="1800">
              <a:latin typeface="Arial"/>
              <a:cs typeface="Arial"/>
            </a:endParaRPr>
          </a:p>
        </c:rich>
      </c:tx>
      <c:layout>
        <c:manualLayout>
          <c:xMode val="edge"/>
          <c:yMode val="edge"/>
          <c:x val="0.279736084713549"/>
          <c:y val="0.0"/>
        </c:manualLayout>
      </c:layout>
      <c:overlay val="0"/>
    </c:title>
    <c:autoTitleDeleted val="0"/>
    <c:plotArea>
      <c:layout>
        <c:manualLayout>
          <c:layoutTarget val="inner"/>
          <c:xMode val="edge"/>
          <c:yMode val="edge"/>
          <c:x val="0.103317181618712"/>
          <c:y val="0.0892505433427156"/>
          <c:w val="0.881499321205539"/>
          <c:h val="0.760817508105604"/>
        </c:manualLayout>
      </c:layout>
      <c:lineChart>
        <c:grouping val="standard"/>
        <c:varyColors val="0"/>
        <c:ser>
          <c:idx val="0"/>
          <c:order val="0"/>
          <c:spPr>
            <a:ln w="25400">
              <a:solidFill>
                <a:schemeClr val="tx1"/>
              </a:solidFill>
            </a:ln>
            <a:effectLst/>
          </c:spPr>
          <c:marker>
            <c:symbol val="circle"/>
            <c:size val="12"/>
            <c:spPr>
              <a:solidFill>
                <a:schemeClr val="tx1"/>
              </a:solidFill>
              <a:ln w="19050">
                <a:solidFill>
                  <a:schemeClr val="tx1"/>
                </a:solidFill>
              </a:ln>
              <a:effectLst/>
            </c:spPr>
          </c:marker>
          <c:cat>
            <c:strRef>
              <c:f>DataFig2!$A$2:$A$7</c:f>
              <c:strCache>
                <c:ptCount val="6"/>
                <c:pt idx="0">
                  <c:v>P0-50</c:v>
                </c:pt>
                <c:pt idx="1">
                  <c:v>P50-P90</c:v>
                </c:pt>
                <c:pt idx="2">
                  <c:v>P90-P99</c:v>
                </c:pt>
                <c:pt idx="3">
                  <c:v>P99-P99.9</c:v>
                </c:pt>
                <c:pt idx="4">
                  <c:v>P99.9-99.99</c:v>
                </c:pt>
                <c:pt idx="5">
                  <c:v>P.99.99-P100</c:v>
                </c:pt>
              </c:strCache>
            </c:strRef>
          </c:cat>
          <c:val>
            <c:numRef>
              <c:f>DataFig2!$C$2:$C$7</c:f>
              <c:numCache>
                <c:formatCode>0%</c:formatCode>
                <c:ptCount val="6"/>
                <c:pt idx="0">
                  <c:v>0.0049842352116477</c:v>
                </c:pt>
                <c:pt idx="1">
                  <c:v>0.0161126285465134</c:v>
                </c:pt>
                <c:pt idx="2">
                  <c:v>0.0503208852151347</c:v>
                </c:pt>
                <c:pt idx="3">
                  <c:v>0.160907067824748</c:v>
                </c:pt>
                <c:pt idx="4">
                  <c:v>0.289806850037899</c:v>
                </c:pt>
                <c:pt idx="5">
                  <c:v>0.477868333164057</c:v>
                </c:pt>
              </c:numCache>
            </c:numRef>
          </c:val>
          <c:smooth val="0"/>
        </c:ser>
        <c:ser>
          <c:idx val="1"/>
          <c:order val="1"/>
          <c:spPr>
            <a:ln w="25400">
              <a:solidFill>
                <a:schemeClr val="accent2">
                  <a:lumMod val="75000"/>
                </a:schemeClr>
              </a:solidFill>
            </a:ln>
            <a:effectLst/>
          </c:spPr>
          <c:marker>
            <c:symbol val="circle"/>
            <c:size val="12"/>
            <c:spPr>
              <a:solidFill>
                <a:schemeClr val="accent2">
                  <a:lumMod val="75000"/>
                </a:schemeClr>
              </a:solidFill>
              <a:ln>
                <a:solidFill>
                  <a:schemeClr val="tx1"/>
                </a:solidFill>
              </a:ln>
              <a:effectLst/>
            </c:spPr>
          </c:marker>
          <c:val>
            <c:numRef>
              <c:f>DataFig2!$B$2:$B$7</c:f>
              <c:numCache>
                <c:formatCode>0.0%</c:formatCode>
                <c:ptCount val="6"/>
                <c:pt idx="0">
                  <c:v>0.00177362886726663</c:v>
                </c:pt>
                <c:pt idx="1">
                  <c:v>0.00877402187602467</c:v>
                </c:pt>
                <c:pt idx="2">
                  <c:v>0.0461098992269185</c:v>
                </c:pt>
                <c:pt idx="3">
                  <c:v>0.173118117757012</c:v>
                </c:pt>
                <c:pt idx="4">
                  <c:v>0.216815662205251</c:v>
                </c:pt>
                <c:pt idx="5">
                  <c:v>0.553408670067528</c:v>
                </c:pt>
              </c:numCache>
            </c:numRef>
          </c:val>
          <c:smooth val="0"/>
        </c:ser>
        <c:ser>
          <c:idx val="2"/>
          <c:order val="2"/>
          <c:spPr>
            <a:ln w="25400">
              <a:solidFill>
                <a:schemeClr val="tx1"/>
              </a:solidFill>
              <a:prstDash val="sysDash"/>
            </a:ln>
            <a:effectLst/>
          </c:spPr>
          <c:marker>
            <c:symbol val="square"/>
            <c:size val="12"/>
            <c:spPr>
              <a:solidFill>
                <a:schemeClr val="bg1"/>
              </a:solidFill>
              <a:ln>
                <a:solidFill>
                  <a:schemeClr val="tx1"/>
                </a:solidFill>
              </a:ln>
              <a:effectLst/>
            </c:spPr>
          </c:marker>
          <c:val>
            <c:numRef>
              <c:f>DataFig2!$E$2:$E$7</c:f>
              <c:numCache>
                <c:formatCode>0.0%</c:formatCode>
                <c:ptCount val="6"/>
                <c:pt idx="0">
                  <c:v>0.0288805601842354</c:v>
                </c:pt>
                <c:pt idx="1">
                  <c:v>0.438229390680746</c:v>
                </c:pt>
                <c:pt idx="2">
                  <c:v>0.31537140680815</c:v>
                </c:pt>
                <c:pt idx="3">
                  <c:v>0.111092570440397</c:v>
                </c:pt>
                <c:pt idx="4">
                  <c:v>0.0535238399821311</c:v>
                </c:pt>
                <c:pt idx="5">
                  <c:v>0.0529022319114045</c:v>
                </c:pt>
              </c:numCache>
            </c:numRef>
          </c:val>
          <c:smooth val="0"/>
        </c:ser>
        <c:dLbls>
          <c:showLegendKey val="0"/>
          <c:showVal val="0"/>
          <c:showCatName val="0"/>
          <c:showSerName val="0"/>
          <c:showPercent val="0"/>
          <c:showBubbleSize val="0"/>
        </c:dLbls>
        <c:marker val="1"/>
        <c:smooth val="0"/>
        <c:axId val="2114760088"/>
        <c:axId val="2114767080"/>
      </c:lineChart>
      <c:catAx>
        <c:axId val="2114760088"/>
        <c:scaling>
          <c:orientation val="minMax"/>
        </c:scaling>
        <c:delete val="0"/>
        <c:axPos val="b"/>
        <c:title>
          <c:tx>
            <c:rich>
              <a:bodyPr/>
              <a:lstStyle/>
              <a:p>
                <a:pPr>
                  <a:defRPr/>
                </a:pPr>
                <a:r>
                  <a:rPr lang="fr-FR" sz="1400" b="0">
                    <a:latin typeface="Arial"/>
                    <a:cs typeface="Arial"/>
                  </a:rPr>
                  <a:t>Position in the wealth distribution</a:t>
                </a:r>
              </a:p>
            </c:rich>
          </c:tx>
          <c:layout>
            <c:manualLayout>
              <c:xMode val="edge"/>
              <c:yMode val="edge"/>
              <c:x val="0.346093220485412"/>
              <c:y val="0.955155649534996"/>
            </c:manualLayout>
          </c:layout>
          <c:overlay val="0"/>
        </c:title>
        <c:numFmt formatCode="General" sourceLinked="1"/>
        <c:majorTickMark val="out"/>
        <c:minorTickMark val="none"/>
        <c:tickLblPos val="nextTo"/>
        <c:txPr>
          <a:bodyPr/>
          <a:lstStyle/>
          <a:p>
            <a:pPr>
              <a:defRPr sz="1400">
                <a:latin typeface="Arial"/>
                <a:cs typeface="Arial"/>
              </a:defRPr>
            </a:pPr>
            <a:endParaRPr lang="en-US"/>
          </a:p>
        </c:txPr>
        <c:crossAx val="2114767080"/>
        <c:crosses val="autoZero"/>
        <c:auto val="1"/>
        <c:lblAlgn val="ctr"/>
        <c:lblOffset val="100"/>
        <c:noMultiLvlLbl val="0"/>
      </c:catAx>
      <c:valAx>
        <c:axId val="2114767080"/>
        <c:scaling>
          <c:orientation val="minMax"/>
          <c:max val="0.6"/>
          <c:min val="0.0"/>
        </c:scaling>
        <c:delete val="0"/>
        <c:axPos val="l"/>
        <c:majorGridlines>
          <c:spPr>
            <a:ln>
              <a:solidFill>
                <a:schemeClr val="bg1">
                  <a:lumMod val="75000"/>
                </a:schemeClr>
              </a:solidFill>
              <a:prstDash val="solid"/>
            </a:ln>
          </c:spPr>
        </c:majorGridlines>
        <c:title>
          <c:tx>
            <c:rich>
              <a:bodyPr rot="-5400000" vert="horz"/>
              <a:lstStyle/>
              <a:p>
                <a:pPr>
                  <a:defRPr/>
                </a:pPr>
                <a:r>
                  <a:rPr lang="fr-FR" sz="1400" b="0">
                    <a:latin typeface="Arial"/>
                    <a:cs typeface="Arial"/>
                  </a:rPr>
                  <a:t>% of total recorded or hidden wealth</a:t>
                </a:r>
              </a:p>
            </c:rich>
          </c:tx>
          <c:layout>
            <c:manualLayout>
              <c:xMode val="edge"/>
              <c:yMode val="edge"/>
              <c:x val="0.00552125984251968"/>
              <c:y val="0.200764064559803"/>
            </c:manualLayout>
          </c:layout>
          <c:overlay val="0"/>
        </c:title>
        <c:numFmt formatCode="0%" sourceLinked="1"/>
        <c:majorTickMark val="out"/>
        <c:minorTickMark val="none"/>
        <c:tickLblPos val="nextTo"/>
        <c:spPr>
          <a:ln>
            <a:noFill/>
          </a:ln>
        </c:spPr>
        <c:txPr>
          <a:bodyPr/>
          <a:lstStyle/>
          <a:p>
            <a:pPr>
              <a:defRPr sz="1400">
                <a:latin typeface="Arial"/>
                <a:cs typeface="Arial"/>
              </a:defRPr>
            </a:pPr>
            <a:endParaRPr lang="en-US"/>
          </a:p>
        </c:txPr>
        <c:crossAx val="2114760088"/>
        <c:crosses val="autoZero"/>
        <c:crossBetween val="between"/>
        <c:majorUnit val="0.1"/>
      </c:valAx>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fr-FR" sz="1800" b="1" i="0" u="none" strike="noStrike" baseline="0" smtClean="0">
                <a:latin typeface="Arial"/>
                <a:cs typeface="Arial"/>
              </a:rPr>
              <a:t>Qui possède les fortunes dans les paradis fiscaux ?</a:t>
            </a:r>
            <a:endParaRPr lang="fr-FR" sz="1800">
              <a:latin typeface="Arial"/>
              <a:cs typeface="Arial"/>
            </a:endParaRPr>
          </a:p>
        </c:rich>
      </c:tx>
      <c:layout>
        <c:manualLayout>
          <c:xMode val="edge"/>
          <c:yMode val="edge"/>
          <c:x val="0.252149877816997"/>
          <c:y val="0.00226244343891403"/>
        </c:manualLayout>
      </c:layout>
      <c:overlay val="0"/>
    </c:title>
    <c:autoTitleDeleted val="0"/>
    <c:plotArea>
      <c:layout>
        <c:manualLayout>
          <c:layoutTarget val="inner"/>
          <c:xMode val="edge"/>
          <c:yMode val="edge"/>
          <c:x val="0.103317181618712"/>
          <c:y val="0.0892505433427156"/>
          <c:w val="0.881499321205539"/>
          <c:h val="0.760817508105604"/>
        </c:manualLayout>
      </c:layout>
      <c:lineChart>
        <c:grouping val="standard"/>
        <c:varyColors val="0"/>
        <c:ser>
          <c:idx val="0"/>
          <c:order val="0"/>
          <c:spPr>
            <a:ln w="25400">
              <a:solidFill>
                <a:schemeClr val="tx1"/>
              </a:solidFill>
            </a:ln>
            <a:effectLst/>
          </c:spPr>
          <c:marker>
            <c:symbol val="circle"/>
            <c:size val="12"/>
            <c:spPr>
              <a:solidFill>
                <a:schemeClr val="tx1"/>
              </a:solidFill>
              <a:ln w="19050">
                <a:solidFill>
                  <a:schemeClr val="tx1"/>
                </a:solidFill>
              </a:ln>
              <a:effectLst/>
            </c:spPr>
          </c:marker>
          <c:cat>
            <c:strRef>
              <c:f>DataFig2!$A$2:$A$7</c:f>
              <c:strCache>
                <c:ptCount val="6"/>
                <c:pt idx="0">
                  <c:v>P0-50</c:v>
                </c:pt>
                <c:pt idx="1">
                  <c:v>P50-P90</c:v>
                </c:pt>
                <c:pt idx="2">
                  <c:v>P90-P99</c:v>
                </c:pt>
                <c:pt idx="3">
                  <c:v>P99-P99.9</c:v>
                </c:pt>
                <c:pt idx="4">
                  <c:v>P99.9-99.99</c:v>
                </c:pt>
                <c:pt idx="5">
                  <c:v>P.99.99-P100</c:v>
                </c:pt>
              </c:strCache>
            </c:strRef>
          </c:cat>
          <c:val>
            <c:numRef>
              <c:f>DataFig2!$C$2:$C$7</c:f>
              <c:numCache>
                <c:formatCode>0%</c:formatCode>
                <c:ptCount val="6"/>
                <c:pt idx="0">
                  <c:v>0.0049842352116477</c:v>
                </c:pt>
                <c:pt idx="1">
                  <c:v>0.0161126285465134</c:v>
                </c:pt>
                <c:pt idx="2">
                  <c:v>0.0503208852151347</c:v>
                </c:pt>
                <c:pt idx="3">
                  <c:v>0.160907067824748</c:v>
                </c:pt>
                <c:pt idx="4">
                  <c:v>0.289806850037899</c:v>
                </c:pt>
                <c:pt idx="5">
                  <c:v>0.477868333164057</c:v>
                </c:pt>
              </c:numCache>
            </c:numRef>
          </c:val>
          <c:smooth val="0"/>
        </c:ser>
        <c:ser>
          <c:idx val="1"/>
          <c:order val="1"/>
          <c:spPr>
            <a:ln w="25400">
              <a:solidFill>
                <a:schemeClr val="accent2">
                  <a:lumMod val="75000"/>
                </a:schemeClr>
              </a:solidFill>
            </a:ln>
            <a:effectLst/>
          </c:spPr>
          <c:marker>
            <c:symbol val="circle"/>
            <c:size val="12"/>
            <c:spPr>
              <a:solidFill>
                <a:schemeClr val="accent2">
                  <a:lumMod val="75000"/>
                </a:schemeClr>
              </a:solidFill>
              <a:ln>
                <a:solidFill>
                  <a:schemeClr val="tx1"/>
                </a:solidFill>
              </a:ln>
              <a:effectLst/>
            </c:spPr>
          </c:marker>
          <c:val>
            <c:numRef>
              <c:f>DataFig2!$B$2:$B$7</c:f>
              <c:numCache>
                <c:formatCode>0.0%</c:formatCode>
                <c:ptCount val="6"/>
                <c:pt idx="0">
                  <c:v>0.00177362886726663</c:v>
                </c:pt>
                <c:pt idx="1">
                  <c:v>0.00877402187602467</c:v>
                </c:pt>
                <c:pt idx="2">
                  <c:v>0.0461098992269185</c:v>
                </c:pt>
                <c:pt idx="3">
                  <c:v>0.173118117757012</c:v>
                </c:pt>
                <c:pt idx="4">
                  <c:v>0.216815662205251</c:v>
                </c:pt>
                <c:pt idx="5">
                  <c:v>0.553408670067528</c:v>
                </c:pt>
              </c:numCache>
            </c:numRef>
          </c:val>
          <c:smooth val="0"/>
        </c:ser>
        <c:ser>
          <c:idx val="2"/>
          <c:order val="2"/>
          <c:spPr>
            <a:ln w="25400">
              <a:solidFill>
                <a:schemeClr val="tx1"/>
              </a:solidFill>
              <a:prstDash val="sysDash"/>
            </a:ln>
            <a:effectLst/>
          </c:spPr>
          <c:marker>
            <c:symbol val="square"/>
            <c:size val="12"/>
            <c:spPr>
              <a:solidFill>
                <a:schemeClr val="bg1"/>
              </a:solidFill>
              <a:ln>
                <a:solidFill>
                  <a:schemeClr val="tx1"/>
                </a:solidFill>
              </a:ln>
              <a:effectLst/>
            </c:spPr>
          </c:marker>
          <c:val>
            <c:numRef>
              <c:f>DataFig2!$E$2:$E$7</c:f>
              <c:numCache>
                <c:formatCode>0.0%</c:formatCode>
                <c:ptCount val="6"/>
                <c:pt idx="0">
                  <c:v>0.0288805601842354</c:v>
                </c:pt>
                <c:pt idx="1">
                  <c:v>0.438229390680746</c:v>
                </c:pt>
                <c:pt idx="2">
                  <c:v>0.31537140680815</c:v>
                </c:pt>
                <c:pt idx="3">
                  <c:v>0.111092570440397</c:v>
                </c:pt>
                <c:pt idx="4">
                  <c:v>0.0535238399821311</c:v>
                </c:pt>
                <c:pt idx="5">
                  <c:v>0.0529022319114045</c:v>
                </c:pt>
              </c:numCache>
            </c:numRef>
          </c:val>
          <c:smooth val="0"/>
        </c:ser>
        <c:dLbls>
          <c:showLegendKey val="0"/>
          <c:showVal val="0"/>
          <c:showCatName val="0"/>
          <c:showSerName val="0"/>
          <c:showPercent val="0"/>
          <c:showBubbleSize val="0"/>
        </c:dLbls>
        <c:marker val="1"/>
        <c:smooth val="0"/>
        <c:axId val="2114838872"/>
        <c:axId val="2114845912"/>
      </c:lineChart>
      <c:catAx>
        <c:axId val="2114838872"/>
        <c:scaling>
          <c:orientation val="minMax"/>
        </c:scaling>
        <c:delete val="0"/>
        <c:axPos val="b"/>
        <c:title>
          <c:tx>
            <c:rich>
              <a:bodyPr/>
              <a:lstStyle/>
              <a:p>
                <a:pPr>
                  <a:defRPr/>
                </a:pPr>
                <a:r>
                  <a:rPr lang="fr-FR" sz="1400" b="0">
                    <a:latin typeface="Arial"/>
                    <a:cs typeface="Arial"/>
                  </a:rPr>
                  <a:t>Position dans la distribution de la richesse</a:t>
                </a:r>
              </a:p>
            </c:rich>
          </c:tx>
          <c:layout>
            <c:manualLayout>
              <c:xMode val="edge"/>
              <c:yMode val="edge"/>
              <c:x val="0.346093220485412"/>
              <c:y val="0.955155649534996"/>
            </c:manualLayout>
          </c:layout>
          <c:overlay val="0"/>
        </c:title>
        <c:numFmt formatCode="General" sourceLinked="1"/>
        <c:majorTickMark val="out"/>
        <c:minorTickMark val="none"/>
        <c:tickLblPos val="nextTo"/>
        <c:txPr>
          <a:bodyPr/>
          <a:lstStyle/>
          <a:p>
            <a:pPr>
              <a:defRPr sz="1400">
                <a:latin typeface="Arial"/>
                <a:cs typeface="Arial"/>
              </a:defRPr>
            </a:pPr>
            <a:endParaRPr lang="en-US"/>
          </a:p>
        </c:txPr>
        <c:crossAx val="2114845912"/>
        <c:crosses val="autoZero"/>
        <c:auto val="1"/>
        <c:lblAlgn val="ctr"/>
        <c:lblOffset val="100"/>
        <c:noMultiLvlLbl val="0"/>
      </c:catAx>
      <c:valAx>
        <c:axId val="2114845912"/>
        <c:scaling>
          <c:orientation val="minMax"/>
          <c:max val="0.6"/>
          <c:min val="0.0"/>
        </c:scaling>
        <c:delete val="0"/>
        <c:axPos val="l"/>
        <c:majorGridlines>
          <c:spPr>
            <a:ln>
              <a:noFill/>
              <a:prstDash val="solid"/>
            </a:ln>
          </c:spPr>
        </c:majorGridlines>
        <c:title>
          <c:tx>
            <c:rich>
              <a:bodyPr rot="-5400000" vert="horz"/>
              <a:lstStyle/>
              <a:p>
                <a:pPr>
                  <a:defRPr/>
                </a:pPr>
                <a:r>
                  <a:rPr lang="fr-FR" sz="1400" b="0">
                    <a:latin typeface="Arial"/>
                    <a:cs typeface="Arial"/>
                  </a:rPr>
                  <a:t>% de</a:t>
                </a:r>
                <a:r>
                  <a:rPr lang="fr-FR" sz="1400" b="0" baseline="0">
                    <a:latin typeface="Arial"/>
                    <a:cs typeface="Arial"/>
                  </a:rPr>
                  <a:t> la richesse totale</a:t>
                </a:r>
                <a:endParaRPr lang="fr-FR" sz="1400" b="0">
                  <a:latin typeface="Arial"/>
                  <a:cs typeface="Arial"/>
                </a:endParaRPr>
              </a:p>
            </c:rich>
          </c:tx>
          <c:layout>
            <c:manualLayout>
              <c:xMode val="edge"/>
              <c:yMode val="edge"/>
              <c:x val="0.00138332880803693"/>
              <c:y val="0.356872661844871"/>
            </c:manualLayout>
          </c:layout>
          <c:overlay val="0"/>
        </c:title>
        <c:numFmt formatCode="0%" sourceLinked="1"/>
        <c:majorTickMark val="out"/>
        <c:minorTickMark val="none"/>
        <c:tickLblPos val="nextTo"/>
        <c:spPr>
          <a:ln>
            <a:noFill/>
          </a:ln>
        </c:spPr>
        <c:txPr>
          <a:bodyPr/>
          <a:lstStyle/>
          <a:p>
            <a:pPr>
              <a:defRPr sz="1400">
                <a:latin typeface="Arial"/>
                <a:cs typeface="Arial"/>
              </a:defRPr>
            </a:pPr>
            <a:endParaRPr lang="en-US"/>
          </a:p>
        </c:txPr>
        <c:crossAx val="2114838872"/>
        <c:crosses val="autoZero"/>
        <c:crossBetween val="between"/>
        <c:majorUnit val="0.1"/>
      </c:valAx>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Arial"/>
                <a:cs typeface="Arial"/>
              </a:defRPr>
            </a:pPr>
            <a:r>
              <a:rPr lang="fr-FR" sz="1800" b="1" i="0" baseline="0">
                <a:effectLst/>
                <a:latin typeface="Arial"/>
                <a:cs typeface="Arial"/>
              </a:rPr>
              <a:t>Taxes evaded, % of taxes owed </a:t>
            </a:r>
          </a:p>
          <a:p>
            <a:pPr>
              <a:defRPr>
                <a:latin typeface="Arial"/>
                <a:cs typeface="Arial"/>
              </a:defRPr>
            </a:pPr>
            <a:r>
              <a:rPr lang="fr-FR" sz="1800" b="0" i="0" baseline="0">
                <a:effectLst/>
                <a:latin typeface="Arial"/>
                <a:cs typeface="Arial"/>
              </a:rPr>
              <a:t>(stratified random audits + leaks)</a:t>
            </a:r>
          </a:p>
        </c:rich>
      </c:tx>
      <c:layout>
        <c:manualLayout>
          <c:xMode val="edge"/>
          <c:yMode val="edge"/>
          <c:x val="0.330044393560597"/>
          <c:y val="0.0"/>
        </c:manualLayout>
      </c:layout>
      <c:overlay val="0"/>
    </c:title>
    <c:autoTitleDeleted val="0"/>
    <c:plotArea>
      <c:layout>
        <c:manualLayout>
          <c:layoutTarget val="inner"/>
          <c:xMode val="edge"/>
          <c:yMode val="edge"/>
          <c:x val="0.0960783902012248"/>
          <c:y val="0.0967846911292951"/>
          <c:w val="0.895034930722681"/>
          <c:h val="0.674072015507865"/>
        </c:manualLayout>
      </c:layout>
      <c:lineChart>
        <c:grouping val="standard"/>
        <c:varyColors val="0"/>
        <c:ser>
          <c:idx val="2"/>
          <c:order val="0"/>
          <c:spPr>
            <a:ln w="31750">
              <a:solidFill>
                <a:schemeClr val="tx1"/>
              </a:solidFill>
            </a:ln>
            <a:effectLst/>
          </c:spPr>
          <c:marker>
            <c:symbol val="circle"/>
            <c:size val="12"/>
            <c:spPr>
              <a:solidFill>
                <a:schemeClr val="bg1"/>
              </a:solidFill>
              <a:ln>
                <a:solidFill>
                  <a:schemeClr val="tx1"/>
                </a:solidFill>
              </a:ln>
              <a:effectLst/>
            </c:spPr>
          </c:marker>
          <c:cat>
            <c:strRef>
              <c:f>DataFig3!$A$3:$A$18</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DataEvasion!#REF!</c:f>
              <c:numCache>
                <c:formatCode>General</c:formatCode>
                <c:ptCount val="1"/>
                <c:pt idx="0">
                  <c:v>1.0</c:v>
                </c:pt>
              </c:numCache>
            </c:numRef>
          </c:val>
          <c:smooth val="0"/>
        </c:ser>
        <c:ser>
          <c:idx val="0"/>
          <c:order val="1"/>
          <c:spPr>
            <a:ln w="31750">
              <a:solidFill>
                <a:schemeClr val="accent2">
                  <a:lumMod val="75000"/>
                </a:schemeClr>
              </a:solidFill>
            </a:ln>
          </c:spPr>
          <c:marker>
            <c:symbol val="none"/>
          </c:marker>
          <c:cat>
            <c:strRef>
              <c:f>DataFig3!$A$3:$A$18</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DataFig3!$O$3:$O$18</c:f>
              <c:numCache>
                <c:formatCode>0.00%</c:formatCode>
                <c:ptCount val="16"/>
                <c:pt idx="0">
                  <c:v>0.0274877552673953</c:v>
                </c:pt>
                <c:pt idx="1">
                  <c:v>0.0274877552673953</c:v>
                </c:pt>
                <c:pt idx="2">
                  <c:v>0.0274877552673953</c:v>
                </c:pt>
                <c:pt idx="3">
                  <c:v>0.0274877552673953</c:v>
                </c:pt>
                <c:pt idx="4">
                  <c:v>0.0274877552673953</c:v>
                </c:pt>
                <c:pt idx="5">
                  <c:v>0.0274877552673953</c:v>
                </c:pt>
                <c:pt idx="6">
                  <c:v>0.0274877552673953</c:v>
                </c:pt>
                <c:pt idx="7">
                  <c:v>0.0274877552673953</c:v>
                </c:pt>
                <c:pt idx="8">
                  <c:v>0.0274877552673953</c:v>
                </c:pt>
                <c:pt idx="9">
                  <c:v>0.0274877552673953</c:v>
                </c:pt>
                <c:pt idx="10">
                  <c:v>0.0274877552673953</c:v>
                </c:pt>
                <c:pt idx="11">
                  <c:v>0.0274877552673953</c:v>
                </c:pt>
                <c:pt idx="12">
                  <c:v>0.0274877552673953</c:v>
                </c:pt>
                <c:pt idx="13">
                  <c:v>0.0274877552673953</c:v>
                </c:pt>
                <c:pt idx="14">
                  <c:v>0.0274877552673953</c:v>
                </c:pt>
                <c:pt idx="15">
                  <c:v>0.0274877552673953</c:v>
                </c:pt>
              </c:numCache>
            </c:numRef>
          </c:val>
          <c:smooth val="0"/>
        </c:ser>
        <c:ser>
          <c:idx val="1"/>
          <c:order val="2"/>
          <c:spPr>
            <a:ln w="31750">
              <a:solidFill>
                <a:schemeClr val="tx1"/>
              </a:solidFill>
            </a:ln>
            <a:effectLst/>
          </c:spPr>
          <c:marker>
            <c:symbol val="circle"/>
            <c:size val="12"/>
            <c:spPr>
              <a:solidFill>
                <a:schemeClr val="tx1"/>
              </a:solidFill>
              <a:ln>
                <a:solidFill>
                  <a:schemeClr val="tx1"/>
                </a:solidFill>
              </a:ln>
              <a:effectLst/>
            </c:spPr>
          </c:marker>
          <c:cat>
            <c:strRef>
              <c:f>DataFig3!$A$3:$A$18</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DataFig3!$N$3:$N$18</c:f>
              <c:numCache>
                <c:formatCode>0.0%</c:formatCode>
                <c:ptCount val="16"/>
                <c:pt idx="0">
                  <c:v>0.0356813758470363</c:v>
                </c:pt>
                <c:pt idx="1">
                  <c:v>0.0174858458878453</c:v>
                </c:pt>
                <c:pt idx="2">
                  <c:v>0.013735100956485</c:v>
                </c:pt>
                <c:pt idx="3">
                  <c:v>0.0136751764468868</c:v>
                </c:pt>
                <c:pt idx="4">
                  <c:v>0.0107095891407733</c:v>
                </c:pt>
                <c:pt idx="5">
                  <c:v>0.0109222278693444</c:v>
                </c:pt>
                <c:pt idx="6">
                  <c:v>0.0196857910664047</c:v>
                </c:pt>
                <c:pt idx="7">
                  <c:v>0.0198168150330976</c:v>
                </c:pt>
                <c:pt idx="8">
                  <c:v>0.0271029970897926</c:v>
                </c:pt>
                <c:pt idx="9">
                  <c:v>0.0183464549801057</c:v>
                </c:pt>
                <c:pt idx="10">
                  <c:v>0.0344467159904672</c:v>
                </c:pt>
                <c:pt idx="11">
                  <c:v>0.0502078384530577</c:v>
                </c:pt>
                <c:pt idx="12">
                  <c:v>0.0644168597684755</c:v>
                </c:pt>
                <c:pt idx="13">
                  <c:v>0.0835099084871917</c:v>
                </c:pt>
                <c:pt idx="14">
                  <c:v>0.146823586888681</c:v>
                </c:pt>
                <c:pt idx="15">
                  <c:v>0.267700929896221</c:v>
                </c:pt>
              </c:numCache>
            </c:numRef>
          </c:val>
          <c:smooth val="0"/>
        </c:ser>
        <c:dLbls>
          <c:showLegendKey val="0"/>
          <c:showVal val="0"/>
          <c:showCatName val="0"/>
          <c:showSerName val="0"/>
          <c:showPercent val="0"/>
          <c:showBubbleSize val="0"/>
        </c:dLbls>
        <c:marker val="1"/>
        <c:smooth val="0"/>
        <c:axId val="2114933224"/>
        <c:axId val="2114940584"/>
      </c:lineChart>
      <c:catAx>
        <c:axId val="2114933224"/>
        <c:scaling>
          <c:orientation val="minMax"/>
        </c:scaling>
        <c:delete val="0"/>
        <c:axPos val="b"/>
        <c:title>
          <c:tx>
            <c:rich>
              <a:bodyPr/>
              <a:lstStyle/>
              <a:p>
                <a:pPr>
                  <a:defRPr/>
                </a:pPr>
                <a:r>
                  <a:rPr lang="fr-FR" sz="1600" b="0">
                    <a:latin typeface="Arial"/>
                    <a:cs typeface="Arial"/>
                  </a:rPr>
                  <a:t>Position in the wealth distribution</a:t>
                </a:r>
              </a:p>
            </c:rich>
          </c:tx>
          <c:layout>
            <c:manualLayout>
              <c:xMode val="edge"/>
              <c:yMode val="edge"/>
              <c:x val="0.330339989441024"/>
              <c:y val="0.931948242605958"/>
            </c:manualLayout>
          </c:layout>
          <c:overlay val="0"/>
        </c:title>
        <c:numFmt formatCode="General" sourceLinked="0"/>
        <c:majorTickMark val="out"/>
        <c:minorTickMark val="none"/>
        <c:tickLblPos val="nextTo"/>
        <c:txPr>
          <a:bodyPr rot="-5400000" vert="horz"/>
          <a:lstStyle/>
          <a:p>
            <a:pPr>
              <a:defRPr sz="1400">
                <a:latin typeface="Arial"/>
                <a:cs typeface="Arial"/>
              </a:defRPr>
            </a:pPr>
            <a:endParaRPr lang="en-US"/>
          </a:p>
        </c:txPr>
        <c:crossAx val="2114940584"/>
        <c:crosses val="autoZero"/>
        <c:auto val="1"/>
        <c:lblAlgn val="ctr"/>
        <c:lblOffset val="100"/>
        <c:noMultiLvlLbl val="0"/>
      </c:catAx>
      <c:valAx>
        <c:axId val="2114940584"/>
        <c:scaling>
          <c:orientation val="minMax"/>
          <c:max val="0.3"/>
          <c:min val="0.0"/>
        </c:scaling>
        <c:delete val="0"/>
        <c:axPos val="l"/>
        <c:majorGridlines>
          <c:spPr>
            <a:ln>
              <a:solidFill>
                <a:schemeClr val="bg1">
                  <a:lumMod val="75000"/>
                </a:schemeClr>
              </a:solidFill>
            </a:ln>
          </c:spPr>
        </c:majorGridlines>
        <c:title>
          <c:tx>
            <c:rich>
              <a:bodyPr rot="-5400000" vert="horz"/>
              <a:lstStyle/>
              <a:p>
                <a:pPr>
                  <a:defRPr/>
                </a:pPr>
                <a:r>
                  <a:rPr lang="fr-FR" sz="1600" b="0">
                    <a:latin typeface="Arial"/>
                    <a:cs typeface="Arial"/>
                  </a:rPr>
                  <a:t>% of taxes owed</a:t>
                </a:r>
              </a:p>
            </c:rich>
          </c:tx>
          <c:layout>
            <c:manualLayout>
              <c:xMode val="edge"/>
              <c:yMode val="edge"/>
              <c:x val="0.00081201516477107"/>
              <c:y val="0.327067400888614"/>
            </c:manualLayout>
          </c:layout>
          <c:overlay val="0"/>
        </c:title>
        <c:numFmt formatCode="0%" sourceLinked="0"/>
        <c:majorTickMark val="none"/>
        <c:minorTickMark val="none"/>
        <c:tickLblPos val="nextTo"/>
        <c:txPr>
          <a:bodyPr/>
          <a:lstStyle/>
          <a:p>
            <a:pPr>
              <a:defRPr sz="1400">
                <a:latin typeface="Arial"/>
                <a:cs typeface="Arial"/>
              </a:defRPr>
            </a:pPr>
            <a:endParaRPr lang="en-US"/>
          </a:p>
        </c:txPr>
        <c:crossAx val="2114933224"/>
        <c:crosses val="autoZero"/>
        <c:crossBetween val="between"/>
        <c:majorUnit val="0.1"/>
      </c:val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Arial"/>
                <a:cs typeface="Arial"/>
              </a:defRPr>
            </a:pPr>
            <a:r>
              <a:rPr lang="fr-FR" sz="1800" b="1" i="0" baseline="0">
                <a:effectLst/>
                <a:latin typeface="Arial"/>
                <a:cs typeface="Arial"/>
              </a:rPr>
              <a:t>Impôts non-payés, % des impôts dus</a:t>
            </a:r>
          </a:p>
          <a:p>
            <a:pPr>
              <a:defRPr>
                <a:latin typeface="Arial"/>
                <a:cs typeface="Arial"/>
              </a:defRPr>
            </a:pPr>
            <a:r>
              <a:rPr lang="fr-FR" sz="1800" b="0" i="0" baseline="0">
                <a:effectLst/>
                <a:latin typeface="Arial"/>
                <a:cs typeface="Arial"/>
              </a:rPr>
              <a:t>(contrôles aléaloitres + "leaks")</a:t>
            </a:r>
          </a:p>
        </c:rich>
      </c:tx>
      <c:layout>
        <c:manualLayout>
          <c:xMode val="edge"/>
          <c:yMode val="edge"/>
          <c:x val="0.284118518518518"/>
          <c:y val="0.0"/>
        </c:manualLayout>
      </c:layout>
      <c:overlay val="0"/>
    </c:title>
    <c:autoTitleDeleted val="0"/>
    <c:plotArea>
      <c:layout>
        <c:manualLayout>
          <c:layoutTarget val="inner"/>
          <c:xMode val="edge"/>
          <c:yMode val="edge"/>
          <c:x val="0.0960783902012248"/>
          <c:y val="0.0967846911292951"/>
          <c:w val="0.895034930722681"/>
          <c:h val="0.674072015507865"/>
        </c:manualLayout>
      </c:layout>
      <c:lineChart>
        <c:grouping val="standard"/>
        <c:varyColors val="0"/>
        <c:ser>
          <c:idx val="2"/>
          <c:order val="0"/>
          <c:spPr>
            <a:ln w="31750">
              <a:solidFill>
                <a:schemeClr val="tx1"/>
              </a:solidFill>
            </a:ln>
            <a:effectLst/>
          </c:spPr>
          <c:marker>
            <c:symbol val="circle"/>
            <c:size val="12"/>
            <c:spPr>
              <a:solidFill>
                <a:schemeClr val="bg1"/>
              </a:solidFill>
              <a:ln>
                <a:solidFill>
                  <a:schemeClr val="tx1"/>
                </a:solidFill>
              </a:ln>
              <a:effectLst/>
            </c:spPr>
          </c:marker>
          <c:cat>
            <c:strRef>
              <c:f>DataFig3!$A$3:$A$18</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DataEvasion!#REF!</c:f>
              <c:numCache>
                <c:formatCode>General</c:formatCode>
                <c:ptCount val="1"/>
                <c:pt idx="0">
                  <c:v>1.0</c:v>
                </c:pt>
              </c:numCache>
            </c:numRef>
          </c:val>
          <c:smooth val="0"/>
        </c:ser>
        <c:ser>
          <c:idx val="0"/>
          <c:order val="1"/>
          <c:spPr>
            <a:ln w="31750">
              <a:solidFill>
                <a:schemeClr val="accent2">
                  <a:lumMod val="75000"/>
                </a:schemeClr>
              </a:solidFill>
            </a:ln>
          </c:spPr>
          <c:marker>
            <c:symbol val="none"/>
          </c:marker>
          <c:cat>
            <c:strRef>
              <c:f>DataFig3!$A$3:$A$18</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DataFig3!$O$3:$O$18</c:f>
              <c:numCache>
                <c:formatCode>0.00%</c:formatCode>
                <c:ptCount val="16"/>
                <c:pt idx="0">
                  <c:v>0.0274877552673953</c:v>
                </c:pt>
                <c:pt idx="1">
                  <c:v>0.0274877552673953</c:v>
                </c:pt>
                <c:pt idx="2">
                  <c:v>0.0274877552673953</c:v>
                </c:pt>
                <c:pt idx="3">
                  <c:v>0.0274877552673953</c:v>
                </c:pt>
                <c:pt idx="4">
                  <c:v>0.0274877552673953</c:v>
                </c:pt>
                <c:pt idx="5">
                  <c:v>0.0274877552673953</c:v>
                </c:pt>
                <c:pt idx="6">
                  <c:v>0.0274877552673953</c:v>
                </c:pt>
                <c:pt idx="7">
                  <c:v>0.0274877552673953</c:v>
                </c:pt>
                <c:pt idx="8">
                  <c:v>0.0274877552673953</c:v>
                </c:pt>
                <c:pt idx="9">
                  <c:v>0.0274877552673953</c:v>
                </c:pt>
                <c:pt idx="10">
                  <c:v>0.0274877552673953</c:v>
                </c:pt>
                <c:pt idx="11">
                  <c:v>0.0274877552673953</c:v>
                </c:pt>
                <c:pt idx="12">
                  <c:v>0.0274877552673953</c:v>
                </c:pt>
                <c:pt idx="13">
                  <c:v>0.0274877552673953</c:v>
                </c:pt>
                <c:pt idx="14">
                  <c:v>0.0274877552673953</c:v>
                </c:pt>
                <c:pt idx="15">
                  <c:v>0.0274877552673953</c:v>
                </c:pt>
              </c:numCache>
            </c:numRef>
          </c:val>
          <c:smooth val="0"/>
        </c:ser>
        <c:ser>
          <c:idx val="1"/>
          <c:order val="2"/>
          <c:spPr>
            <a:ln w="31750">
              <a:solidFill>
                <a:schemeClr val="tx1"/>
              </a:solidFill>
            </a:ln>
            <a:effectLst/>
          </c:spPr>
          <c:marker>
            <c:symbol val="circle"/>
            <c:size val="12"/>
            <c:spPr>
              <a:solidFill>
                <a:schemeClr val="tx1"/>
              </a:solidFill>
              <a:ln>
                <a:solidFill>
                  <a:schemeClr val="tx1"/>
                </a:solidFill>
              </a:ln>
              <a:effectLst/>
            </c:spPr>
          </c:marker>
          <c:cat>
            <c:strRef>
              <c:f>DataFig3!$A$3:$A$18</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DataFig3!$N$3:$N$18</c:f>
              <c:numCache>
                <c:formatCode>0.0%</c:formatCode>
                <c:ptCount val="16"/>
                <c:pt idx="0">
                  <c:v>0.0356813758470363</c:v>
                </c:pt>
                <c:pt idx="1">
                  <c:v>0.0174858458878453</c:v>
                </c:pt>
                <c:pt idx="2">
                  <c:v>0.013735100956485</c:v>
                </c:pt>
                <c:pt idx="3">
                  <c:v>0.0136751764468868</c:v>
                </c:pt>
                <c:pt idx="4">
                  <c:v>0.0107095891407733</c:v>
                </c:pt>
                <c:pt idx="5">
                  <c:v>0.0109222278693444</c:v>
                </c:pt>
                <c:pt idx="6">
                  <c:v>0.0196857910664047</c:v>
                </c:pt>
                <c:pt idx="7">
                  <c:v>0.0198168150330976</c:v>
                </c:pt>
                <c:pt idx="8">
                  <c:v>0.0271029970897926</c:v>
                </c:pt>
                <c:pt idx="9">
                  <c:v>0.0183464549801057</c:v>
                </c:pt>
                <c:pt idx="10">
                  <c:v>0.0344467159904672</c:v>
                </c:pt>
                <c:pt idx="11">
                  <c:v>0.0502078384530577</c:v>
                </c:pt>
                <c:pt idx="12">
                  <c:v>0.0644168597684755</c:v>
                </c:pt>
                <c:pt idx="13">
                  <c:v>0.0835099084871917</c:v>
                </c:pt>
                <c:pt idx="14">
                  <c:v>0.146823586888681</c:v>
                </c:pt>
                <c:pt idx="15">
                  <c:v>0.267700929896221</c:v>
                </c:pt>
              </c:numCache>
            </c:numRef>
          </c:val>
          <c:smooth val="0"/>
        </c:ser>
        <c:dLbls>
          <c:showLegendKey val="0"/>
          <c:showVal val="0"/>
          <c:showCatName val="0"/>
          <c:showSerName val="0"/>
          <c:showPercent val="0"/>
          <c:showBubbleSize val="0"/>
        </c:dLbls>
        <c:marker val="1"/>
        <c:smooth val="0"/>
        <c:axId val="2114376280"/>
        <c:axId val="2114369080"/>
      </c:lineChart>
      <c:catAx>
        <c:axId val="2114376280"/>
        <c:scaling>
          <c:orientation val="minMax"/>
        </c:scaling>
        <c:delete val="0"/>
        <c:axPos val="b"/>
        <c:title>
          <c:tx>
            <c:rich>
              <a:bodyPr/>
              <a:lstStyle/>
              <a:p>
                <a:pPr>
                  <a:defRPr/>
                </a:pPr>
                <a:r>
                  <a:rPr lang="fr-FR" sz="1600" b="0">
                    <a:latin typeface="Arial"/>
                    <a:cs typeface="Arial"/>
                  </a:rPr>
                  <a:t>Position dans la distribution de la richesse</a:t>
                </a:r>
              </a:p>
            </c:rich>
          </c:tx>
          <c:layout>
            <c:manualLayout>
              <c:xMode val="edge"/>
              <c:yMode val="edge"/>
              <c:x val="0.330339989441024"/>
              <c:y val="0.931948242605958"/>
            </c:manualLayout>
          </c:layout>
          <c:overlay val="0"/>
        </c:title>
        <c:numFmt formatCode="General" sourceLinked="0"/>
        <c:majorTickMark val="out"/>
        <c:minorTickMark val="none"/>
        <c:tickLblPos val="nextTo"/>
        <c:txPr>
          <a:bodyPr rot="-5400000" vert="horz"/>
          <a:lstStyle/>
          <a:p>
            <a:pPr>
              <a:defRPr sz="1400">
                <a:latin typeface="Arial"/>
                <a:cs typeface="Arial"/>
              </a:defRPr>
            </a:pPr>
            <a:endParaRPr lang="en-US"/>
          </a:p>
        </c:txPr>
        <c:crossAx val="2114369080"/>
        <c:crosses val="autoZero"/>
        <c:auto val="1"/>
        <c:lblAlgn val="ctr"/>
        <c:lblOffset val="100"/>
        <c:noMultiLvlLbl val="0"/>
      </c:catAx>
      <c:valAx>
        <c:axId val="2114369080"/>
        <c:scaling>
          <c:orientation val="minMax"/>
          <c:max val="0.3"/>
          <c:min val="0.0"/>
        </c:scaling>
        <c:delete val="0"/>
        <c:axPos val="l"/>
        <c:majorGridlines>
          <c:spPr>
            <a:ln>
              <a:solidFill>
                <a:schemeClr val="bg1">
                  <a:lumMod val="75000"/>
                </a:schemeClr>
              </a:solidFill>
            </a:ln>
          </c:spPr>
        </c:majorGridlines>
        <c:title>
          <c:tx>
            <c:rich>
              <a:bodyPr rot="-5400000" vert="horz"/>
              <a:lstStyle/>
              <a:p>
                <a:pPr>
                  <a:defRPr/>
                </a:pPr>
                <a:r>
                  <a:rPr lang="fr-FR" sz="1600" b="0">
                    <a:latin typeface="Arial"/>
                    <a:cs typeface="Arial"/>
                  </a:rPr>
                  <a:t>% des impôts dus</a:t>
                </a:r>
              </a:p>
            </c:rich>
          </c:tx>
          <c:layout>
            <c:manualLayout>
              <c:xMode val="edge"/>
              <c:yMode val="edge"/>
              <c:x val="0.00081201516477107"/>
              <c:y val="0.327067400888614"/>
            </c:manualLayout>
          </c:layout>
          <c:overlay val="0"/>
        </c:title>
        <c:numFmt formatCode="0%" sourceLinked="0"/>
        <c:majorTickMark val="none"/>
        <c:minorTickMark val="none"/>
        <c:tickLblPos val="nextTo"/>
        <c:txPr>
          <a:bodyPr/>
          <a:lstStyle/>
          <a:p>
            <a:pPr>
              <a:defRPr sz="1400">
                <a:latin typeface="Arial"/>
                <a:cs typeface="Arial"/>
              </a:defRPr>
            </a:pPr>
            <a:endParaRPr lang="en-US"/>
          </a:p>
        </c:txPr>
        <c:crossAx val="2114376280"/>
        <c:crosses val="autoZero"/>
        <c:crossBetween val="between"/>
        <c:majorUnit val="0.1"/>
      </c:val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453217485745"/>
          <c:y val="0.0294117647058823"/>
          <c:w val="0.846896551724138"/>
          <c:h val="0.877828054298642"/>
        </c:manualLayout>
      </c:layout>
      <c:lineChart>
        <c:grouping val="standard"/>
        <c:varyColors val="0"/>
        <c:ser>
          <c:idx val="6"/>
          <c:order val="0"/>
          <c:tx>
            <c:strRef>
              <c:f>'Data-Fig4'!$B$1</c:f>
              <c:strCache>
                <c:ptCount val="1"/>
                <c:pt idx="0">
                  <c:v>Tax havens</c:v>
                </c:pt>
              </c:strCache>
            </c:strRef>
          </c:tx>
          <c:spPr>
            <a:ln w="25400">
              <a:solidFill>
                <a:srgbClr val="000000"/>
              </a:solidFill>
              <a:prstDash val="solid"/>
            </a:ln>
          </c:spPr>
          <c:marker>
            <c:symbol val="square"/>
            <c:size val="10"/>
            <c:spPr>
              <a:solidFill>
                <a:srgbClr val="000000"/>
              </a:solidFill>
              <a:ln>
                <a:solidFill>
                  <a:srgbClr val="FFFFFF"/>
                </a:solidFill>
                <a:prstDash val="solid"/>
              </a:ln>
            </c:spPr>
          </c:marker>
          <c:cat>
            <c:numRef>
              <c:f>'Data-Fig4'!$A$8:$A$41</c:f>
              <c:numCache>
                <c:formatCode>General</c:formatCode>
                <c:ptCount val="34"/>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pt idx="32">
                  <c:v>2014.0</c:v>
                </c:pt>
                <c:pt idx="33">
                  <c:v>2015.0</c:v>
                </c:pt>
              </c:numCache>
            </c:numRef>
          </c:cat>
          <c:val>
            <c:numRef>
              <c:f>'Data-Fig4'!$B$8:$B$41</c:f>
              <c:numCache>
                <c:formatCode>0%</c:formatCode>
                <c:ptCount val="34"/>
                <c:pt idx="0">
                  <c:v>0.26838302126886</c:v>
                </c:pt>
                <c:pt idx="1">
                  <c:v>0.289965759516186</c:v>
                </c:pt>
                <c:pt idx="2">
                  <c:v>0.314502266764508</c:v>
                </c:pt>
                <c:pt idx="3">
                  <c:v>0.321125104654684</c:v>
                </c:pt>
                <c:pt idx="4">
                  <c:v>0.337618272377053</c:v>
                </c:pt>
                <c:pt idx="5">
                  <c:v>0.346666327620404</c:v>
                </c:pt>
                <c:pt idx="6">
                  <c:v>0.343531144052068</c:v>
                </c:pt>
                <c:pt idx="7">
                  <c:v>0.365119278529865</c:v>
                </c:pt>
                <c:pt idx="8">
                  <c:v>0.364324270559566</c:v>
                </c:pt>
                <c:pt idx="9">
                  <c:v>0.355635479339396</c:v>
                </c:pt>
                <c:pt idx="10">
                  <c:v>0.348324343954144</c:v>
                </c:pt>
                <c:pt idx="11">
                  <c:v>0.357830132107358</c:v>
                </c:pt>
                <c:pt idx="12">
                  <c:v>0.379166529429202</c:v>
                </c:pt>
                <c:pt idx="13">
                  <c:v>0.389209717144212</c:v>
                </c:pt>
                <c:pt idx="14">
                  <c:v>0.405460901756976</c:v>
                </c:pt>
                <c:pt idx="15">
                  <c:v>0.41668206579988</c:v>
                </c:pt>
                <c:pt idx="16">
                  <c:v>0.418726414928139</c:v>
                </c:pt>
                <c:pt idx="17">
                  <c:v>0.421736452745067</c:v>
                </c:pt>
                <c:pt idx="18">
                  <c:v>0.454028591660595</c:v>
                </c:pt>
                <c:pt idx="19">
                  <c:v>0.465288909374849</c:v>
                </c:pt>
                <c:pt idx="20">
                  <c:v>0.478496286088798</c:v>
                </c:pt>
                <c:pt idx="21">
                  <c:v>0.474924784449395</c:v>
                </c:pt>
                <c:pt idx="22">
                  <c:v>0.502299813724131</c:v>
                </c:pt>
                <c:pt idx="23">
                  <c:v>0.584847374503227</c:v>
                </c:pt>
                <c:pt idx="24">
                  <c:v>0.599017183636421</c:v>
                </c:pt>
                <c:pt idx="25">
                  <c:v>0.626326963906582</c:v>
                </c:pt>
                <c:pt idx="26">
                  <c:v>0.614015989683535</c:v>
                </c:pt>
                <c:pt idx="27">
                  <c:v>0.631181618741866</c:v>
                </c:pt>
                <c:pt idx="28" formatCode="0.0%">
                  <c:v>0.630876755489271</c:v>
                </c:pt>
                <c:pt idx="29" formatCode="0.0%">
                  <c:v>0.597063536316109</c:v>
                </c:pt>
                <c:pt idx="30" formatCode="0.0%">
                  <c:v>0.622762653377365</c:v>
                </c:pt>
                <c:pt idx="31" formatCode="0.0%">
                  <c:v>0.618300169934523</c:v>
                </c:pt>
                <c:pt idx="32" formatCode="0.0%">
                  <c:v>0.618300169934523</c:v>
                </c:pt>
                <c:pt idx="33" formatCode="0.0%">
                  <c:v>0.618300169934523</c:v>
                </c:pt>
              </c:numCache>
            </c:numRef>
          </c:val>
          <c:smooth val="0"/>
        </c:ser>
        <c:ser>
          <c:idx val="0"/>
          <c:order val="1"/>
          <c:tx>
            <c:strRef>
              <c:f>'Data-Fig4'!$C$1</c:f>
              <c:strCache>
                <c:ptCount val="1"/>
                <c:pt idx="0">
                  <c:v>Europe</c:v>
                </c:pt>
              </c:strCache>
            </c:strRef>
          </c:tx>
          <c:spPr>
            <a:ln w="25400">
              <a:solidFill>
                <a:srgbClr val="000000"/>
              </a:solidFill>
              <a:prstDash val="solid"/>
            </a:ln>
          </c:spPr>
          <c:marker>
            <c:symbol val="diamond"/>
            <c:size val="10"/>
            <c:spPr>
              <a:solidFill>
                <a:srgbClr val="FFFFFF"/>
              </a:solidFill>
              <a:ln>
                <a:solidFill>
                  <a:srgbClr val="000000"/>
                </a:solidFill>
                <a:prstDash val="solid"/>
              </a:ln>
            </c:spPr>
          </c:marker>
          <c:cat>
            <c:numRef>
              <c:f>'Data-Fig4'!$A$8:$A$41</c:f>
              <c:numCache>
                <c:formatCode>General</c:formatCode>
                <c:ptCount val="34"/>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pt idx="32">
                  <c:v>2014.0</c:v>
                </c:pt>
                <c:pt idx="33">
                  <c:v>2015.0</c:v>
                </c:pt>
              </c:numCache>
            </c:numRef>
          </c:cat>
          <c:val>
            <c:numRef>
              <c:f>'Data-Fig4'!$C$8:$C$41</c:f>
              <c:numCache>
                <c:formatCode>0%</c:formatCode>
                <c:ptCount val="34"/>
                <c:pt idx="0">
                  <c:v>0.392701327031449</c:v>
                </c:pt>
                <c:pt idx="1">
                  <c:v>0.355078263963002</c:v>
                </c:pt>
                <c:pt idx="2">
                  <c:v>0.307325016837386</c:v>
                </c:pt>
                <c:pt idx="3">
                  <c:v>0.303810321178545</c:v>
                </c:pt>
                <c:pt idx="4">
                  <c:v>0.305888231596254</c:v>
                </c:pt>
                <c:pt idx="5">
                  <c:v>0.31276382037329</c:v>
                </c:pt>
                <c:pt idx="6">
                  <c:v>0.316495087727981</c:v>
                </c:pt>
                <c:pt idx="7">
                  <c:v>0.319327521046212</c:v>
                </c:pt>
                <c:pt idx="8">
                  <c:v>0.332327208596819</c:v>
                </c:pt>
                <c:pt idx="9">
                  <c:v>0.335669398853347</c:v>
                </c:pt>
                <c:pt idx="10">
                  <c:v>0.348774156807237</c:v>
                </c:pt>
                <c:pt idx="11">
                  <c:v>0.342066289909324</c:v>
                </c:pt>
                <c:pt idx="12">
                  <c:v>0.326891406738908</c:v>
                </c:pt>
                <c:pt idx="13">
                  <c:v>0.322205479661613</c:v>
                </c:pt>
                <c:pt idx="14">
                  <c:v>0.304789811112901</c:v>
                </c:pt>
                <c:pt idx="15">
                  <c:v>0.289709436835219</c:v>
                </c:pt>
                <c:pt idx="16">
                  <c:v>0.290599796344776</c:v>
                </c:pt>
                <c:pt idx="17">
                  <c:v>0.280984499402682</c:v>
                </c:pt>
                <c:pt idx="18">
                  <c:v>0.257475463784923</c:v>
                </c:pt>
                <c:pt idx="19">
                  <c:v>0.263926057912588</c:v>
                </c:pt>
                <c:pt idx="20">
                  <c:v>0.250176452794676</c:v>
                </c:pt>
                <c:pt idx="21">
                  <c:v>0.251704549278806</c:v>
                </c:pt>
                <c:pt idx="22">
                  <c:v>0.246149394452717</c:v>
                </c:pt>
                <c:pt idx="23">
                  <c:v>0.146514839764368</c:v>
                </c:pt>
                <c:pt idx="24">
                  <c:v>0.144654650492079</c:v>
                </c:pt>
                <c:pt idx="25">
                  <c:v>0.147600498324297</c:v>
                </c:pt>
                <c:pt idx="26">
                  <c:v>0.15679435943921</c:v>
                </c:pt>
                <c:pt idx="27">
                  <c:v>0.127275077476764</c:v>
                </c:pt>
                <c:pt idx="28">
                  <c:v>0.125519438842898</c:v>
                </c:pt>
                <c:pt idx="29">
                  <c:v>0.130317630196542</c:v>
                </c:pt>
                <c:pt idx="30">
                  <c:v>0.105807593515392</c:v>
                </c:pt>
                <c:pt idx="31">
                  <c:v>0.116313913496307</c:v>
                </c:pt>
                <c:pt idx="32">
                  <c:v>0.116313913496307</c:v>
                </c:pt>
                <c:pt idx="33">
                  <c:v>0.116313913496307</c:v>
                </c:pt>
              </c:numCache>
            </c:numRef>
          </c:val>
          <c:smooth val="0"/>
        </c:ser>
        <c:dLbls>
          <c:showLegendKey val="0"/>
          <c:showVal val="0"/>
          <c:showCatName val="0"/>
          <c:showSerName val="0"/>
          <c:showPercent val="0"/>
          <c:showBubbleSize val="0"/>
        </c:dLbls>
        <c:marker val="1"/>
        <c:smooth val="0"/>
        <c:axId val="2105103880"/>
        <c:axId val="2105109672"/>
      </c:lineChart>
      <c:catAx>
        <c:axId val="2105103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Verdana"/>
                <a:cs typeface="Arial"/>
              </a:defRPr>
            </a:pPr>
            <a:endParaRPr lang="en-US"/>
          </a:p>
        </c:txPr>
        <c:crossAx val="2105109672"/>
        <c:crosses val="autoZero"/>
        <c:auto val="1"/>
        <c:lblAlgn val="ctr"/>
        <c:lblOffset val="100"/>
        <c:tickLblSkip val="4"/>
        <c:tickMarkSkip val="4"/>
        <c:noMultiLvlLbl val="0"/>
      </c:catAx>
      <c:valAx>
        <c:axId val="2105109672"/>
        <c:scaling>
          <c:orientation val="minMax"/>
        </c:scaling>
        <c:delete val="0"/>
        <c:axPos val="l"/>
        <c:title>
          <c:tx>
            <c:rich>
              <a:bodyPr rot="-5400000" vert="horz"/>
              <a:lstStyle/>
              <a:p>
                <a:pPr>
                  <a:defRPr sz="1600">
                    <a:latin typeface="Arial"/>
                    <a:cs typeface="Arial"/>
                  </a:defRPr>
                </a:pPr>
                <a:r>
                  <a:rPr lang="fr-FR" sz="1800">
                    <a:latin typeface="Arial"/>
                    <a:cs typeface="Arial"/>
                  </a:rPr>
                  <a:t>% of foreign wealth</a:t>
                </a:r>
                <a:r>
                  <a:rPr lang="fr-FR" sz="1800" baseline="0">
                    <a:latin typeface="Arial"/>
                    <a:cs typeface="Arial"/>
                  </a:rPr>
                  <a:t> held in Siwterland</a:t>
                </a:r>
                <a:endParaRPr lang="fr-FR" sz="1800">
                  <a:latin typeface="Arial"/>
                  <a:cs typeface="Arial"/>
                </a:endParaRPr>
              </a:p>
            </c:rich>
          </c:tx>
          <c:layout>
            <c:manualLayout>
              <c:xMode val="edge"/>
              <c:yMode val="edge"/>
              <c:x val="0.002030627206082"/>
              <c:y val="0.144041935368939"/>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Verdana"/>
                <a:cs typeface="Arial"/>
              </a:defRPr>
            </a:pPr>
            <a:endParaRPr lang="en-US"/>
          </a:p>
        </c:txPr>
        <c:crossAx val="2105103880"/>
        <c:crosses val="autoZero"/>
        <c:crossBetween val="midCat"/>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Verdana"/>
          <a:ea typeface="Verdana"/>
          <a:cs typeface="Verdana"/>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453217485745"/>
          <c:y val="0.0294117647058823"/>
          <c:w val="0.846896551724138"/>
          <c:h val="0.877828054298642"/>
        </c:manualLayout>
      </c:layout>
      <c:lineChart>
        <c:grouping val="standard"/>
        <c:varyColors val="0"/>
        <c:ser>
          <c:idx val="6"/>
          <c:order val="0"/>
          <c:tx>
            <c:strRef>
              <c:f>'Data-Fig4'!$B$1</c:f>
              <c:strCache>
                <c:ptCount val="1"/>
                <c:pt idx="0">
                  <c:v>Tax havens</c:v>
                </c:pt>
              </c:strCache>
            </c:strRef>
          </c:tx>
          <c:spPr>
            <a:ln w="25400">
              <a:solidFill>
                <a:srgbClr val="000000"/>
              </a:solidFill>
              <a:prstDash val="solid"/>
            </a:ln>
          </c:spPr>
          <c:marker>
            <c:symbol val="square"/>
            <c:size val="10"/>
            <c:spPr>
              <a:solidFill>
                <a:srgbClr val="000000"/>
              </a:solidFill>
              <a:ln>
                <a:solidFill>
                  <a:srgbClr val="FFFFFF"/>
                </a:solidFill>
                <a:prstDash val="solid"/>
              </a:ln>
            </c:spPr>
          </c:marker>
          <c:cat>
            <c:numRef>
              <c:f>'Data-Fig4'!$A$8:$A$41</c:f>
              <c:numCache>
                <c:formatCode>General</c:formatCode>
                <c:ptCount val="34"/>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pt idx="32">
                  <c:v>2014.0</c:v>
                </c:pt>
                <c:pt idx="33">
                  <c:v>2015.0</c:v>
                </c:pt>
              </c:numCache>
            </c:numRef>
          </c:cat>
          <c:val>
            <c:numRef>
              <c:f>'Data-Fig4'!$B$8:$B$41</c:f>
              <c:numCache>
                <c:formatCode>0%</c:formatCode>
                <c:ptCount val="34"/>
                <c:pt idx="0">
                  <c:v>0.26838302126886</c:v>
                </c:pt>
                <c:pt idx="1">
                  <c:v>0.289965759516186</c:v>
                </c:pt>
                <c:pt idx="2">
                  <c:v>0.314502266764508</c:v>
                </c:pt>
                <c:pt idx="3">
                  <c:v>0.321125104654684</c:v>
                </c:pt>
                <c:pt idx="4">
                  <c:v>0.337618272377053</c:v>
                </c:pt>
                <c:pt idx="5">
                  <c:v>0.346666327620404</c:v>
                </c:pt>
                <c:pt idx="6">
                  <c:v>0.343531144052068</c:v>
                </c:pt>
                <c:pt idx="7">
                  <c:v>0.365119278529865</c:v>
                </c:pt>
                <c:pt idx="8">
                  <c:v>0.364324270559566</c:v>
                </c:pt>
                <c:pt idx="9">
                  <c:v>0.355635479339396</c:v>
                </c:pt>
                <c:pt idx="10">
                  <c:v>0.348324343954144</c:v>
                </c:pt>
                <c:pt idx="11">
                  <c:v>0.357830132107358</c:v>
                </c:pt>
                <c:pt idx="12">
                  <c:v>0.379166529429202</c:v>
                </c:pt>
                <c:pt idx="13">
                  <c:v>0.389209717144212</c:v>
                </c:pt>
                <c:pt idx="14">
                  <c:v>0.405460901756976</c:v>
                </c:pt>
                <c:pt idx="15">
                  <c:v>0.41668206579988</c:v>
                </c:pt>
                <c:pt idx="16">
                  <c:v>0.418726414928139</c:v>
                </c:pt>
                <c:pt idx="17">
                  <c:v>0.421736452745067</c:v>
                </c:pt>
                <c:pt idx="18">
                  <c:v>0.454028591660595</c:v>
                </c:pt>
                <c:pt idx="19">
                  <c:v>0.465288909374849</c:v>
                </c:pt>
                <c:pt idx="20">
                  <c:v>0.478496286088798</c:v>
                </c:pt>
                <c:pt idx="21">
                  <c:v>0.474924784449395</c:v>
                </c:pt>
                <c:pt idx="22">
                  <c:v>0.502299813724131</c:v>
                </c:pt>
                <c:pt idx="23">
                  <c:v>0.584847374503227</c:v>
                </c:pt>
                <c:pt idx="24">
                  <c:v>0.599017183636421</c:v>
                </c:pt>
                <c:pt idx="25">
                  <c:v>0.626326963906582</c:v>
                </c:pt>
                <c:pt idx="26">
                  <c:v>0.614015989683535</c:v>
                </c:pt>
                <c:pt idx="27">
                  <c:v>0.631181618741866</c:v>
                </c:pt>
                <c:pt idx="28" formatCode="0.0%">
                  <c:v>0.630876755489271</c:v>
                </c:pt>
                <c:pt idx="29" formatCode="0.0%">
                  <c:v>0.597063536316109</c:v>
                </c:pt>
                <c:pt idx="30" formatCode="0.0%">
                  <c:v>0.622762653377365</c:v>
                </c:pt>
                <c:pt idx="31" formatCode="0.0%">
                  <c:v>0.618300169934523</c:v>
                </c:pt>
                <c:pt idx="32" formatCode="0.0%">
                  <c:v>0.618300169934523</c:v>
                </c:pt>
                <c:pt idx="33" formatCode="0.0%">
                  <c:v>0.618300169934523</c:v>
                </c:pt>
              </c:numCache>
            </c:numRef>
          </c:val>
          <c:smooth val="0"/>
        </c:ser>
        <c:ser>
          <c:idx val="0"/>
          <c:order val="1"/>
          <c:tx>
            <c:strRef>
              <c:f>'Data-Fig4'!$C$1</c:f>
              <c:strCache>
                <c:ptCount val="1"/>
                <c:pt idx="0">
                  <c:v>Europe</c:v>
                </c:pt>
              </c:strCache>
            </c:strRef>
          </c:tx>
          <c:spPr>
            <a:ln w="25400">
              <a:solidFill>
                <a:srgbClr val="000000"/>
              </a:solidFill>
              <a:prstDash val="solid"/>
            </a:ln>
          </c:spPr>
          <c:marker>
            <c:symbol val="diamond"/>
            <c:size val="10"/>
            <c:spPr>
              <a:solidFill>
                <a:srgbClr val="FFFFFF"/>
              </a:solidFill>
              <a:ln>
                <a:solidFill>
                  <a:srgbClr val="000000"/>
                </a:solidFill>
                <a:prstDash val="solid"/>
              </a:ln>
            </c:spPr>
          </c:marker>
          <c:cat>
            <c:numRef>
              <c:f>'Data-Fig4'!$A$8:$A$41</c:f>
              <c:numCache>
                <c:formatCode>General</c:formatCode>
                <c:ptCount val="34"/>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pt idx="32">
                  <c:v>2014.0</c:v>
                </c:pt>
                <c:pt idx="33">
                  <c:v>2015.0</c:v>
                </c:pt>
              </c:numCache>
            </c:numRef>
          </c:cat>
          <c:val>
            <c:numRef>
              <c:f>'Data-Fig4'!$C$8:$C$41</c:f>
              <c:numCache>
                <c:formatCode>0%</c:formatCode>
                <c:ptCount val="34"/>
                <c:pt idx="0">
                  <c:v>0.392701327031449</c:v>
                </c:pt>
                <c:pt idx="1">
                  <c:v>0.355078263963002</c:v>
                </c:pt>
                <c:pt idx="2">
                  <c:v>0.307325016837386</c:v>
                </c:pt>
                <c:pt idx="3">
                  <c:v>0.303810321178545</c:v>
                </c:pt>
                <c:pt idx="4">
                  <c:v>0.305888231596254</c:v>
                </c:pt>
                <c:pt idx="5">
                  <c:v>0.31276382037329</c:v>
                </c:pt>
                <c:pt idx="6">
                  <c:v>0.316495087727981</c:v>
                </c:pt>
                <c:pt idx="7">
                  <c:v>0.319327521046212</c:v>
                </c:pt>
                <c:pt idx="8">
                  <c:v>0.332327208596819</c:v>
                </c:pt>
                <c:pt idx="9">
                  <c:v>0.335669398853347</c:v>
                </c:pt>
                <c:pt idx="10">
                  <c:v>0.348774156807237</c:v>
                </c:pt>
                <c:pt idx="11">
                  <c:v>0.342066289909324</c:v>
                </c:pt>
                <c:pt idx="12">
                  <c:v>0.326891406738908</c:v>
                </c:pt>
                <c:pt idx="13">
                  <c:v>0.322205479661613</c:v>
                </c:pt>
                <c:pt idx="14">
                  <c:v>0.304789811112901</c:v>
                </c:pt>
                <c:pt idx="15">
                  <c:v>0.289709436835219</c:v>
                </c:pt>
                <c:pt idx="16">
                  <c:v>0.290599796344776</c:v>
                </c:pt>
                <c:pt idx="17">
                  <c:v>0.280984499402682</c:v>
                </c:pt>
                <c:pt idx="18">
                  <c:v>0.257475463784923</c:v>
                </c:pt>
                <c:pt idx="19">
                  <c:v>0.263926057912588</c:v>
                </c:pt>
                <c:pt idx="20">
                  <c:v>0.250176452794676</c:v>
                </c:pt>
                <c:pt idx="21">
                  <c:v>0.251704549278806</c:v>
                </c:pt>
                <c:pt idx="22">
                  <c:v>0.246149394452717</c:v>
                </c:pt>
                <c:pt idx="23">
                  <c:v>0.146514839764368</c:v>
                </c:pt>
                <c:pt idx="24">
                  <c:v>0.144654650492079</c:v>
                </c:pt>
                <c:pt idx="25">
                  <c:v>0.147600498324297</c:v>
                </c:pt>
                <c:pt idx="26">
                  <c:v>0.15679435943921</c:v>
                </c:pt>
                <c:pt idx="27">
                  <c:v>0.127275077476764</c:v>
                </c:pt>
                <c:pt idx="28">
                  <c:v>0.125519438842898</c:v>
                </c:pt>
                <c:pt idx="29">
                  <c:v>0.130317630196542</c:v>
                </c:pt>
                <c:pt idx="30">
                  <c:v>0.105807593515392</c:v>
                </c:pt>
                <c:pt idx="31">
                  <c:v>0.116313913496307</c:v>
                </c:pt>
                <c:pt idx="32">
                  <c:v>0.116313913496307</c:v>
                </c:pt>
                <c:pt idx="33">
                  <c:v>0.116313913496307</c:v>
                </c:pt>
              </c:numCache>
            </c:numRef>
          </c:val>
          <c:smooth val="0"/>
        </c:ser>
        <c:dLbls>
          <c:showLegendKey val="0"/>
          <c:showVal val="0"/>
          <c:showCatName val="0"/>
          <c:showSerName val="0"/>
          <c:showPercent val="0"/>
          <c:showBubbleSize val="0"/>
        </c:dLbls>
        <c:marker val="1"/>
        <c:smooth val="0"/>
        <c:axId val="2114272568"/>
        <c:axId val="2114266952"/>
      </c:lineChart>
      <c:catAx>
        <c:axId val="2114272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Verdana"/>
                <a:cs typeface="Arial"/>
              </a:defRPr>
            </a:pPr>
            <a:endParaRPr lang="en-US"/>
          </a:p>
        </c:txPr>
        <c:crossAx val="2114266952"/>
        <c:crosses val="autoZero"/>
        <c:auto val="1"/>
        <c:lblAlgn val="ctr"/>
        <c:lblOffset val="100"/>
        <c:tickLblSkip val="4"/>
        <c:tickMarkSkip val="4"/>
        <c:noMultiLvlLbl val="0"/>
      </c:catAx>
      <c:valAx>
        <c:axId val="2114266952"/>
        <c:scaling>
          <c:orientation val="minMax"/>
        </c:scaling>
        <c:delete val="0"/>
        <c:axPos val="l"/>
        <c:title>
          <c:tx>
            <c:rich>
              <a:bodyPr rot="-5400000" vert="horz"/>
              <a:lstStyle/>
              <a:p>
                <a:pPr>
                  <a:defRPr sz="1600">
                    <a:latin typeface="Arial"/>
                    <a:cs typeface="Arial"/>
                  </a:defRPr>
                </a:pPr>
                <a:r>
                  <a:rPr lang="fr-FR" sz="1700">
                    <a:latin typeface="Arial"/>
                    <a:cs typeface="Arial"/>
                  </a:rPr>
                  <a:t>% de la richesse offshore détenue en Suisse</a:t>
                </a:r>
              </a:p>
            </c:rich>
          </c:tx>
          <c:layout>
            <c:manualLayout>
              <c:xMode val="edge"/>
              <c:yMode val="edge"/>
              <c:x val="0.002030627206082"/>
              <c:y val="0.144041935368939"/>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Verdana"/>
                <a:cs typeface="Arial"/>
              </a:defRPr>
            </a:pPr>
            <a:endParaRPr lang="en-US"/>
          </a:p>
        </c:txPr>
        <c:crossAx val="2114272568"/>
        <c:crosses val="autoZero"/>
        <c:crossBetween val="midCat"/>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Verdana"/>
          <a:ea typeface="Verdana"/>
          <a:cs typeface="Verdana"/>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v>Finance</c:v>
          </c:tx>
          <c:spPr>
            <a:ln w="25400">
              <a:solidFill>
                <a:schemeClr val="tx1"/>
              </a:solidFill>
            </a:ln>
            <a:effectLst/>
          </c:spPr>
          <c:marker>
            <c:symbol val="square"/>
            <c:size val="10"/>
            <c:spPr>
              <a:solidFill>
                <a:schemeClr val="tx1"/>
              </a:solidFill>
              <a:ln>
                <a:solidFill>
                  <a:schemeClr val="bg1"/>
                </a:solidFill>
              </a:ln>
              <a:effectLst/>
            </c:spPr>
          </c:marker>
          <c:cat>
            <c:numRef>
              <c:f>'Data-Fig5'!$A$2:$A$47</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'Data-Fig5'!$B$2:$B$47</c:f>
              <c:numCache>
                <c:formatCode>0%</c:formatCode>
                <c:ptCount val="46"/>
                <c:pt idx="0">
                  <c:v>0.0180888106942649</c:v>
                </c:pt>
                <c:pt idx="1">
                  <c:v>0.0414279581454246</c:v>
                </c:pt>
                <c:pt idx="2">
                  <c:v>0.0733907824185143</c:v>
                </c:pt>
                <c:pt idx="3">
                  <c:v>0.0632359957448832</c:v>
                </c:pt>
                <c:pt idx="4">
                  <c:v>0.0603472976045397</c:v>
                </c:pt>
                <c:pt idx="5">
                  <c:v>0.158581485176697</c:v>
                </c:pt>
                <c:pt idx="6">
                  <c:v>0.174546797434155</c:v>
                </c:pt>
                <c:pt idx="7">
                  <c:v>0.195245523313946</c:v>
                </c:pt>
                <c:pt idx="8">
                  <c:v>0.18482959501195</c:v>
                </c:pt>
                <c:pt idx="9">
                  <c:v>0.140426511772885</c:v>
                </c:pt>
                <c:pt idx="10">
                  <c:v>0.11177974899384</c:v>
                </c:pt>
                <c:pt idx="11">
                  <c:v>0.138038825442769</c:v>
                </c:pt>
                <c:pt idx="12">
                  <c:v>0.247998762093083</c:v>
                </c:pt>
                <c:pt idx="13">
                  <c:v>0.29805198988466</c:v>
                </c:pt>
                <c:pt idx="14">
                  <c:v>0.26489531623047</c:v>
                </c:pt>
                <c:pt idx="15">
                  <c:v>0.261459091686465</c:v>
                </c:pt>
                <c:pt idx="16">
                  <c:v>0.252237377417299</c:v>
                </c:pt>
                <c:pt idx="17">
                  <c:v>0.24499974695108</c:v>
                </c:pt>
                <c:pt idx="18">
                  <c:v>0.23583320379287</c:v>
                </c:pt>
                <c:pt idx="19">
                  <c:v>0.208770194684009</c:v>
                </c:pt>
                <c:pt idx="20">
                  <c:v>0.214706653413107</c:v>
                </c:pt>
                <c:pt idx="21">
                  <c:v>0.240698494819418</c:v>
                </c:pt>
                <c:pt idx="22">
                  <c:v>0.246666136517731</c:v>
                </c:pt>
                <c:pt idx="23">
                  <c:v>0.239630264057135</c:v>
                </c:pt>
                <c:pt idx="24">
                  <c:v>0.2976783312316</c:v>
                </c:pt>
                <c:pt idx="25">
                  <c:v>0.309502793910915</c:v>
                </c:pt>
                <c:pt idx="26">
                  <c:v>0.319737531736873</c:v>
                </c:pt>
                <c:pt idx="27">
                  <c:v>0.292176472278615</c:v>
                </c:pt>
                <c:pt idx="28">
                  <c:v>0.297873459745503</c:v>
                </c:pt>
                <c:pt idx="29">
                  <c:v>0.333382946657771</c:v>
                </c:pt>
                <c:pt idx="30">
                  <c:v>0.353426195486065</c:v>
                </c:pt>
                <c:pt idx="31">
                  <c:v>0.327180713785558</c:v>
                </c:pt>
                <c:pt idx="32">
                  <c:v>0.331969063837213</c:v>
                </c:pt>
                <c:pt idx="33">
                  <c:v>0.3438202703474</c:v>
                </c:pt>
                <c:pt idx="34">
                  <c:v>0.339502270998232</c:v>
                </c:pt>
                <c:pt idx="35">
                  <c:v>0.367191022582225</c:v>
                </c:pt>
                <c:pt idx="36">
                  <c:v>0.40077527399993</c:v>
                </c:pt>
                <c:pt idx="37">
                  <c:v>0.396380101034109</c:v>
                </c:pt>
                <c:pt idx="38">
                  <c:v>0.399139577152042</c:v>
                </c:pt>
                <c:pt idx="39">
                  <c:v>0.413502055609025</c:v>
                </c:pt>
                <c:pt idx="40">
                  <c:v>0.4183283125337</c:v>
                </c:pt>
                <c:pt idx="41">
                  <c:v>0.408054168449113</c:v>
                </c:pt>
                <c:pt idx="42">
                  <c:v>0.408054168449113</c:v>
                </c:pt>
                <c:pt idx="43">
                  <c:v>0.408054168449113</c:v>
                </c:pt>
                <c:pt idx="44">
                  <c:v>0.413054168449113</c:v>
                </c:pt>
                <c:pt idx="45">
                  <c:v>0.418054168449113</c:v>
                </c:pt>
              </c:numCache>
            </c:numRef>
          </c:val>
          <c:smooth val="0"/>
        </c:ser>
        <c:ser>
          <c:idx val="1"/>
          <c:order val="1"/>
          <c:tx>
            <c:v>Industrie</c:v>
          </c:tx>
          <c:spPr>
            <a:ln w="25400">
              <a:solidFill>
                <a:schemeClr val="tx1"/>
              </a:solidFill>
            </a:ln>
            <a:effectLst/>
          </c:spPr>
          <c:marker>
            <c:symbol val="diamond"/>
            <c:size val="10"/>
            <c:spPr>
              <a:solidFill>
                <a:schemeClr val="bg1"/>
              </a:solidFill>
              <a:ln>
                <a:solidFill>
                  <a:schemeClr val="tx1"/>
                </a:solidFill>
              </a:ln>
              <a:effectLst/>
            </c:spPr>
          </c:marker>
          <c:cat>
            <c:numRef>
              <c:f>'Data-Fig5'!$A$2:$A$47</c:f>
              <c:numCache>
                <c:formatCode>General</c:formatCode>
                <c:ptCount val="46"/>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pt idx="44">
                  <c:v>2014.0</c:v>
                </c:pt>
                <c:pt idx="45">
                  <c:v>2015.0</c:v>
                </c:pt>
              </c:numCache>
            </c:numRef>
          </c:cat>
          <c:val>
            <c:numRef>
              <c:f>'Data-Fig5'!$C$2:$C$47</c:f>
              <c:numCache>
                <c:formatCode>0%</c:formatCode>
                <c:ptCount val="46"/>
                <c:pt idx="0">
                  <c:v>0.450128176595486</c:v>
                </c:pt>
                <c:pt idx="1">
                  <c:v>0.390530997197539</c:v>
                </c:pt>
                <c:pt idx="2">
                  <c:v>0.362508885397733</c:v>
                </c:pt>
                <c:pt idx="3">
                  <c:v>0.392114042011473</c:v>
                </c:pt>
                <c:pt idx="4">
                  <c:v>0.412945219918096</c:v>
                </c:pt>
                <c:pt idx="5">
                  <c:v>0.278334338931757</c:v>
                </c:pt>
                <c:pt idx="6">
                  <c:v>0.29064718741234</c:v>
                </c:pt>
                <c:pt idx="7">
                  <c:v>0.259206746277734</c:v>
                </c:pt>
                <c:pt idx="8">
                  <c:v>0.268563038519489</c:v>
                </c:pt>
                <c:pt idx="9">
                  <c:v>0.28289279754718</c:v>
                </c:pt>
                <c:pt idx="10">
                  <c:v>0.279250495249455</c:v>
                </c:pt>
                <c:pt idx="11">
                  <c:v>0.264206992764144</c:v>
                </c:pt>
                <c:pt idx="12">
                  <c:v>0.239896428727148</c:v>
                </c:pt>
                <c:pt idx="13">
                  <c:v>0.218481511676271</c:v>
                </c:pt>
                <c:pt idx="14">
                  <c:v>0.237873228866501</c:v>
                </c:pt>
                <c:pt idx="15">
                  <c:v>0.242142905780951</c:v>
                </c:pt>
                <c:pt idx="16">
                  <c:v>0.245362835241594</c:v>
                </c:pt>
                <c:pt idx="17">
                  <c:v>0.221810872121224</c:v>
                </c:pt>
                <c:pt idx="18">
                  <c:v>0.226556649103152</c:v>
                </c:pt>
                <c:pt idx="19">
                  <c:v>0.243443128922378</c:v>
                </c:pt>
                <c:pt idx="20">
                  <c:v>0.222278289011523</c:v>
                </c:pt>
                <c:pt idx="21">
                  <c:v>0.19186689125642</c:v>
                </c:pt>
                <c:pt idx="22">
                  <c:v>0.181027108647606</c:v>
                </c:pt>
                <c:pt idx="23">
                  <c:v>0.173927055498812</c:v>
                </c:pt>
                <c:pt idx="24">
                  <c:v>0.157006871805972</c:v>
                </c:pt>
                <c:pt idx="25">
                  <c:v>0.152732378298927</c:v>
                </c:pt>
                <c:pt idx="26">
                  <c:v>0.140694437661767</c:v>
                </c:pt>
                <c:pt idx="27">
                  <c:v>0.147037506181035</c:v>
                </c:pt>
                <c:pt idx="28">
                  <c:v>0.146238182353167</c:v>
                </c:pt>
                <c:pt idx="29">
                  <c:v>0.128706373335427</c:v>
                </c:pt>
                <c:pt idx="30">
                  <c:v>0.126130028435439</c:v>
                </c:pt>
                <c:pt idx="31">
                  <c:v>0.124293395156119</c:v>
                </c:pt>
                <c:pt idx="32">
                  <c:v>0.117160735672308</c:v>
                </c:pt>
                <c:pt idx="33">
                  <c:v>0.115461752326192</c:v>
                </c:pt>
                <c:pt idx="34">
                  <c:v>0.113924050632911</c:v>
                </c:pt>
                <c:pt idx="35">
                  <c:v>0.105524631278788</c:v>
                </c:pt>
                <c:pt idx="36">
                  <c:v>0.0978694027653267</c:v>
                </c:pt>
                <c:pt idx="37">
                  <c:v>0.106119720413759</c:v>
                </c:pt>
                <c:pt idx="38">
                  <c:v>0.0883671004212361</c:v>
                </c:pt>
                <c:pt idx="39">
                  <c:v>0.0664645329231497</c:v>
                </c:pt>
                <c:pt idx="40">
                  <c:v>0.0728449832062405</c:v>
                </c:pt>
                <c:pt idx="41">
                  <c:v>0.0777483905094892</c:v>
                </c:pt>
                <c:pt idx="42">
                  <c:v>0.0777483905094892</c:v>
                </c:pt>
                <c:pt idx="43">
                  <c:v>0.0777483905094892</c:v>
                </c:pt>
                <c:pt idx="44">
                  <c:v>0.0727483905094892</c:v>
                </c:pt>
                <c:pt idx="45">
                  <c:v>0.0677483905094892</c:v>
                </c:pt>
              </c:numCache>
            </c:numRef>
          </c:val>
          <c:smooth val="0"/>
        </c:ser>
        <c:dLbls>
          <c:showLegendKey val="0"/>
          <c:showVal val="0"/>
          <c:showCatName val="0"/>
          <c:showSerName val="0"/>
          <c:showPercent val="0"/>
          <c:showBubbleSize val="0"/>
        </c:dLbls>
        <c:marker val="1"/>
        <c:smooth val="0"/>
        <c:axId val="2114165288"/>
        <c:axId val="2114159400"/>
      </c:lineChart>
      <c:catAx>
        <c:axId val="2114165288"/>
        <c:scaling>
          <c:orientation val="minMax"/>
        </c:scaling>
        <c:delete val="0"/>
        <c:axPos val="b"/>
        <c:numFmt formatCode="General" sourceLinked="1"/>
        <c:majorTickMark val="out"/>
        <c:minorTickMark val="none"/>
        <c:tickLblPos val="nextTo"/>
        <c:txPr>
          <a:bodyPr/>
          <a:lstStyle/>
          <a:p>
            <a:pPr>
              <a:defRPr sz="1800">
                <a:latin typeface="Arial"/>
                <a:cs typeface="Arial"/>
              </a:defRPr>
            </a:pPr>
            <a:endParaRPr lang="en-US"/>
          </a:p>
        </c:txPr>
        <c:crossAx val="2114159400"/>
        <c:crosses val="autoZero"/>
        <c:auto val="1"/>
        <c:lblAlgn val="ctr"/>
        <c:lblOffset val="100"/>
        <c:tickLblSkip val="5"/>
        <c:tickMarkSkip val="5"/>
        <c:noMultiLvlLbl val="0"/>
      </c:catAx>
      <c:valAx>
        <c:axId val="2114159400"/>
        <c:scaling>
          <c:orientation val="minMax"/>
        </c:scaling>
        <c:delete val="0"/>
        <c:axPos val="l"/>
        <c:numFmt formatCode="0%" sourceLinked="0"/>
        <c:majorTickMark val="out"/>
        <c:minorTickMark val="none"/>
        <c:tickLblPos val="nextTo"/>
        <c:txPr>
          <a:bodyPr/>
          <a:lstStyle/>
          <a:p>
            <a:pPr>
              <a:defRPr sz="1800">
                <a:latin typeface="Arial"/>
                <a:cs typeface="Arial"/>
              </a:defRPr>
            </a:pPr>
            <a:endParaRPr lang="en-US"/>
          </a:p>
        </c:txPr>
        <c:crossAx val="2114165288"/>
        <c:crossesAt val="1.0"/>
        <c:crossBetween val="between"/>
        <c:majorUnit val="0.1"/>
      </c:valAx>
      <c:spPr>
        <a:noFill/>
        <a:ln w="25400">
          <a:no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tabSelected="1" workbookViewId="0"/>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4294967292" verticalDpi="4294967292"/>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4294967292" verticalDpi="4294967292"/>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0.21793</cdr:x>
      <cdr:y>0.64128</cdr:y>
    </cdr:from>
    <cdr:to>
      <cdr:x>0.48921</cdr:x>
      <cdr:y>0.70017</cdr:y>
    </cdr:to>
    <cdr:sp macro="" textlink="">
      <cdr:nvSpPr>
        <cdr:cNvPr id="4" name="Rectangle 3"/>
        <cdr:cNvSpPr/>
      </cdr:nvSpPr>
      <cdr:spPr>
        <a:xfrm xmlns:a="http://schemas.openxmlformats.org/drawingml/2006/main">
          <a:off x="1868189" y="3738187"/>
          <a:ext cx="2325548" cy="3432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Macro</a:t>
          </a:r>
          <a:r>
            <a:rPr lang="fr-FR" sz="1600" baseline="0">
              <a:solidFill>
                <a:schemeClr val="accent2">
                  <a:lumMod val="75000"/>
                </a:schemeClr>
              </a:solidFill>
              <a:effectLst/>
              <a:latin typeface="Arial"/>
              <a:cs typeface="Arial"/>
            </a:rPr>
            <a:t> average: 2.9%</a:t>
          </a:r>
          <a:endParaRPr lang="fr-FR" sz="1600">
            <a:solidFill>
              <a:schemeClr val="accent2">
                <a:lumMod val="75000"/>
              </a:schemeClr>
            </a:solidFill>
            <a:effectLst/>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0.21793</cdr:x>
      <cdr:y>0.64128</cdr:y>
    </cdr:from>
    <cdr:to>
      <cdr:x>0.54519</cdr:x>
      <cdr:y>0.70017</cdr:y>
    </cdr:to>
    <cdr:sp macro="" textlink="">
      <cdr:nvSpPr>
        <cdr:cNvPr id="4" name="Rectangle 3"/>
        <cdr:cNvSpPr/>
      </cdr:nvSpPr>
      <cdr:spPr>
        <a:xfrm xmlns:a="http://schemas.openxmlformats.org/drawingml/2006/main">
          <a:off x="1868204" y="3738214"/>
          <a:ext cx="2805395" cy="3432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Moyenne</a:t>
          </a:r>
          <a:r>
            <a:rPr lang="fr-FR" sz="1600" baseline="0">
              <a:solidFill>
                <a:schemeClr val="accent2">
                  <a:lumMod val="75000"/>
                </a:schemeClr>
              </a:solidFill>
              <a:effectLst/>
              <a:latin typeface="Arial"/>
              <a:cs typeface="Arial"/>
            </a:rPr>
            <a:t> d'ensemble: 2.9%</a:t>
          </a:r>
          <a:endParaRPr lang="fr-FR" sz="1600">
            <a:solidFill>
              <a:schemeClr val="accent2">
                <a:lumMod val="75000"/>
              </a:schemeClr>
            </a:solidFill>
            <a:effectLst/>
            <a:latin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0.47448</cdr:x>
      <cdr:y>0.19005</cdr:y>
    </cdr:from>
    <cdr:to>
      <cdr:x>0.52915</cdr:x>
      <cdr:y>0.36105</cdr:y>
    </cdr:to>
    <cdr:sp macro="" textlink="">
      <cdr:nvSpPr>
        <cdr:cNvPr id="2" name="Line 1"/>
        <cdr:cNvSpPr>
          <a:spLocks xmlns:a="http://schemas.openxmlformats.org/drawingml/2006/main" noChangeShapeType="1"/>
        </cdr:cNvSpPr>
      </cdr:nvSpPr>
      <cdr:spPr bwMode="auto">
        <a:xfrm xmlns:a="http://schemas.openxmlformats.org/drawingml/2006/main">
          <a:off x="4368800" y="1066800"/>
          <a:ext cx="503326" cy="95994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0.38621</cdr:x>
      <cdr:y>0.53846</cdr:y>
    </cdr:from>
    <cdr:to>
      <cdr:x>0.47034</cdr:x>
      <cdr:y>0.69231</cdr:y>
    </cdr:to>
    <cdr:sp macro="" textlink="">
      <cdr:nvSpPr>
        <cdr:cNvPr id="3" name="Line 1"/>
        <cdr:cNvSpPr>
          <a:spLocks xmlns:a="http://schemas.openxmlformats.org/drawingml/2006/main" noChangeShapeType="1"/>
        </cdr:cNvSpPr>
      </cdr:nvSpPr>
      <cdr:spPr bwMode="auto">
        <a:xfrm xmlns:a="http://schemas.openxmlformats.org/drawingml/2006/main" flipV="1">
          <a:off x="3556000" y="3022600"/>
          <a:ext cx="774700" cy="8636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0.30621</cdr:x>
      <cdr:y>0.07692</cdr:y>
    </cdr:from>
    <cdr:to>
      <cdr:x>0.66621</cdr:x>
      <cdr:y>0.1991</cdr:y>
    </cdr:to>
    <cdr:sp macro="" textlink="">
      <cdr:nvSpPr>
        <cdr:cNvPr id="4" name="Oval 5"/>
        <cdr:cNvSpPr>
          <a:spLocks xmlns:a="http://schemas.openxmlformats.org/drawingml/2006/main" noChangeArrowheads="1"/>
        </cdr:cNvSpPr>
      </cdr:nvSpPr>
      <cdr:spPr bwMode="auto">
        <a:xfrm xmlns:a="http://schemas.openxmlformats.org/drawingml/2006/main">
          <a:off x="2819400" y="431800"/>
          <a:ext cx="3314700" cy="685800"/>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1800" b="0" i="0" u="none" strike="noStrike" baseline="0">
              <a:solidFill>
                <a:srgbClr val="000000"/>
              </a:solidFill>
              <a:latin typeface="Arial"/>
              <a:ea typeface="Arial"/>
              <a:cs typeface="Arial"/>
            </a:rPr>
            <a:t>Accounts held through shell corporations</a:t>
          </a:r>
        </a:p>
      </cdr:txBody>
    </cdr:sp>
  </cdr:relSizeAnchor>
  <cdr:relSizeAnchor xmlns:cdr="http://schemas.openxmlformats.org/drawingml/2006/chartDrawing">
    <cdr:from>
      <cdr:x>0.18345</cdr:x>
      <cdr:y>0.67195</cdr:y>
    </cdr:from>
    <cdr:to>
      <cdr:x>0.68138</cdr:x>
      <cdr:y>0.80995</cdr:y>
    </cdr:to>
    <cdr:sp macro="" textlink="">
      <cdr:nvSpPr>
        <cdr:cNvPr id="5" name="Oval 5"/>
        <cdr:cNvSpPr>
          <a:spLocks xmlns:a="http://schemas.openxmlformats.org/drawingml/2006/main" noChangeArrowheads="1"/>
        </cdr:cNvSpPr>
      </cdr:nvSpPr>
      <cdr:spPr bwMode="auto">
        <a:xfrm xmlns:a="http://schemas.openxmlformats.org/drawingml/2006/main">
          <a:off x="1689100" y="3771900"/>
          <a:ext cx="4584700" cy="774700"/>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1800" b="0" i="0" u="none" strike="noStrike" baseline="0">
              <a:solidFill>
                <a:srgbClr val="000000"/>
              </a:solidFill>
              <a:latin typeface="Arial"/>
              <a:ea typeface="Arial"/>
              <a:cs typeface="Arial"/>
            </a:rPr>
            <a:t>Accounts directly held by Europeans </a:t>
          </a:r>
        </a:p>
      </cdr:txBody>
    </cdr:sp>
  </cdr:relSizeAnchor>
  <cdr:relSizeAnchor xmlns:cdr="http://schemas.openxmlformats.org/drawingml/2006/chartDrawing">
    <cdr:from>
      <cdr:x>0.67724</cdr:x>
      <cdr:y>0.03619</cdr:y>
    </cdr:from>
    <cdr:to>
      <cdr:x>0.67862</cdr:x>
      <cdr:y>0.9095</cdr:y>
    </cdr:to>
    <cdr:sp macro="" textlink="">
      <cdr:nvSpPr>
        <cdr:cNvPr id="6" name="Line 1"/>
        <cdr:cNvSpPr>
          <a:spLocks xmlns:a="http://schemas.openxmlformats.org/drawingml/2006/main" noChangeShapeType="1"/>
        </cdr:cNvSpPr>
      </cdr:nvSpPr>
      <cdr:spPr bwMode="auto">
        <a:xfrm xmlns:a="http://schemas.openxmlformats.org/drawingml/2006/main">
          <a:off x="6235681" y="203176"/>
          <a:ext cx="12706" cy="4902239"/>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prstDash val="dash"/>
          <a:round/>
          <a:headEnd/>
          <a:tailEnd type="non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0.67034</cdr:x>
      <cdr:y>0.37783</cdr:y>
    </cdr:from>
    <cdr:to>
      <cdr:x>0.8662</cdr:x>
      <cdr:y>0.51132</cdr:y>
    </cdr:to>
    <cdr:sp macro="" textlink="">
      <cdr:nvSpPr>
        <cdr:cNvPr id="8" name="Oval 5"/>
        <cdr:cNvSpPr>
          <a:spLocks xmlns:a="http://schemas.openxmlformats.org/drawingml/2006/main" noChangeArrowheads="1"/>
        </cdr:cNvSpPr>
      </cdr:nvSpPr>
      <cdr:spPr bwMode="auto">
        <a:xfrm xmlns:a="http://schemas.openxmlformats.org/drawingml/2006/main">
          <a:off x="6172190" y="2120883"/>
          <a:ext cx="1803381" cy="749333"/>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1800" b="0" i="0" u="none" strike="noStrike" baseline="0">
              <a:solidFill>
                <a:srgbClr val="000000"/>
              </a:solidFill>
              <a:latin typeface="Arial"/>
              <a:ea typeface="Arial"/>
              <a:cs typeface="Arial"/>
            </a:rPr>
            <a:t>EU Saving Tax Directive</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0.47448</cdr:x>
      <cdr:y>0.19005</cdr:y>
    </cdr:from>
    <cdr:to>
      <cdr:x>0.52915</cdr:x>
      <cdr:y>0.36105</cdr:y>
    </cdr:to>
    <cdr:sp macro="" textlink="">
      <cdr:nvSpPr>
        <cdr:cNvPr id="2" name="Line 1"/>
        <cdr:cNvSpPr>
          <a:spLocks xmlns:a="http://schemas.openxmlformats.org/drawingml/2006/main" noChangeShapeType="1"/>
        </cdr:cNvSpPr>
      </cdr:nvSpPr>
      <cdr:spPr bwMode="auto">
        <a:xfrm xmlns:a="http://schemas.openxmlformats.org/drawingml/2006/main">
          <a:off x="4368800" y="1066800"/>
          <a:ext cx="503326" cy="95994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0.38621</cdr:x>
      <cdr:y>0.53846</cdr:y>
    </cdr:from>
    <cdr:to>
      <cdr:x>0.47034</cdr:x>
      <cdr:y>0.69231</cdr:y>
    </cdr:to>
    <cdr:sp macro="" textlink="">
      <cdr:nvSpPr>
        <cdr:cNvPr id="3" name="Line 1"/>
        <cdr:cNvSpPr>
          <a:spLocks xmlns:a="http://schemas.openxmlformats.org/drawingml/2006/main" noChangeShapeType="1"/>
        </cdr:cNvSpPr>
      </cdr:nvSpPr>
      <cdr:spPr bwMode="auto">
        <a:xfrm xmlns:a="http://schemas.openxmlformats.org/drawingml/2006/main" flipV="1">
          <a:off x="3556000" y="3022600"/>
          <a:ext cx="774700" cy="8636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0.30621</cdr:x>
      <cdr:y>0.07692</cdr:y>
    </cdr:from>
    <cdr:to>
      <cdr:x>0.66621</cdr:x>
      <cdr:y>0.1991</cdr:y>
    </cdr:to>
    <cdr:sp macro="" textlink="">
      <cdr:nvSpPr>
        <cdr:cNvPr id="4" name="Oval 5"/>
        <cdr:cNvSpPr>
          <a:spLocks xmlns:a="http://schemas.openxmlformats.org/drawingml/2006/main" noChangeArrowheads="1"/>
        </cdr:cNvSpPr>
      </cdr:nvSpPr>
      <cdr:spPr bwMode="auto">
        <a:xfrm xmlns:a="http://schemas.openxmlformats.org/drawingml/2006/main">
          <a:off x="2819400" y="431800"/>
          <a:ext cx="3314700" cy="685800"/>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1800" b="0" i="0" u="none" strike="noStrike" baseline="0">
              <a:solidFill>
                <a:srgbClr val="000000"/>
              </a:solidFill>
              <a:latin typeface="Arial"/>
              <a:ea typeface="Arial"/>
              <a:cs typeface="Arial"/>
            </a:rPr>
            <a:t>Avoirs détenus via des sociétés-écran</a:t>
          </a:r>
        </a:p>
      </cdr:txBody>
    </cdr:sp>
  </cdr:relSizeAnchor>
  <cdr:relSizeAnchor xmlns:cdr="http://schemas.openxmlformats.org/drawingml/2006/chartDrawing">
    <cdr:from>
      <cdr:x>0.18345</cdr:x>
      <cdr:y>0.67195</cdr:y>
    </cdr:from>
    <cdr:to>
      <cdr:x>0.68138</cdr:x>
      <cdr:y>0.80995</cdr:y>
    </cdr:to>
    <cdr:sp macro="" textlink="">
      <cdr:nvSpPr>
        <cdr:cNvPr id="5" name="Oval 5"/>
        <cdr:cNvSpPr>
          <a:spLocks xmlns:a="http://schemas.openxmlformats.org/drawingml/2006/main" noChangeArrowheads="1"/>
        </cdr:cNvSpPr>
      </cdr:nvSpPr>
      <cdr:spPr bwMode="auto">
        <a:xfrm xmlns:a="http://schemas.openxmlformats.org/drawingml/2006/main">
          <a:off x="1689100" y="3771900"/>
          <a:ext cx="4584700" cy="774700"/>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1800" b="0" i="0" u="none" strike="noStrike" baseline="0">
              <a:solidFill>
                <a:srgbClr val="000000"/>
              </a:solidFill>
              <a:latin typeface="Arial"/>
              <a:ea typeface="Arial"/>
              <a:cs typeface="Arial"/>
            </a:rPr>
            <a:t>Avoirs détenus par des Européens en leur nom propre</a:t>
          </a:r>
        </a:p>
      </cdr:txBody>
    </cdr:sp>
  </cdr:relSizeAnchor>
  <cdr:relSizeAnchor xmlns:cdr="http://schemas.openxmlformats.org/drawingml/2006/chartDrawing">
    <cdr:from>
      <cdr:x>0.67724</cdr:x>
      <cdr:y>0.03619</cdr:y>
    </cdr:from>
    <cdr:to>
      <cdr:x>0.67862</cdr:x>
      <cdr:y>0.9095</cdr:y>
    </cdr:to>
    <cdr:sp macro="" textlink="">
      <cdr:nvSpPr>
        <cdr:cNvPr id="6" name="Line 1"/>
        <cdr:cNvSpPr>
          <a:spLocks xmlns:a="http://schemas.openxmlformats.org/drawingml/2006/main" noChangeShapeType="1"/>
        </cdr:cNvSpPr>
      </cdr:nvSpPr>
      <cdr:spPr bwMode="auto">
        <a:xfrm xmlns:a="http://schemas.openxmlformats.org/drawingml/2006/main">
          <a:off x="6235681" y="203176"/>
          <a:ext cx="12706" cy="4902239"/>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prstDash val="dash"/>
          <a:round/>
          <a:headEnd/>
          <a:tailEnd type="non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0.65241</cdr:x>
      <cdr:y>0.38235</cdr:y>
    </cdr:from>
    <cdr:to>
      <cdr:x>0.92966</cdr:x>
      <cdr:y>0.51584</cdr:y>
    </cdr:to>
    <cdr:sp macro="" textlink="">
      <cdr:nvSpPr>
        <cdr:cNvPr id="8" name="Oval 5"/>
        <cdr:cNvSpPr>
          <a:spLocks xmlns:a="http://schemas.openxmlformats.org/drawingml/2006/main" noChangeArrowheads="1"/>
        </cdr:cNvSpPr>
      </cdr:nvSpPr>
      <cdr:spPr bwMode="auto">
        <a:xfrm xmlns:a="http://schemas.openxmlformats.org/drawingml/2006/main">
          <a:off x="6007056" y="2146311"/>
          <a:ext cx="2552744" cy="749333"/>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1800" b="0" i="0" u="none" strike="noStrike" baseline="0">
              <a:solidFill>
                <a:srgbClr val="000000"/>
              </a:solidFill>
              <a:latin typeface="Arial"/>
              <a:ea typeface="Arial"/>
              <a:cs typeface="Arial"/>
            </a:rPr>
            <a:t>Directive épargne de l'UE</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0.58069</cdr:x>
      <cdr:y>0.11991</cdr:y>
    </cdr:from>
    <cdr:to>
      <cdr:x>0.71694</cdr:x>
      <cdr:y>0.18778</cdr:y>
    </cdr:to>
    <cdr:sp macro="" textlink="">
      <cdr:nvSpPr>
        <cdr:cNvPr id="10" name="Rectangle 9"/>
        <cdr:cNvSpPr/>
      </cdr:nvSpPr>
      <cdr:spPr>
        <a:xfrm xmlns:a="http://schemas.openxmlformats.org/drawingml/2006/main">
          <a:off x="5346701" y="673107"/>
          <a:ext cx="1254516"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2000">
              <a:solidFill>
                <a:schemeClr val="tx1"/>
              </a:solidFill>
              <a:latin typeface="Arial"/>
              <a:cs typeface="Arial"/>
            </a:rPr>
            <a:t>Finance</a:t>
          </a:r>
        </a:p>
      </cdr:txBody>
    </cdr:sp>
  </cdr:relSizeAnchor>
  <cdr:relSizeAnchor xmlns:cdr="http://schemas.openxmlformats.org/drawingml/2006/chartDrawing">
    <cdr:from>
      <cdr:x>0.73069</cdr:x>
      <cdr:y>0.54977</cdr:y>
    </cdr:from>
    <cdr:to>
      <cdr:x>0.85615</cdr:x>
      <cdr:y>0.62217</cdr:y>
    </cdr:to>
    <cdr:sp macro="" textlink="">
      <cdr:nvSpPr>
        <cdr:cNvPr id="11" name="Rectangle 10"/>
        <cdr:cNvSpPr/>
      </cdr:nvSpPr>
      <cdr:spPr>
        <a:xfrm xmlns:a="http://schemas.openxmlformats.org/drawingml/2006/main">
          <a:off x="6727844" y="3086085"/>
          <a:ext cx="1155173" cy="4064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1"/>
              </a:solidFill>
              <a:latin typeface="Arial"/>
              <a:cs typeface="Arial"/>
            </a:rPr>
            <a:t>Industry</a:t>
          </a:r>
        </a:p>
      </cdr:txBody>
    </cdr:sp>
  </cdr:relSizeAnchor>
  <cdr:relSizeAnchor xmlns:cdr="http://schemas.openxmlformats.org/drawingml/2006/chartDrawing">
    <cdr:from>
      <cdr:x>0.67172</cdr:x>
      <cdr:y>0.19457</cdr:y>
    </cdr:from>
    <cdr:to>
      <cdr:x>0.69329</cdr:x>
      <cdr:y>0.25697</cdr:y>
    </cdr:to>
    <cdr:sp macro="" textlink="">
      <cdr:nvSpPr>
        <cdr:cNvPr id="4" name="Line 1"/>
        <cdr:cNvSpPr>
          <a:spLocks xmlns:a="http://schemas.openxmlformats.org/drawingml/2006/main" noChangeShapeType="1"/>
        </cdr:cNvSpPr>
      </cdr:nvSpPr>
      <cdr:spPr bwMode="auto">
        <a:xfrm xmlns:a="http://schemas.openxmlformats.org/drawingml/2006/main">
          <a:off x="6184900" y="1092200"/>
          <a:ext cx="198574" cy="35029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0.67034</cdr:x>
      <cdr:y>0.60181</cdr:y>
    </cdr:from>
    <cdr:to>
      <cdr:x>0.72276</cdr:x>
      <cdr:y>0.63348</cdr:y>
    </cdr:to>
    <cdr:sp macro="" textlink="">
      <cdr:nvSpPr>
        <cdr:cNvPr id="5" name="Line 1"/>
        <cdr:cNvSpPr>
          <a:spLocks xmlns:a="http://schemas.openxmlformats.org/drawingml/2006/main" noChangeShapeType="1"/>
        </cdr:cNvSpPr>
      </cdr:nvSpPr>
      <cdr:spPr bwMode="auto">
        <a:xfrm xmlns:a="http://schemas.openxmlformats.org/drawingml/2006/main" flipH="1">
          <a:off x="6172200" y="3378201"/>
          <a:ext cx="482600" cy="17779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0.66748</cdr:x>
      <cdr:y>0.53326</cdr:y>
    </cdr:from>
    <cdr:to>
      <cdr:x>0.95408</cdr:x>
      <cdr:y>0.63281</cdr:y>
    </cdr:to>
    <cdr:sp macro="" textlink="">
      <cdr:nvSpPr>
        <cdr:cNvPr id="2" name="Oval 5"/>
        <cdr:cNvSpPr>
          <a:spLocks xmlns:a="http://schemas.openxmlformats.org/drawingml/2006/main" noChangeArrowheads="1"/>
        </cdr:cNvSpPr>
      </cdr:nvSpPr>
      <cdr:spPr bwMode="auto">
        <a:xfrm xmlns:a="http://schemas.openxmlformats.org/drawingml/2006/main">
          <a:off x="5721931" y="3108543"/>
          <a:ext cx="2456879" cy="580307"/>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2000" b="0" i="0" u="none" strike="noStrike" baseline="0">
              <a:solidFill>
                <a:srgbClr val="000000"/>
              </a:solidFill>
              <a:latin typeface="Arial"/>
              <a:ea typeface="Arial"/>
              <a:cs typeface="Arial"/>
            </a:rPr>
            <a:t>In Switzerland</a:t>
          </a:r>
        </a:p>
      </cdr:txBody>
    </cdr:sp>
  </cdr:relSizeAnchor>
  <cdr:relSizeAnchor xmlns:cdr="http://schemas.openxmlformats.org/drawingml/2006/chartDrawing">
    <cdr:from>
      <cdr:x>0.47892</cdr:x>
      <cdr:y>0.21426</cdr:y>
    </cdr:from>
    <cdr:to>
      <cdr:x>0.77548</cdr:x>
      <cdr:y>0.31381</cdr:y>
    </cdr:to>
    <cdr:sp macro="" textlink="">
      <cdr:nvSpPr>
        <cdr:cNvPr id="4" name="Oval 5"/>
        <cdr:cNvSpPr>
          <a:spLocks xmlns:a="http://schemas.openxmlformats.org/drawingml/2006/main" noChangeArrowheads="1"/>
        </cdr:cNvSpPr>
      </cdr:nvSpPr>
      <cdr:spPr bwMode="auto">
        <a:xfrm xmlns:a="http://schemas.openxmlformats.org/drawingml/2006/main">
          <a:off x="4105567" y="1248983"/>
          <a:ext cx="2542261" cy="580307"/>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2000" b="0" i="0" u="none" strike="noStrike" baseline="0">
              <a:solidFill>
                <a:srgbClr val="000000"/>
              </a:solidFill>
              <a:latin typeface="Arial"/>
              <a:ea typeface="Arial"/>
              <a:cs typeface="Arial"/>
            </a:rPr>
            <a:t>In all tax havens</a:t>
          </a:r>
        </a:p>
      </cdr:txBody>
    </cdr:sp>
  </cdr:relSizeAnchor>
</c:userShapes>
</file>

<file path=xl/drawings/drawing20.xml><?xml version="1.0" encoding="utf-8"?>
<c:userShapes xmlns:c="http://schemas.openxmlformats.org/drawingml/2006/chart">
  <cdr:relSizeAnchor xmlns:cdr="http://schemas.openxmlformats.org/drawingml/2006/chartDrawing">
    <cdr:from>
      <cdr:x>0.58069</cdr:x>
      <cdr:y>0.11991</cdr:y>
    </cdr:from>
    <cdr:to>
      <cdr:x>0.71694</cdr:x>
      <cdr:y>0.18778</cdr:y>
    </cdr:to>
    <cdr:sp macro="" textlink="">
      <cdr:nvSpPr>
        <cdr:cNvPr id="10" name="Rectangle 9"/>
        <cdr:cNvSpPr/>
      </cdr:nvSpPr>
      <cdr:spPr>
        <a:xfrm xmlns:a="http://schemas.openxmlformats.org/drawingml/2006/main">
          <a:off x="5346701" y="673107"/>
          <a:ext cx="1254516"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2000">
              <a:solidFill>
                <a:schemeClr val="tx1"/>
              </a:solidFill>
              <a:latin typeface="Arial"/>
              <a:cs typeface="Arial"/>
            </a:rPr>
            <a:t>Finance</a:t>
          </a:r>
        </a:p>
      </cdr:txBody>
    </cdr:sp>
  </cdr:relSizeAnchor>
  <cdr:relSizeAnchor xmlns:cdr="http://schemas.openxmlformats.org/drawingml/2006/chartDrawing">
    <cdr:from>
      <cdr:x>0.73069</cdr:x>
      <cdr:y>0.54977</cdr:y>
    </cdr:from>
    <cdr:to>
      <cdr:x>0.88138</cdr:x>
      <cdr:y>0.62217</cdr:y>
    </cdr:to>
    <cdr:sp macro="" textlink="">
      <cdr:nvSpPr>
        <cdr:cNvPr id="11" name="Rectangle 10"/>
        <cdr:cNvSpPr/>
      </cdr:nvSpPr>
      <cdr:spPr>
        <a:xfrm xmlns:a="http://schemas.openxmlformats.org/drawingml/2006/main">
          <a:off x="6727828" y="3086079"/>
          <a:ext cx="1387472" cy="4064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1"/>
              </a:solidFill>
              <a:latin typeface="Arial"/>
              <a:cs typeface="Arial"/>
            </a:rPr>
            <a:t>Industrie</a:t>
          </a:r>
        </a:p>
      </cdr:txBody>
    </cdr:sp>
  </cdr:relSizeAnchor>
  <cdr:relSizeAnchor xmlns:cdr="http://schemas.openxmlformats.org/drawingml/2006/chartDrawing">
    <cdr:from>
      <cdr:x>0.67172</cdr:x>
      <cdr:y>0.19457</cdr:y>
    </cdr:from>
    <cdr:to>
      <cdr:x>0.69329</cdr:x>
      <cdr:y>0.25697</cdr:y>
    </cdr:to>
    <cdr:sp macro="" textlink="">
      <cdr:nvSpPr>
        <cdr:cNvPr id="4" name="Line 1"/>
        <cdr:cNvSpPr>
          <a:spLocks xmlns:a="http://schemas.openxmlformats.org/drawingml/2006/main" noChangeShapeType="1"/>
        </cdr:cNvSpPr>
      </cdr:nvSpPr>
      <cdr:spPr bwMode="auto">
        <a:xfrm xmlns:a="http://schemas.openxmlformats.org/drawingml/2006/main">
          <a:off x="6184900" y="1092200"/>
          <a:ext cx="198574" cy="35029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0.67034</cdr:x>
      <cdr:y>0.60181</cdr:y>
    </cdr:from>
    <cdr:to>
      <cdr:x>0.72276</cdr:x>
      <cdr:y>0.63348</cdr:y>
    </cdr:to>
    <cdr:sp macro="" textlink="">
      <cdr:nvSpPr>
        <cdr:cNvPr id="5" name="Line 1"/>
        <cdr:cNvSpPr>
          <a:spLocks xmlns:a="http://schemas.openxmlformats.org/drawingml/2006/main" noChangeShapeType="1"/>
        </cdr:cNvSpPr>
      </cdr:nvSpPr>
      <cdr:spPr bwMode="auto">
        <a:xfrm xmlns:a="http://schemas.openxmlformats.org/drawingml/2006/main" flipH="1">
          <a:off x="6172200" y="3378201"/>
          <a:ext cx="482600" cy="17779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userShapes>
</file>

<file path=xl/drawings/drawing21.xml><?xml version="1.0" encoding="utf-8"?>
<xdr:wsDr xmlns:xdr="http://schemas.openxmlformats.org/drawingml/2006/spreadsheetDrawing" xmlns:a="http://schemas.openxmlformats.org/drawingml/2006/main">
  <xdr:twoCellAnchor>
    <xdr:from>
      <xdr:col>5</xdr:col>
      <xdr:colOff>12700</xdr:colOff>
      <xdr:row>27</xdr:row>
      <xdr:rowOff>0</xdr:rowOff>
    </xdr:from>
    <xdr:to>
      <xdr:col>6</xdr:col>
      <xdr:colOff>0</xdr:colOff>
      <xdr:row>36</xdr:row>
      <xdr:rowOff>12700</xdr:rowOff>
    </xdr:to>
    <xdr:sp macro="" textlink="">
      <xdr:nvSpPr>
        <xdr:cNvPr id="2" name="Line 1"/>
        <xdr:cNvSpPr>
          <a:spLocks noChangeShapeType="1"/>
        </xdr:cNvSpPr>
      </xdr:nvSpPr>
      <xdr:spPr bwMode="auto">
        <a:xfrm>
          <a:off x="6832600" y="5664200"/>
          <a:ext cx="1041400" cy="184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20</xdr:row>
      <xdr:rowOff>25400</xdr:rowOff>
    </xdr:from>
    <xdr:to>
      <xdr:col>3</xdr:col>
      <xdr:colOff>558800</xdr:colOff>
      <xdr:row>20</xdr:row>
      <xdr:rowOff>25400</xdr:rowOff>
    </xdr:to>
    <xdr:sp macro="" textlink="">
      <xdr:nvSpPr>
        <xdr:cNvPr id="3" name="Line 1"/>
        <xdr:cNvSpPr>
          <a:spLocks noChangeShapeType="1"/>
        </xdr:cNvSpPr>
      </xdr:nvSpPr>
      <xdr:spPr bwMode="auto">
        <a:xfrm>
          <a:off x="4038600" y="42672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25400</xdr:colOff>
      <xdr:row>24</xdr:row>
      <xdr:rowOff>12700</xdr:rowOff>
    </xdr:from>
    <xdr:to>
      <xdr:col>5</xdr:col>
      <xdr:colOff>1028700</xdr:colOff>
      <xdr:row>27</xdr:row>
      <xdr:rowOff>0</xdr:rowOff>
    </xdr:to>
    <xdr:sp macro="" textlink="">
      <xdr:nvSpPr>
        <xdr:cNvPr id="4" name="Line 1"/>
        <xdr:cNvSpPr>
          <a:spLocks noChangeShapeType="1"/>
        </xdr:cNvSpPr>
      </xdr:nvSpPr>
      <xdr:spPr bwMode="auto">
        <a:xfrm flipV="1">
          <a:off x="6845300" y="5067300"/>
          <a:ext cx="1003300" cy="596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38100</xdr:colOff>
      <xdr:row>26</xdr:row>
      <xdr:rowOff>190500</xdr:rowOff>
    </xdr:from>
    <xdr:to>
      <xdr:col>5</xdr:col>
      <xdr:colOff>1016000</xdr:colOff>
      <xdr:row>40</xdr:row>
      <xdr:rowOff>177800</xdr:rowOff>
    </xdr:to>
    <xdr:sp macro="" textlink="">
      <xdr:nvSpPr>
        <xdr:cNvPr id="5" name="Line 1"/>
        <xdr:cNvSpPr>
          <a:spLocks noChangeShapeType="1"/>
        </xdr:cNvSpPr>
      </xdr:nvSpPr>
      <xdr:spPr bwMode="auto">
        <a:xfrm>
          <a:off x="6858000" y="5651500"/>
          <a:ext cx="977900" cy="303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2171700</xdr:colOff>
      <xdr:row>29</xdr:row>
      <xdr:rowOff>12700</xdr:rowOff>
    </xdr:from>
    <xdr:to>
      <xdr:col>3</xdr:col>
      <xdr:colOff>546100</xdr:colOff>
      <xdr:row>29</xdr:row>
      <xdr:rowOff>12700</xdr:rowOff>
    </xdr:to>
    <xdr:sp macro="" textlink="">
      <xdr:nvSpPr>
        <xdr:cNvPr id="6" name="Line 1"/>
        <xdr:cNvSpPr>
          <a:spLocks noChangeShapeType="1"/>
        </xdr:cNvSpPr>
      </xdr:nvSpPr>
      <xdr:spPr bwMode="auto">
        <a:xfrm>
          <a:off x="4025900" y="60833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32</xdr:row>
      <xdr:rowOff>0</xdr:rowOff>
    </xdr:from>
    <xdr:to>
      <xdr:col>3</xdr:col>
      <xdr:colOff>558800</xdr:colOff>
      <xdr:row>32</xdr:row>
      <xdr:rowOff>0</xdr:rowOff>
    </xdr:to>
    <xdr:sp macro="" textlink="">
      <xdr:nvSpPr>
        <xdr:cNvPr id="7" name="Line 1"/>
        <xdr:cNvSpPr>
          <a:spLocks noChangeShapeType="1"/>
        </xdr:cNvSpPr>
      </xdr:nvSpPr>
      <xdr:spPr bwMode="auto">
        <a:xfrm>
          <a:off x="4038600" y="66802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35</xdr:row>
      <xdr:rowOff>0</xdr:rowOff>
    </xdr:from>
    <xdr:to>
      <xdr:col>3</xdr:col>
      <xdr:colOff>558800</xdr:colOff>
      <xdr:row>35</xdr:row>
      <xdr:rowOff>0</xdr:rowOff>
    </xdr:to>
    <xdr:sp macro="" textlink="">
      <xdr:nvSpPr>
        <xdr:cNvPr id="8" name="Line 1"/>
        <xdr:cNvSpPr>
          <a:spLocks noChangeShapeType="1"/>
        </xdr:cNvSpPr>
      </xdr:nvSpPr>
      <xdr:spPr bwMode="auto">
        <a:xfrm>
          <a:off x="4038600" y="72898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37</xdr:row>
      <xdr:rowOff>190500</xdr:rowOff>
    </xdr:from>
    <xdr:to>
      <xdr:col>3</xdr:col>
      <xdr:colOff>558800</xdr:colOff>
      <xdr:row>37</xdr:row>
      <xdr:rowOff>190500</xdr:rowOff>
    </xdr:to>
    <xdr:sp macro="" textlink="">
      <xdr:nvSpPr>
        <xdr:cNvPr id="9" name="Line 1"/>
        <xdr:cNvSpPr>
          <a:spLocks noChangeShapeType="1"/>
        </xdr:cNvSpPr>
      </xdr:nvSpPr>
      <xdr:spPr bwMode="auto">
        <a:xfrm>
          <a:off x="4038600" y="78867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12700</xdr:colOff>
      <xdr:row>39</xdr:row>
      <xdr:rowOff>127000</xdr:rowOff>
    </xdr:from>
    <xdr:to>
      <xdr:col>3</xdr:col>
      <xdr:colOff>571500</xdr:colOff>
      <xdr:row>39</xdr:row>
      <xdr:rowOff>127000</xdr:rowOff>
    </xdr:to>
    <xdr:sp macro="" textlink="">
      <xdr:nvSpPr>
        <xdr:cNvPr id="10" name="Line 1"/>
        <xdr:cNvSpPr>
          <a:spLocks noChangeShapeType="1"/>
        </xdr:cNvSpPr>
      </xdr:nvSpPr>
      <xdr:spPr bwMode="auto">
        <a:xfrm>
          <a:off x="4051300" y="83820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2171700</xdr:colOff>
      <xdr:row>41</xdr:row>
      <xdr:rowOff>127000</xdr:rowOff>
    </xdr:from>
    <xdr:to>
      <xdr:col>3</xdr:col>
      <xdr:colOff>546100</xdr:colOff>
      <xdr:row>41</xdr:row>
      <xdr:rowOff>127000</xdr:rowOff>
    </xdr:to>
    <xdr:sp macro="" textlink="">
      <xdr:nvSpPr>
        <xdr:cNvPr id="11" name="Line 1"/>
        <xdr:cNvSpPr>
          <a:spLocks noChangeShapeType="1"/>
        </xdr:cNvSpPr>
      </xdr:nvSpPr>
      <xdr:spPr bwMode="auto">
        <a:xfrm>
          <a:off x="4025900" y="88392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558800</xdr:colOff>
      <xdr:row>20</xdr:row>
      <xdr:rowOff>12700</xdr:rowOff>
    </xdr:from>
    <xdr:to>
      <xdr:col>3</xdr:col>
      <xdr:colOff>571500</xdr:colOff>
      <xdr:row>41</xdr:row>
      <xdr:rowOff>127000</xdr:rowOff>
    </xdr:to>
    <xdr:sp macro="" textlink="">
      <xdr:nvSpPr>
        <xdr:cNvPr id="12" name="Line 1"/>
        <xdr:cNvSpPr>
          <a:spLocks noChangeShapeType="1"/>
        </xdr:cNvSpPr>
      </xdr:nvSpPr>
      <xdr:spPr bwMode="auto">
        <a:xfrm>
          <a:off x="4597400" y="4254500"/>
          <a:ext cx="12700" cy="458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571500</xdr:colOff>
      <xdr:row>27</xdr:row>
      <xdr:rowOff>12700</xdr:rowOff>
    </xdr:from>
    <xdr:to>
      <xdr:col>4</xdr:col>
      <xdr:colOff>12700</xdr:colOff>
      <xdr:row>27</xdr:row>
      <xdr:rowOff>25400</xdr:rowOff>
    </xdr:to>
    <xdr:sp macro="" textlink="">
      <xdr:nvSpPr>
        <xdr:cNvPr id="13" name="Line 1"/>
        <xdr:cNvSpPr>
          <a:spLocks noChangeShapeType="1"/>
        </xdr:cNvSpPr>
      </xdr:nvSpPr>
      <xdr:spPr bwMode="auto">
        <a:xfrm flipV="1">
          <a:off x="4610100" y="5676900"/>
          <a:ext cx="495300" cy="127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0</xdr:colOff>
      <xdr:row>17</xdr:row>
      <xdr:rowOff>0</xdr:rowOff>
    </xdr:from>
    <xdr:to>
      <xdr:col>6</xdr:col>
      <xdr:colOff>25400</xdr:colOff>
      <xdr:row>27</xdr:row>
      <xdr:rowOff>12700</xdr:rowOff>
    </xdr:to>
    <xdr:sp macro="" textlink="">
      <xdr:nvSpPr>
        <xdr:cNvPr id="14" name="Line 1"/>
        <xdr:cNvSpPr>
          <a:spLocks noChangeShapeType="1"/>
        </xdr:cNvSpPr>
      </xdr:nvSpPr>
      <xdr:spPr bwMode="auto">
        <a:xfrm flipV="1">
          <a:off x="6819900" y="3632200"/>
          <a:ext cx="1079500" cy="204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25400</xdr:colOff>
      <xdr:row>26</xdr:row>
      <xdr:rowOff>177800</xdr:rowOff>
    </xdr:from>
    <xdr:to>
      <xdr:col>6</xdr:col>
      <xdr:colOff>12700</xdr:colOff>
      <xdr:row>29</xdr:row>
      <xdr:rowOff>38100</xdr:rowOff>
    </xdr:to>
    <xdr:sp macro="" textlink="">
      <xdr:nvSpPr>
        <xdr:cNvPr id="15" name="Line 1"/>
        <xdr:cNvSpPr>
          <a:spLocks noChangeShapeType="1"/>
        </xdr:cNvSpPr>
      </xdr:nvSpPr>
      <xdr:spPr bwMode="auto">
        <a:xfrm>
          <a:off x="6845300" y="5638800"/>
          <a:ext cx="1041400" cy="46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12700</xdr:colOff>
      <xdr:row>27</xdr:row>
      <xdr:rowOff>0</xdr:rowOff>
    </xdr:from>
    <xdr:to>
      <xdr:col>6</xdr:col>
      <xdr:colOff>0</xdr:colOff>
      <xdr:row>36</xdr:row>
      <xdr:rowOff>12700</xdr:rowOff>
    </xdr:to>
    <xdr:sp macro="" textlink="">
      <xdr:nvSpPr>
        <xdr:cNvPr id="2" name="Line 1"/>
        <xdr:cNvSpPr>
          <a:spLocks noChangeShapeType="1"/>
        </xdr:cNvSpPr>
      </xdr:nvSpPr>
      <xdr:spPr bwMode="auto">
        <a:xfrm>
          <a:off x="6832600" y="5765800"/>
          <a:ext cx="1041400" cy="184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20</xdr:row>
      <xdr:rowOff>25400</xdr:rowOff>
    </xdr:from>
    <xdr:to>
      <xdr:col>3</xdr:col>
      <xdr:colOff>558800</xdr:colOff>
      <xdr:row>20</xdr:row>
      <xdr:rowOff>25400</xdr:rowOff>
    </xdr:to>
    <xdr:sp macro="" textlink="">
      <xdr:nvSpPr>
        <xdr:cNvPr id="3" name="Line 1"/>
        <xdr:cNvSpPr>
          <a:spLocks noChangeShapeType="1"/>
        </xdr:cNvSpPr>
      </xdr:nvSpPr>
      <xdr:spPr bwMode="auto">
        <a:xfrm>
          <a:off x="4038600" y="43688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25400</xdr:colOff>
      <xdr:row>24</xdr:row>
      <xdr:rowOff>12700</xdr:rowOff>
    </xdr:from>
    <xdr:to>
      <xdr:col>5</xdr:col>
      <xdr:colOff>1028700</xdr:colOff>
      <xdr:row>27</xdr:row>
      <xdr:rowOff>0</xdr:rowOff>
    </xdr:to>
    <xdr:sp macro="" textlink="">
      <xdr:nvSpPr>
        <xdr:cNvPr id="4" name="Line 1"/>
        <xdr:cNvSpPr>
          <a:spLocks noChangeShapeType="1"/>
        </xdr:cNvSpPr>
      </xdr:nvSpPr>
      <xdr:spPr bwMode="auto">
        <a:xfrm flipV="1">
          <a:off x="6845300" y="5168900"/>
          <a:ext cx="1003300" cy="596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38100</xdr:colOff>
      <xdr:row>26</xdr:row>
      <xdr:rowOff>190500</xdr:rowOff>
    </xdr:from>
    <xdr:to>
      <xdr:col>5</xdr:col>
      <xdr:colOff>1016000</xdr:colOff>
      <xdr:row>40</xdr:row>
      <xdr:rowOff>177800</xdr:rowOff>
    </xdr:to>
    <xdr:sp macro="" textlink="">
      <xdr:nvSpPr>
        <xdr:cNvPr id="5" name="Line 1"/>
        <xdr:cNvSpPr>
          <a:spLocks noChangeShapeType="1"/>
        </xdr:cNvSpPr>
      </xdr:nvSpPr>
      <xdr:spPr bwMode="auto">
        <a:xfrm>
          <a:off x="6858000" y="5753100"/>
          <a:ext cx="977900" cy="321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2171700</xdr:colOff>
      <xdr:row>29</xdr:row>
      <xdr:rowOff>12700</xdr:rowOff>
    </xdr:from>
    <xdr:to>
      <xdr:col>3</xdr:col>
      <xdr:colOff>546100</xdr:colOff>
      <xdr:row>29</xdr:row>
      <xdr:rowOff>12700</xdr:rowOff>
    </xdr:to>
    <xdr:sp macro="" textlink="">
      <xdr:nvSpPr>
        <xdr:cNvPr id="6" name="Line 1"/>
        <xdr:cNvSpPr>
          <a:spLocks noChangeShapeType="1"/>
        </xdr:cNvSpPr>
      </xdr:nvSpPr>
      <xdr:spPr bwMode="auto">
        <a:xfrm>
          <a:off x="4025900" y="61849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32</xdr:row>
      <xdr:rowOff>0</xdr:rowOff>
    </xdr:from>
    <xdr:to>
      <xdr:col>3</xdr:col>
      <xdr:colOff>558800</xdr:colOff>
      <xdr:row>32</xdr:row>
      <xdr:rowOff>0</xdr:rowOff>
    </xdr:to>
    <xdr:sp macro="" textlink="">
      <xdr:nvSpPr>
        <xdr:cNvPr id="7" name="Line 1"/>
        <xdr:cNvSpPr>
          <a:spLocks noChangeShapeType="1"/>
        </xdr:cNvSpPr>
      </xdr:nvSpPr>
      <xdr:spPr bwMode="auto">
        <a:xfrm>
          <a:off x="4038600" y="67818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35</xdr:row>
      <xdr:rowOff>0</xdr:rowOff>
    </xdr:from>
    <xdr:to>
      <xdr:col>3</xdr:col>
      <xdr:colOff>558800</xdr:colOff>
      <xdr:row>35</xdr:row>
      <xdr:rowOff>0</xdr:rowOff>
    </xdr:to>
    <xdr:sp macro="" textlink="">
      <xdr:nvSpPr>
        <xdr:cNvPr id="8" name="Line 1"/>
        <xdr:cNvSpPr>
          <a:spLocks noChangeShapeType="1"/>
        </xdr:cNvSpPr>
      </xdr:nvSpPr>
      <xdr:spPr bwMode="auto">
        <a:xfrm>
          <a:off x="4038600" y="73914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37</xdr:row>
      <xdr:rowOff>190500</xdr:rowOff>
    </xdr:from>
    <xdr:to>
      <xdr:col>3</xdr:col>
      <xdr:colOff>558800</xdr:colOff>
      <xdr:row>37</xdr:row>
      <xdr:rowOff>190500</xdr:rowOff>
    </xdr:to>
    <xdr:sp macro="" textlink="">
      <xdr:nvSpPr>
        <xdr:cNvPr id="9" name="Line 1"/>
        <xdr:cNvSpPr>
          <a:spLocks noChangeShapeType="1"/>
        </xdr:cNvSpPr>
      </xdr:nvSpPr>
      <xdr:spPr bwMode="auto">
        <a:xfrm>
          <a:off x="4038600" y="79883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12700</xdr:colOff>
      <xdr:row>39</xdr:row>
      <xdr:rowOff>127000</xdr:rowOff>
    </xdr:from>
    <xdr:to>
      <xdr:col>3</xdr:col>
      <xdr:colOff>571500</xdr:colOff>
      <xdr:row>39</xdr:row>
      <xdr:rowOff>127000</xdr:rowOff>
    </xdr:to>
    <xdr:sp macro="" textlink="">
      <xdr:nvSpPr>
        <xdr:cNvPr id="10" name="Line 1"/>
        <xdr:cNvSpPr>
          <a:spLocks noChangeShapeType="1"/>
        </xdr:cNvSpPr>
      </xdr:nvSpPr>
      <xdr:spPr bwMode="auto">
        <a:xfrm>
          <a:off x="4051300" y="84836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2171700</xdr:colOff>
      <xdr:row>41</xdr:row>
      <xdr:rowOff>127000</xdr:rowOff>
    </xdr:from>
    <xdr:to>
      <xdr:col>3</xdr:col>
      <xdr:colOff>546100</xdr:colOff>
      <xdr:row>41</xdr:row>
      <xdr:rowOff>127000</xdr:rowOff>
    </xdr:to>
    <xdr:sp macro="" textlink="">
      <xdr:nvSpPr>
        <xdr:cNvPr id="11" name="Line 1"/>
        <xdr:cNvSpPr>
          <a:spLocks noChangeShapeType="1"/>
        </xdr:cNvSpPr>
      </xdr:nvSpPr>
      <xdr:spPr bwMode="auto">
        <a:xfrm>
          <a:off x="4025900" y="91186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558800</xdr:colOff>
      <xdr:row>20</xdr:row>
      <xdr:rowOff>12700</xdr:rowOff>
    </xdr:from>
    <xdr:to>
      <xdr:col>3</xdr:col>
      <xdr:colOff>571500</xdr:colOff>
      <xdr:row>41</xdr:row>
      <xdr:rowOff>127000</xdr:rowOff>
    </xdr:to>
    <xdr:sp macro="" textlink="">
      <xdr:nvSpPr>
        <xdr:cNvPr id="12" name="Line 1"/>
        <xdr:cNvSpPr>
          <a:spLocks noChangeShapeType="1"/>
        </xdr:cNvSpPr>
      </xdr:nvSpPr>
      <xdr:spPr bwMode="auto">
        <a:xfrm>
          <a:off x="4597400" y="4356100"/>
          <a:ext cx="12700" cy="476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571500</xdr:colOff>
      <xdr:row>27</xdr:row>
      <xdr:rowOff>12700</xdr:rowOff>
    </xdr:from>
    <xdr:to>
      <xdr:col>4</xdr:col>
      <xdr:colOff>12700</xdr:colOff>
      <xdr:row>27</xdr:row>
      <xdr:rowOff>25400</xdr:rowOff>
    </xdr:to>
    <xdr:sp macro="" textlink="">
      <xdr:nvSpPr>
        <xdr:cNvPr id="13" name="Line 1"/>
        <xdr:cNvSpPr>
          <a:spLocks noChangeShapeType="1"/>
        </xdr:cNvSpPr>
      </xdr:nvSpPr>
      <xdr:spPr bwMode="auto">
        <a:xfrm flipV="1">
          <a:off x="4610100" y="5778500"/>
          <a:ext cx="495300" cy="127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0</xdr:colOff>
      <xdr:row>17</xdr:row>
      <xdr:rowOff>0</xdr:rowOff>
    </xdr:from>
    <xdr:to>
      <xdr:col>6</xdr:col>
      <xdr:colOff>25400</xdr:colOff>
      <xdr:row>27</xdr:row>
      <xdr:rowOff>12700</xdr:rowOff>
    </xdr:to>
    <xdr:sp macro="" textlink="">
      <xdr:nvSpPr>
        <xdr:cNvPr id="14" name="Line 1"/>
        <xdr:cNvSpPr>
          <a:spLocks noChangeShapeType="1"/>
        </xdr:cNvSpPr>
      </xdr:nvSpPr>
      <xdr:spPr bwMode="auto">
        <a:xfrm flipV="1">
          <a:off x="6819900" y="3733800"/>
          <a:ext cx="1079500" cy="204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25400</xdr:colOff>
      <xdr:row>26</xdr:row>
      <xdr:rowOff>177800</xdr:rowOff>
    </xdr:from>
    <xdr:to>
      <xdr:col>6</xdr:col>
      <xdr:colOff>12700</xdr:colOff>
      <xdr:row>29</xdr:row>
      <xdr:rowOff>38100</xdr:rowOff>
    </xdr:to>
    <xdr:sp macro="" textlink="">
      <xdr:nvSpPr>
        <xdr:cNvPr id="15" name="Line 1"/>
        <xdr:cNvSpPr>
          <a:spLocks noChangeShapeType="1"/>
        </xdr:cNvSpPr>
      </xdr:nvSpPr>
      <xdr:spPr bwMode="auto">
        <a:xfrm>
          <a:off x="6845300" y="5740400"/>
          <a:ext cx="1041400" cy="46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12700</xdr:colOff>
      <xdr:row>27</xdr:row>
      <xdr:rowOff>0</xdr:rowOff>
    </xdr:from>
    <xdr:to>
      <xdr:col>6</xdr:col>
      <xdr:colOff>0</xdr:colOff>
      <xdr:row>36</xdr:row>
      <xdr:rowOff>12700</xdr:rowOff>
    </xdr:to>
    <xdr:sp macro="" textlink="">
      <xdr:nvSpPr>
        <xdr:cNvPr id="16" name="Line 1"/>
        <xdr:cNvSpPr>
          <a:spLocks noChangeShapeType="1"/>
        </xdr:cNvSpPr>
      </xdr:nvSpPr>
      <xdr:spPr bwMode="auto">
        <a:xfrm>
          <a:off x="6832600" y="5765800"/>
          <a:ext cx="1041400" cy="184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20</xdr:row>
      <xdr:rowOff>25400</xdr:rowOff>
    </xdr:from>
    <xdr:to>
      <xdr:col>3</xdr:col>
      <xdr:colOff>558800</xdr:colOff>
      <xdr:row>20</xdr:row>
      <xdr:rowOff>25400</xdr:rowOff>
    </xdr:to>
    <xdr:sp macro="" textlink="">
      <xdr:nvSpPr>
        <xdr:cNvPr id="17" name="Line 1"/>
        <xdr:cNvSpPr>
          <a:spLocks noChangeShapeType="1"/>
        </xdr:cNvSpPr>
      </xdr:nvSpPr>
      <xdr:spPr bwMode="auto">
        <a:xfrm>
          <a:off x="4038600" y="43688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25400</xdr:colOff>
      <xdr:row>24</xdr:row>
      <xdr:rowOff>12700</xdr:rowOff>
    </xdr:from>
    <xdr:to>
      <xdr:col>5</xdr:col>
      <xdr:colOff>1028700</xdr:colOff>
      <xdr:row>27</xdr:row>
      <xdr:rowOff>0</xdr:rowOff>
    </xdr:to>
    <xdr:sp macro="" textlink="">
      <xdr:nvSpPr>
        <xdr:cNvPr id="18" name="Line 1"/>
        <xdr:cNvSpPr>
          <a:spLocks noChangeShapeType="1"/>
        </xdr:cNvSpPr>
      </xdr:nvSpPr>
      <xdr:spPr bwMode="auto">
        <a:xfrm flipV="1">
          <a:off x="6845300" y="5168900"/>
          <a:ext cx="1003300" cy="596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38100</xdr:colOff>
      <xdr:row>26</xdr:row>
      <xdr:rowOff>190500</xdr:rowOff>
    </xdr:from>
    <xdr:to>
      <xdr:col>5</xdr:col>
      <xdr:colOff>1016000</xdr:colOff>
      <xdr:row>40</xdr:row>
      <xdr:rowOff>177800</xdr:rowOff>
    </xdr:to>
    <xdr:sp macro="" textlink="">
      <xdr:nvSpPr>
        <xdr:cNvPr id="19" name="Line 1"/>
        <xdr:cNvSpPr>
          <a:spLocks noChangeShapeType="1"/>
        </xdr:cNvSpPr>
      </xdr:nvSpPr>
      <xdr:spPr bwMode="auto">
        <a:xfrm>
          <a:off x="6858000" y="5753100"/>
          <a:ext cx="977900" cy="303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2171700</xdr:colOff>
      <xdr:row>29</xdr:row>
      <xdr:rowOff>12700</xdr:rowOff>
    </xdr:from>
    <xdr:to>
      <xdr:col>3</xdr:col>
      <xdr:colOff>546100</xdr:colOff>
      <xdr:row>29</xdr:row>
      <xdr:rowOff>12700</xdr:rowOff>
    </xdr:to>
    <xdr:sp macro="" textlink="">
      <xdr:nvSpPr>
        <xdr:cNvPr id="20" name="Line 1"/>
        <xdr:cNvSpPr>
          <a:spLocks noChangeShapeType="1"/>
        </xdr:cNvSpPr>
      </xdr:nvSpPr>
      <xdr:spPr bwMode="auto">
        <a:xfrm>
          <a:off x="4025900" y="61849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32</xdr:row>
      <xdr:rowOff>0</xdr:rowOff>
    </xdr:from>
    <xdr:to>
      <xdr:col>3</xdr:col>
      <xdr:colOff>558800</xdr:colOff>
      <xdr:row>32</xdr:row>
      <xdr:rowOff>0</xdr:rowOff>
    </xdr:to>
    <xdr:sp macro="" textlink="">
      <xdr:nvSpPr>
        <xdr:cNvPr id="21" name="Line 1"/>
        <xdr:cNvSpPr>
          <a:spLocks noChangeShapeType="1"/>
        </xdr:cNvSpPr>
      </xdr:nvSpPr>
      <xdr:spPr bwMode="auto">
        <a:xfrm>
          <a:off x="4038600" y="67818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35</xdr:row>
      <xdr:rowOff>0</xdr:rowOff>
    </xdr:from>
    <xdr:to>
      <xdr:col>3</xdr:col>
      <xdr:colOff>558800</xdr:colOff>
      <xdr:row>35</xdr:row>
      <xdr:rowOff>0</xdr:rowOff>
    </xdr:to>
    <xdr:sp macro="" textlink="">
      <xdr:nvSpPr>
        <xdr:cNvPr id="22" name="Line 1"/>
        <xdr:cNvSpPr>
          <a:spLocks noChangeShapeType="1"/>
        </xdr:cNvSpPr>
      </xdr:nvSpPr>
      <xdr:spPr bwMode="auto">
        <a:xfrm>
          <a:off x="4038600" y="73914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37</xdr:row>
      <xdr:rowOff>190500</xdr:rowOff>
    </xdr:from>
    <xdr:to>
      <xdr:col>3</xdr:col>
      <xdr:colOff>558800</xdr:colOff>
      <xdr:row>37</xdr:row>
      <xdr:rowOff>190500</xdr:rowOff>
    </xdr:to>
    <xdr:sp macro="" textlink="">
      <xdr:nvSpPr>
        <xdr:cNvPr id="23" name="Line 1"/>
        <xdr:cNvSpPr>
          <a:spLocks noChangeShapeType="1"/>
        </xdr:cNvSpPr>
      </xdr:nvSpPr>
      <xdr:spPr bwMode="auto">
        <a:xfrm>
          <a:off x="4038600" y="79883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12700</xdr:colOff>
      <xdr:row>39</xdr:row>
      <xdr:rowOff>127000</xdr:rowOff>
    </xdr:from>
    <xdr:to>
      <xdr:col>3</xdr:col>
      <xdr:colOff>571500</xdr:colOff>
      <xdr:row>39</xdr:row>
      <xdr:rowOff>127000</xdr:rowOff>
    </xdr:to>
    <xdr:sp macro="" textlink="">
      <xdr:nvSpPr>
        <xdr:cNvPr id="24" name="Line 1"/>
        <xdr:cNvSpPr>
          <a:spLocks noChangeShapeType="1"/>
        </xdr:cNvSpPr>
      </xdr:nvSpPr>
      <xdr:spPr bwMode="auto">
        <a:xfrm>
          <a:off x="4051300" y="84836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2171700</xdr:colOff>
      <xdr:row>41</xdr:row>
      <xdr:rowOff>127000</xdr:rowOff>
    </xdr:from>
    <xdr:to>
      <xdr:col>3</xdr:col>
      <xdr:colOff>546100</xdr:colOff>
      <xdr:row>41</xdr:row>
      <xdr:rowOff>127000</xdr:rowOff>
    </xdr:to>
    <xdr:sp macro="" textlink="">
      <xdr:nvSpPr>
        <xdr:cNvPr id="25" name="Line 1"/>
        <xdr:cNvSpPr>
          <a:spLocks noChangeShapeType="1"/>
        </xdr:cNvSpPr>
      </xdr:nvSpPr>
      <xdr:spPr bwMode="auto">
        <a:xfrm>
          <a:off x="4025900" y="89408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558800</xdr:colOff>
      <xdr:row>20</xdr:row>
      <xdr:rowOff>12700</xdr:rowOff>
    </xdr:from>
    <xdr:to>
      <xdr:col>3</xdr:col>
      <xdr:colOff>571500</xdr:colOff>
      <xdr:row>41</xdr:row>
      <xdr:rowOff>127000</xdr:rowOff>
    </xdr:to>
    <xdr:sp macro="" textlink="">
      <xdr:nvSpPr>
        <xdr:cNvPr id="26" name="Line 1"/>
        <xdr:cNvSpPr>
          <a:spLocks noChangeShapeType="1"/>
        </xdr:cNvSpPr>
      </xdr:nvSpPr>
      <xdr:spPr bwMode="auto">
        <a:xfrm>
          <a:off x="4597400" y="4356100"/>
          <a:ext cx="12700" cy="458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571500</xdr:colOff>
      <xdr:row>27</xdr:row>
      <xdr:rowOff>12700</xdr:rowOff>
    </xdr:from>
    <xdr:to>
      <xdr:col>4</xdr:col>
      <xdr:colOff>12700</xdr:colOff>
      <xdr:row>27</xdr:row>
      <xdr:rowOff>25400</xdr:rowOff>
    </xdr:to>
    <xdr:sp macro="" textlink="">
      <xdr:nvSpPr>
        <xdr:cNvPr id="27" name="Line 1"/>
        <xdr:cNvSpPr>
          <a:spLocks noChangeShapeType="1"/>
        </xdr:cNvSpPr>
      </xdr:nvSpPr>
      <xdr:spPr bwMode="auto">
        <a:xfrm flipV="1">
          <a:off x="4610100" y="5778500"/>
          <a:ext cx="495300" cy="127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0</xdr:colOff>
      <xdr:row>17</xdr:row>
      <xdr:rowOff>0</xdr:rowOff>
    </xdr:from>
    <xdr:to>
      <xdr:col>6</xdr:col>
      <xdr:colOff>25400</xdr:colOff>
      <xdr:row>27</xdr:row>
      <xdr:rowOff>12700</xdr:rowOff>
    </xdr:to>
    <xdr:sp macro="" textlink="">
      <xdr:nvSpPr>
        <xdr:cNvPr id="28" name="Line 1"/>
        <xdr:cNvSpPr>
          <a:spLocks noChangeShapeType="1"/>
        </xdr:cNvSpPr>
      </xdr:nvSpPr>
      <xdr:spPr bwMode="auto">
        <a:xfrm flipV="1">
          <a:off x="6819900" y="3733800"/>
          <a:ext cx="1079500" cy="204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25400</xdr:colOff>
      <xdr:row>26</xdr:row>
      <xdr:rowOff>177800</xdr:rowOff>
    </xdr:from>
    <xdr:to>
      <xdr:col>6</xdr:col>
      <xdr:colOff>12700</xdr:colOff>
      <xdr:row>29</xdr:row>
      <xdr:rowOff>38100</xdr:rowOff>
    </xdr:to>
    <xdr:sp macro="" textlink="">
      <xdr:nvSpPr>
        <xdr:cNvPr id="29" name="Line 1"/>
        <xdr:cNvSpPr>
          <a:spLocks noChangeShapeType="1"/>
        </xdr:cNvSpPr>
      </xdr:nvSpPr>
      <xdr:spPr bwMode="auto">
        <a:xfrm>
          <a:off x="6845300" y="5740400"/>
          <a:ext cx="1041400" cy="46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12700</xdr:colOff>
      <xdr:row>23</xdr:row>
      <xdr:rowOff>127000</xdr:rowOff>
    </xdr:from>
    <xdr:to>
      <xdr:col>4</xdr:col>
      <xdr:colOff>419100</xdr:colOff>
      <xdr:row>28</xdr:row>
      <xdr:rowOff>12700</xdr:rowOff>
    </xdr:to>
    <xdr:sp macro="" textlink="">
      <xdr:nvSpPr>
        <xdr:cNvPr id="2" name="Line 1"/>
        <xdr:cNvSpPr>
          <a:spLocks noChangeShapeType="1"/>
        </xdr:cNvSpPr>
      </xdr:nvSpPr>
      <xdr:spPr bwMode="auto">
        <a:xfrm flipV="1">
          <a:off x="5473700" y="4267200"/>
          <a:ext cx="40640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27</xdr:row>
      <xdr:rowOff>165100</xdr:rowOff>
    </xdr:from>
    <xdr:to>
      <xdr:col>4</xdr:col>
      <xdr:colOff>406400</xdr:colOff>
      <xdr:row>30</xdr:row>
      <xdr:rowOff>114300</xdr:rowOff>
    </xdr:to>
    <xdr:sp macro="" textlink="">
      <xdr:nvSpPr>
        <xdr:cNvPr id="3" name="Line 1"/>
        <xdr:cNvSpPr>
          <a:spLocks noChangeShapeType="1"/>
        </xdr:cNvSpPr>
      </xdr:nvSpPr>
      <xdr:spPr bwMode="auto">
        <a:xfrm>
          <a:off x="5689600" y="5067300"/>
          <a:ext cx="406400" cy="52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1</xdr:col>
      <xdr:colOff>1943100</xdr:colOff>
      <xdr:row>19</xdr:row>
      <xdr:rowOff>38100</xdr:rowOff>
    </xdr:from>
    <xdr:to>
      <xdr:col>3</xdr:col>
      <xdr:colOff>0</xdr:colOff>
      <xdr:row>24</xdr:row>
      <xdr:rowOff>12700</xdr:rowOff>
    </xdr:to>
    <xdr:sp macro="" textlink="">
      <xdr:nvSpPr>
        <xdr:cNvPr id="4" name="Line 1"/>
        <xdr:cNvSpPr>
          <a:spLocks noChangeShapeType="1"/>
        </xdr:cNvSpPr>
      </xdr:nvSpPr>
      <xdr:spPr bwMode="auto">
        <a:xfrm flipV="1">
          <a:off x="3517900" y="3009900"/>
          <a:ext cx="444500" cy="82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0</xdr:colOff>
      <xdr:row>23</xdr:row>
      <xdr:rowOff>139700</xdr:rowOff>
    </xdr:from>
    <xdr:to>
      <xdr:col>2</xdr:col>
      <xdr:colOff>406400</xdr:colOff>
      <xdr:row>27</xdr:row>
      <xdr:rowOff>101600</xdr:rowOff>
    </xdr:to>
    <xdr:sp macro="" textlink="">
      <xdr:nvSpPr>
        <xdr:cNvPr id="5" name="Line 1"/>
        <xdr:cNvSpPr>
          <a:spLocks noChangeShapeType="1"/>
        </xdr:cNvSpPr>
      </xdr:nvSpPr>
      <xdr:spPr bwMode="auto">
        <a:xfrm>
          <a:off x="3530600" y="3810000"/>
          <a:ext cx="40640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12700</xdr:colOff>
      <xdr:row>23</xdr:row>
      <xdr:rowOff>127000</xdr:rowOff>
    </xdr:from>
    <xdr:to>
      <xdr:col>4</xdr:col>
      <xdr:colOff>419100</xdr:colOff>
      <xdr:row>28</xdr:row>
      <xdr:rowOff>12700</xdr:rowOff>
    </xdr:to>
    <xdr:sp macro="" textlink="">
      <xdr:nvSpPr>
        <xdr:cNvPr id="2" name="Line 1"/>
        <xdr:cNvSpPr>
          <a:spLocks noChangeShapeType="1"/>
        </xdr:cNvSpPr>
      </xdr:nvSpPr>
      <xdr:spPr bwMode="auto">
        <a:xfrm flipV="1">
          <a:off x="5448300" y="4394200"/>
          <a:ext cx="40640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27</xdr:row>
      <xdr:rowOff>165100</xdr:rowOff>
    </xdr:from>
    <xdr:to>
      <xdr:col>4</xdr:col>
      <xdr:colOff>406400</xdr:colOff>
      <xdr:row>30</xdr:row>
      <xdr:rowOff>114300</xdr:rowOff>
    </xdr:to>
    <xdr:sp macro="" textlink="">
      <xdr:nvSpPr>
        <xdr:cNvPr id="3" name="Line 1"/>
        <xdr:cNvSpPr>
          <a:spLocks noChangeShapeType="1"/>
        </xdr:cNvSpPr>
      </xdr:nvSpPr>
      <xdr:spPr bwMode="auto">
        <a:xfrm>
          <a:off x="5435600" y="5194300"/>
          <a:ext cx="406400" cy="52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1</xdr:col>
      <xdr:colOff>1943100</xdr:colOff>
      <xdr:row>19</xdr:row>
      <xdr:rowOff>38100</xdr:rowOff>
    </xdr:from>
    <xdr:to>
      <xdr:col>3</xdr:col>
      <xdr:colOff>0</xdr:colOff>
      <xdr:row>24</xdr:row>
      <xdr:rowOff>12700</xdr:rowOff>
    </xdr:to>
    <xdr:sp macro="" textlink="">
      <xdr:nvSpPr>
        <xdr:cNvPr id="4" name="Line 1"/>
        <xdr:cNvSpPr>
          <a:spLocks noChangeShapeType="1"/>
        </xdr:cNvSpPr>
      </xdr:nvSpPr>
      <xdr:spPr bwMode="auto">
        <a:xfrm flipV="1">
          <a:off x="3162300" y="3543300"/>
          <a:ext cx="431800" cy="927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0</xdr:colOff>
      <xdr:row>23</xdr:row>
      <xdr:rowOff>139700</xdr:rowOff>
    </xdr:from>
    <xdr:to>
      <xdr:col>2</xdr:col>
      <xdr:colOff>406400</xdr:colOff>
      <xdr:row>27</xdr:row>
      <xdr:rowOff>101600</xdr:rowOff>
    </xdr:to>
    <xdr:sp macro="" textlink="">
      <xdr:nvSpPr>
        <xdr:cNvPr id="5" name="Line 1"/>
        <xdr:cNvSpPr>
          <a:spLocks noChangeShapeType="1"/>
        </xdr:cNvSpPr>
      </xdr:nvSpPr>
      <xdr:spPr bwMode="auto">
        <a:xfrm>
          <a:off x="3162300" y="4406900"/>
          <a:ext cx="40640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850900</xdr:colOff>
      <xdr:row>15</xdr:row>
      <xdr:rowOff>12700</xdr:rowOff>
    </xdr:from>
    <xdr:to>
      <xdr:col>4</xdr:col>
      <xdr:colOff>215900</xdr:colOff>
      <xdr:row>16</xdr:row>
      <xdr:rowOff>177800</xdr:rowOff>
    </xdr:to>
    <xdr:sp macro="" textlink="">
      <xdr:nvSpPr>
        <xdr:cNvPr id="2" name="Line 1"/>
        <xdr:cNvSpPr>
          <a:spLocks noChangeShapeType="1"/>
        </xdr:cNvSpPr>
      </xdr:nvSpPr>
      <xdr:spPr bwMode="auto">
        <a:xfrm flipH="1">
          <a:off x="1803400" y="2870200"/>
          <a:ext cx="2222500" cy="355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215900</xdr:colOff>
      <xdr:row>15</xdr:row>
      <xdr:rowOff>12700</xdr:rowOff>
    </xdr:from>
    <xdr:to>
      <xdr:col>5</xdr:col>
      <xdr:colOff>939800</xdr:colOff>
      <xdr:row>16</xdr:row>
      <xdr:rowOff>190500</xdr:rowOff>
    </xdr:to>
    <xdr:sp macro="" textlink="">
      <xdr:nvSpPr>
        <xdr:cNvPr id="3" name="Line 1"/>
        <xdr:cNvSpPr>
          <a:spLocks noChangeShapeType="1"/>
        </xdr:cNvSpPr>
      </xdr:nvSpPr>
      <xdr:spPr bwMode="auto">
        <a:xfrm>
          <a:off x="4025900" y="2870200"/>
          <a:ext cx="1676400" cy="36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927100</xdr:colOff>
      <xdr:row>20</xdr:row>
      <xdr:rowOff>190500</xdr:rowOff>
    </xdr:from>
    <xdr:to>
      <xdr:col>5</xdr:col>
      <xdr:colOff>927100</xdr:colOff>
      <xdr:row>23</xdr:row>
      <xdr:rowOff>0</xdr:rowOff>
    </xdr:to>
    <xdr:sp macro="" textlink="">
      <xdr:nvSpPr>
        <xdr:cNvPr id="4" name="Line 1"/>
        <xdr:cNvSpPr>
          <a:spLocks noChangeShapeType="1"/>
        </xdr:cNvSpPr>
      </xdr:nvSpPr>
      <xdr:spPr bwMode="auto">
        <a:xfrm>
          <a:off x="5689600" y="4000500"/>
          <a:ext cx="0" cy="3810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850900</xdr:colOff>
      <xdr:row>27</xdr:row>
      <xdr:rowOff>25400</xdr:rowOff>
    </xdr:from>
    <xdr:to>
      <xdr:col>7</xdr:col>
      <xdr:colOff>863600</xdr:colOff>
      <xdr:row>28</xdr:row>
      <xdr:rowOff>190500</xdr:rowOff>
    </xdr:to>
    <xdr:sp macro="" textlink="">
      <xdr:nvSpPr>
        <xdr:cNvPr id="5" name="Line 1"/>
        <xdr:cNvSpPr>
          <a:spLocks noChangeShapeType="1"/>
        </xdr:cNvSpPr>
      </xdr:nvSpPr>
      <xdr:spPr bwMode="auto">
        <a:xfrm>
          <a:off x="5613400" y="5168900"/>
          <a:ext cx="1917700" cy="355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914400</xdr:colOff>
      <xdr:row>27</xdr:row>
      <xdr:rowOff>25400</xdr:rowOff>
    </xdr:from>
    <xdr:to>
      <xdr:col>5</xdr:col>
      <xdr:colOff>825500</xdr:colOff>
      <xdr:row>28</xdr:row>
      <xdr:rowOff>177800</xdr:rowOff>
    </xdr:to>
    <xdr:sp macro="" textlink="">
      <xdr:nvSpPr>
        <xdr:cNvPr id="6" name="Line 1"/>
        <xdr:cNvSpPr>
          <a:spLocks noChangeShapeType="1"/>
        </xdr:cNvSpPr>
      </xdr:nvSpPr>
      <xdr:spPr bwMode="auto">
        <a:xfrm flipH="1">
          <a:off x="3771900" y="5168900"/>
          <a:ext cx="181610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838200</xdr:colOff>
      <xdr:row>27</xdr:row>
      <xdr:rowOff>0</xdr:rowOff>
    </xdr:from>
    <xdr:to>
      <xdr:col>5</xdr:col>
      <xdr:colOff>850900</xdr:colOff>
      <xdr:row>29</xdr:row>
      <xdr:rowOff>12700</xdr:rowOff>
    </xdr:to>
    <xdr:sp macro="" textlink="">
      <xdr:nvSpPr>
        <xdr:cNvPr id="7" name="Line 1"/>
        <xdr:cNvSpPr>
          <a:spLocks noChangeShapeType="1"/>
        </xdr:cNvSpPr>
      </xdr:nvSpPr>
      <xdr:spPr bwMode="auto">
        <a:xfrm>
          <a:off x="5600700" y="5143500"/>
          <a:ext cx="12700" cy="39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850900</xdr:colOff>
      <xdr:row>15</xdr:row>
      <xdr:rowOff>12700</xdr:rowOff>
    </xdr:from>
    <xdr:to>
      <xdr:col>4</xdr:col>
      <xdr:colOff>215900</xdr:colOff>
      <xdr:row>16</xdr:row>
      <xdr:rowOff>177800</xdr:rowOff>
    </xdr:to>
    <xdr:sp macro="" textlink="">
      <xdr:nvSpPr>
        <xdr:cNvPr id="2" name="Line 1"/>
        <xdr:cNvSpPr>
          <a:spLocks noChangeShapeType="1"/>
        </xdr:cNvSpPr>
      </xdr:nvSpPr>
      <xdr:spPr bwMode="auto">
        <a:xfrm flipH="1">
          <a:off x="2425700" y="2705100"/>
          <a:ext cx="3251200" cy="36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215900</xdr:colOff>
      <xdr:row>15</xdr:row>
      <xdr:rowOff>12700</xdr:rowOff>
    </xdr:from>
    <xdr:to>
      <xdr:col>5</xdr:col>
      <xdr:colOff>939800</xdr:colOff>
      <xdr:row>16</xdr:row>
      <xdr:rowOff>190500</xdr:rowOff>
    </xdr:to>
    <xdr:sp macro="" textlink="">
      <xdr:nvSpPr>
        <xdr:cNvPr id="3" name="Line 1"/>
        <xdr:cNvSpPr>
          <a:spLocks noChangeShapeType="1"/>
        </xdr:cNvSpPr>
      </xdr:nvSpPr>
      <xdr:spPr bwMode="auto">
        <a:xfrm>
          <a:off x="5676900" y="2705100"/>
          <a:ext cx="11557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927100</xdr:colOff>
      <xdr:row>20</xdr:row>
      <xdr:rowOff>190500</xdr:rowOff>
    </xdr:from>
    <xdr:to>
      <xdr:col>5</xdr:col>
      <xdr:colOff>927100</xdr:colOff>
      <xdr:row>23</xdr:row>
      <xdr:rowOff>0</xdr:rowOff>
    </xdr:to>
    <xdr:sp macro="" textlink="">
      <xdr:nvSpPr>
        <xdr:cNvPr id="4" name="Line 1"/>
        <xdr:cNvSpPr>
          <a:spLocks noChangeShapeType="1"/>
        </xdr:cNvSpPr>
      </xdr:nvSpPr>
      <xdr:spPr bwMode="auto">
        <a:xfrm>
          <a:off x="6819900" y="3898900"/>
          <a:ext cx="0" cy="4191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850900</xdr:colOff>
      <xdr:row>27</xdr:row>
      <xdr:rowOff>25400</xdr:rowOff>
    </xdr:from>
    <xdr:to>
      <xdr:col>7</xdr:col>
      <xdr:colOff>863600</xdr:colOff>
      <xdr:row>28</xdr:row>
      <xdr:rowOff>190500</xdr:rowOff>
    </xdr:to>
    <xdr:sp macro="" textlink="">
      <xdr:nvSpPr>
        <xdr:cNvPr id="5" name="Line 1"/>
        <xdr:cNvSpPr>
          <a:spLocks noChangeShapeType="1"/>
        </xdr:cNvSpPr>
      </xdr:nvSpPr>
      <xdr:spPr bwMode="auto">
        <a:xfrm>
          <a:off x="6743700" y="5156200"/>
          <a:ext cx="2171700" cy="36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914400</xdr:colOff>
      <xdr:row>27</xdr:row>
      <xdr:rowOff>25400</xdr:rowOff>
    </xdr:from>
    <xdr:to>
      <xdr:col>5</xdr:col>
      <xdr:colOff>825500</xdr:colOff>
      <xdr:row>28</xdr:row>
      <xdr:rowOff>177800</xdr:rowOff>
    </xdr:to>
    <xdr:sp macro="" textlink="">
      <xdr:nvSpPr>
        <xdr:cNvPr id="6" name="Line 1"/>
        <xdr:cNvSpPr>
          <a:spLocks noChangeShapeType="1"/>
        </xdr:cNvSpPr>
      </xdr:nvSpPr>
      <xdr:spPr bwMode="auto">
        <a:xfrm flipH="1">
          <a:off x="4648200" y="5156200"/>
          <a:ext cx="2070100" cy="355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838200</xdr:colOff>
      <xdr:row>27</xdr:row>
      <xdr:rowOff>0</xdr:rowOff>
    </xdr:from>
    <xdr:to>
      <xdr:col>5</xdr:col>
      <xdr:colOff>850900</xdr:colOff>
      <xdr:row>29</xdr:row>
      <xdr:rowOff>12700</xdr:rowOff>
    </xdr:to>
    <xdr:sp macro="" textlink="">
      <xdr:nvSpPr>
        <xdr:cNvPr id="7" name="Line 1"/>
        <xdr:cNvSpPr>
          <a:spLocks noChangeShapeType="1"/>
        </xdr:cNvSpPr>
      </xdr:nvSpPr>
      <xdr:spPr bwMode="auto">
        <a:xfrm>
          <a:off x="6731000" y="5130800"/>
          <a:ext cx="127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12700</xdr:colOff>
      <xdr:row>17</xdr:row>
      <xdr:rowOff>0</xdr:rowOff>
    </xdr:from>
    <xdr:to>
      <xdr:col>3</xdr:col>
      <xdr:colOff>0</xdr:colOff>
      <xdr:row>24</xdr:row>
      <xdr:rowOff>88900</xdr:rowOff>
    </xdr:to>
    <xdr:sp macro="" textlink="">
      <xdr:nvSpPr>
        <xdr:cNvPr id="4" name="Line 1"/>
        <xdr:cNvSpPr>
          <a:spLocks noChangeShapeType="1"/>
        </xdr:cNvSpPr>
      </xdr:nvSpPr>
      <xdr:spPr bwMode="auto">
        <a:xfrm>
          <a:off x="3314700" y="2235200"/>
          <a:ext cx="419100" cy="142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0</xdr:colOff>
      <xdr:row>21</xdr:row>
      <xdr:rowOff>139700</xdr:rowOff>
    </xdr:from>
    <xdr:to>
      <xdr:col>3</xdr:col>
      <xdr:colOff>0</xdr:colOff>
      <xdr:row>24</xdr:row>
      <xdr:rowOff>127000</xdr:rowOff>
    </xdr:to>
    <xdr:sp macro="" textlink="">
      <xdr:nvSpPr>
        <xdr:cNvPr id="6" name="Line 1"/>
        <xdr:cNvSpPr>
          <a:spLocks noChangeShapeType="1"/>
        </xdr:cNvSpPr>
      </xdr:nvSpPr>
      <xdr:spPr bwMode="auto">
        <a:xfrm>
          <a:off x="3302000" y="3746500"/>
          <a:ext cx="431800" cy="55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25400</xdr:colOff>
      <xdr:row>24</xdr:row>
      <xdr:rowOff>165100</xdr:rowOff>
    </xdr:from>
    <xdr:to>
      <xdr:col>2</xdr:col>
      <xdr:colOff>419100</xdr:colOff>
      <xdr:row>32</xdr:row>
      <xdr:rowOff>0</xdr:rowOff>
    </xdr:to>
    <xdr:sp macro="" textlink="">
      <xdr:nvSpPr>
        <xdr:cNvPr id="7" name="Line 1"/>
        <xdr:cNvSpPr>
          <a:spLocks noChangeShapeType="1"/>
        </xdr:cNvSpPr>
      </xdr:nvSpPr>
      <xdr:spPr bwMode="auto">
        <a:xfrm flipV="1">
          <a:off x="3327400" y="4343400"/>
          <a:ext cx="393700" cy="135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12700</xdr:colOff>
      <xdr:row>24</xdr:row>
      <xdr:rowOff>114300</xdr:rowOff>
    </xdr:from>
    <xdr:to>
      <xdr:col>3</xdr:col>
      <xdr:colOff>0</xdr:colOff>
      <xdr:row>27</xdr:row>
      <xdr:rowOff>12700</xdr:rowOff>
    </xdr:to>
    <xdr:sp macro="" textlink="">
      <xdr:nvSpPr>
        <xdr:cNvPr id="8" name="Line 1"/>
        <xdr:cNvSpPr>
          <a:spLocks noChangeShapeType="1"/>
        </xdr:cNvSpPr>
      </xdr:nvSpPr>
      <xdr:spPr bwMode="auto">
        <a:xfrm flipV="1">
          <a:off x="3314700" y="4292600"/>
          <a:ext cx="419100" cy="46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24</xdr:row>
      <xdr:rowOff>165100</xdr:rowOff>
    </xdr:from>
    <xdr:to>
      <xdr:col>4</xdr:col>
      <xdr:colOff>419100</xdr:colOff>
      <xdr:row>32</xdr:row>
      <xdr:rowOff>38100</xdr:rowOff>
    </xdr:to>
    <xdr:sp macro="" textlink="">
      <xdr:nvSpPr>
        <xdr:cNvPr id="10" name="Line 1"/>
        <xdr:cNvSpPr>
          <a:spLocks noChangeShapeType="1"/>
        </xdr:cNvSpPr>
      </xdr:nvSpPr>
      <xdr:spPr bwMode="auto">
        <a:xfrm flipH="1" flipV="1">
          <a:off x="5575300" y="4343400"/>
          <a:ext cx="419100" cy="1397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22</xdr:row>
      <xdr:rowOff>25400</xdr:rowOff>
    </xdr:from>
    <xdr:to>
      <xdr:col>4</xdr:col>
      <xdr:colOff>419100</xdr:colOff>
      <xdr:row>24</xdr:row>
      <xdr:rowOff>114300</xdr:rowOff>
    </xdr:to>
    <xdr:sp macro="" textlink="">
      <xdr:nvSpPr>
        <xdr:cNvPr id="11" name="Line 1"/>
        <xdr:cNvSpPr>
          <a:spLocks noChangeShapeType="1"/>
        </xdr:cNvSpPr>
      </xdr:nvSpPr>
      <xdr:spPr bwMode="auto">
        <a:xfrm flipH="1">
          <a:off x="5575300" y="3822700"/>
          <a:ext cx="419100" cy="46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12700</xdr:colOff>
      <xdr:row>17</xdr:row>
      <xdr:rowOff>0</xdr:rowOff>
    </xdr:from>
    <xdr:to>
      <xdr:col>4</xdr:col>
      <xdr:colOff>419100</xdr:colOff>
      <xdr:row>24</xdr:row>
      <xdr:rowOff>63500</xdr:rowOff>
    </xdr:to>
    <xdr:sp macro="" textlink="">
      <xdr:nvSpPr>
        <xdr:cNvPr id="12" name="Line 1"/>
        <xdr:cNvSpPr>
          <a:spLocks noChangeShapeType="1"/>
        </xdr:cNvSpPr>
      </xdr:nvSpPr>
      <xdr:spPr bwMode="auto">
        <a:xfrm flipH="1">
          <a:off x="5588000" y="2844800"/>
          <a:ext cx="406400" cy="1397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24</xdr:row>
      <xdr:rowOff>114300</xdr:rowOff>
    </xdr:from>
    <xdr:to>
      <xdr:col>4</xdr:col>
      <xdr:colOff>406400</xdr:colOff>
      <xdr:row>27</xdr:row>
      <xdr:rowOff>114300</xdr:rowOff>
    </xdr:to>
    <xdr:sp macro="" textlink="">
      <xdr:nvSpPr>
        <xdr:cNvPr id="9" name="Line 1"/>
        <xdr:cNvSpPr>
          <a:spLocks noChangeShapeType="1"/>
        </xdr:cNvSpPr>
      </xdr:nvSpPr>
      <xdr:spPr bwMode="auto">
        <a:xfrm flipH="1" flipV="1">
          <a:off x="5575300" y="4292600"/>
          <a:ext cx="40640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12700</xdr:colOff>
      <xdr:row>17</xdr:row>
      <xdr:rowOff>0</xdr:rowOff>
    </xdr:from>
    <xdr:to>
      <xdr:col>3</xdr:col>
      <xdr:colOff>0</xdr:colOff>
      <xdr:row>24</xdr:row>
      <xdr:rowOff>88900</xdr:rowOff>
    </xdr:to>
    <xdr:sp macro="" textlink="">
      <xdr:nvSpPr>
        <xdr:cNvPr id="2" name="Line 1"/>
        <xdr:cNvSpPr>
          <a:spLocks noChangeShapeType="1"/>
        </xdr:cNvSpPr>
      </xdr:nvSpPr>
      <xdr:spPr bwMode="auto">
        <a:xfrm>
          <a:off x="3314700" y="3022600"/>
          <a:ext cx="419100" cy="142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0</xdr:colOff>
      <xdr:row>21</xdr:row>
      <xdr:rowOff>139700</xdr:rowOff>
    </xdr:from>
    <xdr:to>
      <xdr:col>3</xdr:col>
      <xdr:colOff>0</xdr:colOff>
      <xdr:row>24</xdr:row>
      <xdr:rowOff>127000</xdr:rowOff>
    </xdr:to>
    <xdr:sp macro="" textlink="">
      <xdr:nvSpPr>
        <xdr:cNvPr id="3" name="Line 1"/>
        <xdr:cNvSpPr>
          <a:spLocks noChangeShapeType="1"/>
        </xdr:cNvSpPr>
      </xdr:nvSpPr>
      <xdr:spPr bwMode="auto">
        <a:xfrm>
          <a:off x="3302000" y="3924300"/>
          <a:ext cx="431800" cy="55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25400</xdr:colOff>
      <xdr:row>24</xdr:row>
      <xdr:rowOff>165100</xdr:rowOff>
    </xdr:from>
    <xdr:to>
      <xdr:col>2</xdr:col>
      <xdr:colOff>419100</xdr:colOff>
      <xdr:row>32</xdr:row>
      <xdr:rowOff>0</xdr:rowOff>
    </xdr:to>
    <xdr:sp macro="" textlink="">
      <xdr:nvSpPr>
        <xdr:cNvPr id="4" name="Line 1"/>
        <xdr:cNvSpPr>
          <a:spLocks noChangeShapeType="1"/>
        </xdr:cNvSpPr>
      </xdr:nvSpPr>
      <xdr:spPr bwMode="auto">
        <a:xfrm flipV="1">
          <a:off x="3327400" y="4521200"/>
          <a:ext cx="393700" cy="135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12700</xdr:colOff>
      <xdr:row>24</xdr:row>
      <xdr:rowOff>114300</xdr:rowOff>
    </xdr:from>
    <xdr:to>
      <xdr:col>3</xdr:col>
      <xdr:colOff>0</xdr:colOff>
      <xdr:row>27</xdr:row>
      <xdr:rowOff>12700</xdr:rowOff>
    </xdr:to>
    <xdr:sp macro="" textlink="">
      <xdr:nvSpPr>
        <xdr:cNvPr id="5" name="Line 1"/>
        <xdr:cNvSpPr>
          <a:spLocks noChangeShapeType="1"/>
        </xdr:cNvSpPr>
      </xdr:nvSpPr>
      <xdr:spPr bwMode="auto">
        <a:xfrm flipV="1">
          <a:off x="3314700" y="4470400"/>
          <a:ext cx="419100" cy="46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24</xdr:row>
      <xdr:rowOff>165100</xdr:rowOff>
    </xdr:from>
    <xdr:to>
      <xdr:col>4</xdr:col>
      <xdr:colOff>419100</xdr:colOff>
      <xdr:row>32</xdr:row>
      <xdr:rowOff>38100</xdr:rowOff>
    </xdr:to>
    <xdr:sp macro="" textlink="">
      <xdr:nvSpPr>
        <xdr:cNvPr id="6" name="Line 1"/>
        <xdr:cNvSpPr>
          <a:spLocks noChangeShapeType="1"/>
        </xdr:cNvSpPr>
      </xdr:nvSpPr>
      <xdr:spPr bwMode="auto">
        <a:xfrm flipH="1" flipV="1">
          <a:off x="5575300" y="4521200"/>
          <a:ext cx="419100" cy="1397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22</xdr:row>
      <xdr:rowOff>25400</xdr:rowOff>
    </xdr:from>
    <xdr:to>
      <xdr:col>4</xdr:col>
      <xdr:colOff>419100</xdr:colOff>
      <xdr:row>24</xdr:row>
      <xdr:rowOff>114300</xdr:rowOff>
    </xdr:to>
    <xdr:sp macro="" textlink="">
      <xdr:nvSpPr>
        <xdr:cNvPr id="7" name="Line 1"/>
        <xdr:cNvSpPr>
          <a:spLocks noChangeShapeType="1"/>
        </xdr:cNvSpPr>
      </xdr:nvSpPr>
      <xdr:spPr bwMode="auto">
        <a:xfrm flipH="1">
          <a:off x="5575300" y="4000500"/>
          <a:ext cx="419100" cy="46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12700</xdr:colOff>
      <xdr:row>17</xdr:row>
      <xdr:rowOff>0</xdr:rowOff>
    </xdr:from>
    <xdr:to>
      <xdr:col>4</xdr:col>
      <xdr:colOff>419100</xdr:colOff>
      <xdr:row>24</xdr:row>
      <xdr:rowOff>63500</xdr:rowOff>
    </xdr:to>
    <xdr:sp macro="" textlink="">
      <xdr:nvSpPr>
        <xdr:cNvPr id="8" name="Line 1"/>
        <xdr:cNvSpPr>
          <a:spLocks noChangeShapeType="1"/>
        </xdr:cNvSpPr>
      </xdr:nvSpPr>
      <xdr:spPr bwMode="auto">
        <a:xfrm flipH="1">
          <a:off x="5588000" y="3022600"/>
          <a:ext cx="406400" cy="1397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24</xdr:row>
      <xdr:rowOff>114300</xdr:rowOff>
    </xdr:from>
    <xdr:to>
      <xdr:col>4</xdr:col>
      <xdr:colOff>406400</xdr:colOff>
      <xdr:row>27</xdr:row>
      <xdr:rowOff>114300</xdr:rowOff>
    </xdr:to>
    <xdr:sp macro="" textlink="">
      <xdr:nvSpPr>
        <xdr:cNvPr id="9" name="Line 1"/>
        <xdr:cNvSpPr>
          <a:spLocks noChangeShapeType="1"/>
        </xdr:cNvSpPr>
      </xdr:nvSpPr>
      <xdr:spPr bwMode="auto">
        <a:xfrm flipH="1" flipV="1">
          <a:off x="5575300" y="4470400"/>
          <a:ext cx="40640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0.67636</cdr:x>
      <cdr:y>0.52237</cdr:y>
    </cdr:from>
    <cdr:to>
      <cdr:x>0.96296</cdr:x>
      <cdr:y>0.62192</cdr:y>
    </cdr:to>
    <cdr:sp macro="" textlink="">
      <cdr:nvSpPr>
        <cdr:cNvPr id="2" name="Oval 5"/>
        <cdr:cNvSpPr>
          <a:spLocks xmlns:a="http://schemas.openxmlformats.org/drawingml/2006/main" noChangeArrowheads="1"/>
        </cdr:cNvSpPr>
      </cdr:nvSpPr>
      <cdr:spPr bwMode="auto">
        <a:xfrm xmlns:a="http://schemas.openxmlformats.org/drawingml/2006/main">
          <a:off x="5798131" y="3045043"/>
          <a:ext cx="2456879" cy="580307"/>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2000" b="0" i="0" u="none" strike="noStrike" baseline="0">
              <a:solidFill>
                <a:srgbClr val="000000"/>
              </a:solidFill>
              <a:latin typeface="Arial"/>
              <a:ea typeface="Arial"/>
              <a:cs typeface="Arial"/>
            </a:rPr>
            <a:t>En Suisse</a:t>
          </a:r>
        </a:p>
      </cdr:txBody>
    </cdr:sp>
  </cdr:relSizeAnchor>
  <cdr:relSizeAnchor xmlns:cdr="http://schemas.openxmlformats.org/drawingml/2006/chartDrawing">
    <cdr:from>
      <cdr:x>0.46115</cdr:x>
      <cdr:y>0.19247</cdr:y>
    </cdr:from>
    <cdr:to>
      <cdr:x>0.75771</cdr:x>
      <cdr:y>0.29202</cdr:y>
    </cdr:to>
    <cdr:sp macro="" textlink="">
      <cdr:nvSpPr>
        <cdr:cNvPr id="4" name="Oval 5"/>
        <cdr:cNvSpPr>
          <a:spLocks xmlns:a="http://schemas.openxmlformats.org/drawingml/2006/main" noChangeArrowheads="1"/>
        </cdr:cNvSpPr>
      </cdr:nvSpPr>
      <cdr:spPr bwMode="auto">
        <a:xfrm xmlns:a="http://schemas.openxmlformats.org/drawingml/2006/main">
          <a:off x="3953167" y="1121983"/>
          <a:ext cx="2542261" cy="580307"/>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2000" b="0" i="0" u="none" strike="noStrike" baseline="0">
              <a:solidFill>
                <a:srgbClr val="000000"/>
              </a:solidFill>
              <a:latin typeface="Arial"/>
              <a:ea typeface="Arial"/>
              <a:cs typeface="Arial"/>
            </a:rPr>
            <a:t>Dans tous les paradis fiscaux</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0.56414</cdr:x>
      <cdr:y>0.34163</cdr:y>
    </cdr:from>
    <cdr:to>
      <cdr:x>0.79034</cdr:x>
      <cdr:y>0.40724</cdr:y>
    </cdr:to>
    <cdr:sp macro="" textlink="">
      <cdr:nvSpPr>
        <cdr:cNvPr id="2" name="Rectangle 1"/>
        <cdr:cNvSpPr/>
      </cdr:nvSpPr>
      <cdr:spPr>
        <a:xfrm xmlns:a="http://schemas.openxmlformats.org/drawingml/2006/main">
          <a:off x="5194364" y="1917707"/>
          <a:ext cx="2082736" cy="3682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Hidden</a:t>
          </a:r>
          <a:r>
            <a:rPr lang="fr-FR" sz="1600" baseline="0">
              <a:solidFill>
                <a:schemeClr val="tx1"/>
              </a:solidFill>
              <a:effectLst/>
              <a:latin typeface="Arial"/>
              <a:cs typeface="Arial"/>
            </a:rPr>
            <a:t> wealth disclosed in amnesty</a:t>
          </a:r>
          <a:endParaRPr lang="fr-FR" sz="1600">
            <a:solidFill>
              <a:schemeClr val="tx1"/>
            </a:solidFill>
            <a:effectLst/>
            <a:latin typeface="Arial"/>
            <a:cs typeface="Arial"/>
          </a:endParaRPr>
        </a:p>
      </cdr:txBody>
    </cdr:sp>
  </cdr:relSizeAnchor>
  <cdr:relSizeAnchor xmlns:cdr="http://schemas.openxmlformats.org/drawingml/2006/chartDrawing">
    <cdr:from>
      <cdr:x>0.70345</cdr:x>
      <cdr:y>0.5543</cdr:y>
    </cdr:from>
    <cdr:to>
      <cdr:x>1</cdr:x>
      <cdr:y>0.66063</cdr:y>
    </cdr:to>
    <cdr:sp macro="" textlink="">
      <cdr:nvSpPr>
        <cdr:cNvPr id="3" name="Rectangle 2"/>
        <cdr:cNvSpPr/>
      </cdr:nvSpPr>
      <cdr:spPr>
        <a:xfrm xmlns:a="http://schemas.openxmlformats.org/drawingml/2006/main">
          <a:off x="6477000" y="3111508"/>
          <a:ext cx="2730500" cy="5968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Hidden wealth </a:t>
          </a:r>
        </a:p>
        <a:p xmlns:a="http://schemas.openxmlformats.org/drawingml/2006/main">
          <a:pPr algn="ctr"/>
          <a:r>
            <a:rPr lang="fr-FR" sz="1600">
              <a:solidFill>
                <a:schemeClr val="accent2">
                  <a:lumMod val="75000"/>
                </a:schemeClr>
              </a:solidFill>
              <a:effectLst/>
              <a:latin typeface="Arial"/>
              <a:cs typeface="Arial"/>
            </a:rPr>
            <a:t>held at HSBC</a:t>
          </a:r>
        </a:p>
      </cdr:txBody>
    </cdr:sp>
  </cdr:relSizeAnchor>
  <cdr:relSizeAnchor xmlns:cdr="http://schemas.openxmlformats.org/drawingml/2006/chartDrawing">
    <cdr:from>
      <cdr:x>0.15863</cdr:x>
      <cdr:y>0.21494</cdr:y>
    </cdr:from>
    <cdr:to>
      <cdr:x>0.47448</cdr:x>
      <cdr:y>0.26471</cdr:y>
    </cdr:to>
    <cdr:sp macro="" textlink="">
      <cdr:nvSpPr>
        <cdr:cNvPr id="4" name="Rectangle 3"/>
        <cdr:cNvSpPr/>
      </cdr:nvSpPr>
      <cdr:spPr>
        <a:xfrm xmlns:a="http://schemas.openxmlformats.org/drawingml/2006/main">
          <a:off x="1460583" y="1206543"/>
          <a:ext cx="2908217" cy="2793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All recorded wealth</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0.50345</cdr:x>
      <cdr:y>0.33711</cdr:y>
    </cdr:from>
    <cdr:to>
      <cdr:x>0.83862</cdr:x>
      <cdr:y>0.40272</cdr:y>
    </cdr:to>
    <cdr:sp macro="" textlink="">
      <cdr:nvSpPr>
        <cdr:cNvPr id="2" name="Rectangle 1"/>
        <cdr:cNvSpPr/>
      </cdr:nvSpPr>
      <cdr:spPr>
        <a:xfrm xmlns:a="http://schemas.openxmlformats.org/drawingml/2006/main">
          <a:off x="4635519" y="1892306"/>
          <a:ext cx="3086081" cy="3682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Richesse cachée dévoilée lors d'amnistes fiscales</a:t>
          </a:r>
        </a:p>
      </cdr:txBody>
    </cdr:sp>
  </cdr:relSizeAnchor>
  <cdr:relSizeAnchor xmlns:cdr="http://schemas.openxmlformats.org/drawingml/2006/chartDrawing">
    <cdr:from>
      <cdr:x>0.73793</cdr:x>
      <cdr:y>0.58824</cdr:y>
    </cdr:from>
    <cdr:to>
      <cdr:x>0.99172</cdr:x>
      <cdr:y>0.69457</cdr:y>
    </cdr:to>
    <cdr:sp macro="" textlink="">
      <cdr:nvSpPr>
        <cdr:cNvPr id="3" name="Rectangle 2"/>
        <cdr:cNvSpPr/>
      </cdr:nvSpPr>
      <cdr:spPr>
        <a:xfrm xmlns:a="http://schemas.openxmlformats.org/drawingml/2006/main">
          <a:off x="6794500" y="3302008"/>
          <a:ext cx="2336800" cy="5968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Richesse cachée chez HSBC Suisse</a:t>
          </a:r>
        </a:p>
      </cdr:txBody>
    </cdr:sp>
  </cdr:relSizeAnchor>
  <cdr:relSizeAnchor xmlns:cdr="http://schemas.openxmlformats.org/drawingml/2006/chartDrawing">
    <cdr:from>
      <cdr:x>0.14208</cdr:x>
      <cdr:y>0.17422</cdr:y>
    </cdr:from>
    <cdr:to>
      <cdr:x>0.56138</cdr:x>
      <cdr:y>0.22624</cdr:y>
    </cdr:to>
    <cdr:sp macro="" textlink="">
      <cdr:nvSpPr>
        <cdr:cNvPr id="4" name="Rectangle 3"/>
        <cdr:cNvSpPr/>
      </cdr:nvSpPr>
      <cdr:spPr>
        <a:xfrm xmlns:a="http://schemas.openxmlformats.org/drawingml/2006/main">
          <a:off x="1308186" y="977944"/>
          <a:ext cx="3860714" cy="2920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Richesse</a:t>
          </a:r>
          <a:r>
            <a:rPr lang="fr-FR" sz="1600" i="1" baseline="0">
              <a:solidFill>
                <a:schemeClr val="tx1"/>
              </a:solidFill>
              <a:effectLst/>
              <a:latin typeface="Arial"/>
              <a:cs typeface="Arial"/>
            </a:rPr>
            <a:t> </a:t>
          </a:r>
          <a:r>
            <a:rPr lang="fr-FR" sz="1600" i="0" baseline="0">
              <a:solidFill>
                <a:schemeClr val="tx1"/>
              </a:solidFill>
              <a:effectLst/>
              <a:latin typeface="Arial"/>
              <a:cs typeface="Arial"/>
            </a:rPr>
            <a:t>non dissimulée (immobiliers, comptes domestiques, etc.)</a:t>
          </a:r>
          <a:endParaRPr lang="fr-FR" sz="1600">
            <a:solidFill>
              <a:schemeClr val="tx1"/>
            </a:solidFill>
            <a:effectLst/>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s://files.taxfoundation.org/legacy/docs/TaxFoundation_FF458.pdf" TargetMode="External"/><Relationship Id="rId2" Type="http://schemas.openxmlformats.org/officeDocument/2006/relationships/hyperlink" Target="https://personal.vanguard.com/us/funds/tools/benchmarkreturns"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opLeftCell="A2" workbookViewId="0">
      <pane xSplit="1" topLeftCell="B1" activePane="topRight" state="frozen"/>
      <selection pane="topRight" activeCell="J14" sqref="J14"/>
    </sheetView>
  </sheetViews>
  <sheetFormatPr baseColWidth="10" defaultRowHeight="15" x14ac:dyDescent="0"/>
  <cols>
    <col min="1" max="1" width="10.83203125" style="4"/>
    <col min="2" max="16" width="13" style="4" customWidth="1"/>
    <col min="17" max="16384" width="10.83203125" style="4"/>
  </cols>
  <sheetData>
    <row r="1" spans="1:16" ht="16" thickBot="1"/>
    <row r="2" spans="1:16" s="3" customFormat="1" ht="110" customHeight="1">
      <c r="A2" s="5"/>
      <c r="B2" s="8" t="s">
        <v>7</v>
      </c>
      <c r="C2" s="9" t="s">
        <v>3</v>
      </c>
      <c r="D2" s="9" t="s">
        <v>4</v>
      </c>
      <c r="E2" s="9" t="s">
        <v>5</v>
      </c>
      <c r="F2" s="10" t="s">
        <v>10</v>
      </c>
      <c r="G2" s="8" t="s">
        <v>2</v>
      </c>
      <c r="H2" s="8" t="s">
        <v>6</v>
      </c>
      <c r="I2" s="8" t="s">
        <v>0</v>
      </c>
      <c r="J2" s="8" t="s">
        <v>11</v>
      </c>
      <c r="K2" s="8" t="s">
        <v>1</v>
      </c>
      <c r="L2" s="11" t="s">
        <v>9</v>
      </c>
      <c r="M2" s="8" t="s">
        <v>8</v>
      </c>
      <c r="N2" s="8" t="s">
        <v>12</v>
      </c>
      <c r="O2" s="8" t="s">
        <v>13</v>
      </c>
      <c r="P2" s="11" t="s">
        <v>14</v>
      </c>
    </row>
    <row r="3" spans="1:16">
      <c r="A3" s="6">
        <v>1910</v>
      </c>
      <c r="B3" s="12">
        <v>0.98433483423924883</v>
      </c>
      <c r="C3" s="13"/>
      <c r="D3" s="13"/>
      <c r="E3" s="13"/>
      <c r="F3" s="14">
        <v>0.5</v>
      </c>
      <c r="G3" s="12">
        <v>0</v>
      </c>
      <c r="H3" s="15">
        <f t="shared" ref="H3:H12" si="0">G3+F3*B3</f>
        <v>0.49216741711962442</v>
      </c>
      <c r="I3" s="16">
        <v>1</v>
      </c>
      <c r="J3" s="12">
        <f t="shared" ref="J3:J12" si="1">I3*H3</f>
        <v>0.49216741711962442</v>
      </c>
      <c r="K3" s="17">
        <f t="shared" ref="K3:K15" si="2">J3/(P3+J3)</f>
        <v>4.0371223882754497E-3</v>
      </c>
      <c r="L3" s="18">
        <f t="shared" ref="L3:L9" si="3">K3</f>
        <v>4.0371223882754497E-3</v>
      </c>
      <c r="M3" s="19">
        <f t="shared" ref="M3:M9" si="4">M4*N3/N4</f>
        <v>68.74334703891067</v>
      </c>
      <c r="N3" s="15">
        <v>37.320339370000035</v>
      </c>
      <c r="O3" s="20">
        <v>1.7662550676504123</v>
      </c>
      <c r="P3" s="21">
        <f t="shared" ref="P3:P12" si="5">M3*O3</f>
        <v>121.41828507472694</v>
      </c>
    </row>
    <row r="4" spans="1:16">
      <c r="A4" s="6">
        <v>1920</v>
      </c>
      <c r="B4" s="12">
        <v>2.6424384886616026</v>
      </c>
      <c r="C4" s="13"/>
      <c r="D4" s="13"/>
      <c r="E4" s="13"/>
      <c r="F4" s="14">
        <v>0.5</v>
      </c>
      <c r="G4" s="12">
        <v>0</v>
      </c>
      <c r="H4" s="12">
        <f t="shared" si="0"/>
        <v>1.3212192443308013</v>
      </c>
      <c r="I4" s="16">
        <v>0.95</v>
      </c>
      <c r="J4" s="12">
        <f t="shared" si="1"/>
        <v>1.2551582821142611</v>
      </c>
      <c r="K4" s="17">
        <f t="shared" si="2"/>
        <v>1.3715282395642847E-2</v>
      </c>
      <c r="L4" s="18">
        <f t="shared" si="3"/>
        <v>1.3715282395642847E-2</v>
      </c>
      <c r="M4" s="19">
        <f t="shared" si="4"/>
        <v>79.308659181442124</v>
      </c>
      <c r="N4" s="12">
        <v>43.056182207068623</v>
      </c>
      <c r="O4" s="20">
        <v>1.1380869362113792</v>
      </c>
      <c r="P4" s="22">
        <f t="shared" si="5"/>
        <v>90.260148942839933</v>
      </c>
    </row>
    <row r="5" spans="1:16">
      <c r="A5" s="6">
        <v>1930</v>
      </c>
      <c r="B5" s="12">
        <v>5.4221973583644862</v>
      </c>
      <c r="C5" s="13"/>
      <c r="D5" s="13"/>
      <c r="E5" s="13"/>
      <c r="F5" s="14">
        <v>0.6</v>
      </c>
      <c r="G5" s="12">
        <v>0</v>
      </c>
      <c r="H5" s="12">
        <f t="shared" si="0"/>
        <v>3.2533184150186916</v>
      </c>
      <c r="I5" s="16">
        <v>0.95</v>
      </c>
      <c r="J5" s="12">
        <f t="shared" si="1"/>
        <v>3.0906524942677569</v>
      </c>
      <c r="K5" s="17">
        <f t="shared" si="2"/>
        <v>2.1873087346263743E-2</v>
      </c>
      <c r="L5" s="18">
        <f t="shared" si="3"/>
        <v>2.1873087346263743E-2</v>
      </c>
      <c r="M5" s="19">
        <f t="shared" si="4"/>
        <v>109.70096305600222</v>
      </c>
      <c r="N5" s="12">
        <v>59.555976640888261</v>
      </c>
      <c r="O5" s="20">
        <v>1.259867456158442</v>
      </c>
      <c r="P5" s="22">
        <f t="shared" si="5"/>
        <v>138.20867326349673</v>
      </c>
    </row>
    <row r="6" spans="1:16">
      <c r="A6" s="6">
        <v>1940</v>
      </c>
      <c r="B6" s="12">
        <v>5.3914570508642354</v>
      </c>
      <c r="C6" s="13"/>
      <c r="D6" s="13"/>
      <c r="E6" s="13"/>
      <c r="F6" s="14">
        <v>0.6</v>
      </c>
      <c r="G6" s="12">
        <v>0</v>
      </c>
      <c r="H6" s="12">
        <f t="shared" si="0"/>
        <v>3.2348742305185412</v>
      </c>
      <c r="I6" s="16">
        <v>0.95</v>
      </c>
      <c r="J6" s="12">
        <f t="shared" si="1"/>
        <v>3.0731305189926141</v>
      </c>
      <c r="K6" s="17">
        <f t="shared" si="2"/>
        <v>1.6456326348392603E-2</v>
      </c>
      <c r="L6" s="18">
        <f t="shared" si="3"/>
        <v>1.6456326348392603E-2</v>
      </c>
      <c r="M6" s="19">
        <f t="shared" si="4"/>
        <v>168.09423637428685</v>
      </c>
      <c r="N6" s="12">
        <v>91.257324786331779</v>
      </c>
      <c r="O6" s="20">
        <v>1.0926698025694435</v>
      </c>
      <c r="P6" s="22">
        <f t="shared" si="5"/>
        <v>183.67149607215339</v>
      </c>
    </row>
    <row r="7" spans="1:16">
      <c r="A7" s="6">
        <v>1950</v>
      </c>
      <c r="B7" s="12">
        <v>10.153800684717867</v>
      </c>
      <c r="C7" s="13"/>
      <c r="D7" s="13"/>
      <c r="E7" s="13"/>
      <c r="F7" s="14">
        <v>0.39527154127910602</v>
      </c>
      <c r="G7" s="12">
        <v>6.71394949304783E-2</v>
      </c>
      <c r="H7" s="12">
        <f t="shared" si="0"/>
        <v>4.080647941419751</v>
      </c>
      <c r="I7" s="16">
        <v>0.95</v>
      </c>
      <c r="J7" s="12">
        <f t="shared" si="1"/>
        <v>3.8766155443487631</v>
      </c>
      <c r="K7" s="17">
        <f t="shared" si="2"/>
        <v>1.9907962528576569E-2</v>
      </c>
      <c r="L7" s="18">
        <f t="shared" si="3"/>
        <v>1.9907962528576569E-2</v>
      </c>
      <c r="M7" s="19">
        <f t="shared" si="4"/>
        <v>248.79231567330996</v>
      </c>
      <c r="N7" s="12">
        <v>135.06781461078012</v>
      </c>
      <c r="O7" s="20">
        <v>0.76710677203035749</v>
      </c>
      <c r="P7" s="22">
        <f t="shared" si="5"/>
        <v>190.85027018211051</v>
      </c>
    </row>
    <row r="8" spans="1:16">
      <c r="A8" s="6">
        <v>1960</v>
      </c>
      <c r="B8" s="12">
        <v>35.747344173170021</v>
      </c>
      <c r="C8" s="13"/>
      <c r="D8" s="13"/>
      <c r="E8" s="13"/>
      <c r="F8" s="14">
        <v>0.39527154127910602</v>
      </c>
      <c r="G8" s="19">
        <v>2.0409204258133182</v>
      </c>
      <c r="H8" s="12">
        <f t="shared" si="0"/>
        <v>16.1708282537769</v>
      </c>
      <c r="I8" s="16">
        <v>0.9</v>
      </c>
      <c r="J8" s="19">
        <f t="shared" si="1"/>
        <v>14.55374542839921</v>
      </c>
      <c r="K8" s="17">
        <f t="shared" si="2"/>
        <v>3.1770214254707885E-2</v>
      </c>
      <c r="L8" s="18">
        <f t="shared" si="3"/>
        <v>3.1770214254707885E-2</v>
      </c>
      <c r="M8" s="19">
        <f t="shared" si="4"/>
        <v>512.33675923702413</v>
      </c>
      <c r="N8" s="12">
        <v>278.1444685204076</v>
      </c>
      <c r="O8" s="20">
        <v>0.86572020236855751</v>
      </c>
      <c r="P8" s="22">
        <f t="shared" si="5"/>
        <v>443.54028288752744</v>
      </c>
    </row>
    <row r="9" spans="1:16">
      <c r="A9" s="6">
        <v>1970</v>
      </c>
      <c r="B9" s="19">
        <v>172.92128204894613</v>
      </c>
      <c r="C9" s="13"/>
      <c r="D9" s="13"/>
      <c r="E9" s="13"/>
      <c r="F9" s="14">
        <v>0.39527154127910602</v>
      </c>
      <c r="G9" s="19">
        <v>25.359544374037757</v>
      </c>
      <c r="H9" s="19">
        <f t="shared" si="0"/>
        <v>93.710406049483694</v>
      </c>
      <c r="I9" s="16">
        <v>0.75</v>
      </c>
      <c r="J9" s="19">
        <f t="shared" si="1"/>
        <v>70.282804537112767</v>
      </c>
      <c r="K9" s="17">
        <f t="shared" si="2"/>
        <v>4.5471192531421685E-2</v>
      </c>
      <c r="L9" s="18">
        <f t="shared" si="3"/>
        <v>4.5471192531421685E-2</v>
      </c>
      <c r="M9" s="19">
        <f t="shared" si="4"/>
        <v>1608.7279501164817</v>
      </c>
      <c r="N9" s="19">
        <v>873.36848783880487</v>
      </c>
      <c r="O9" s="20">
        <v>0.91710523268775113</v>
      </c>
      <c r="P9" s="23">
        <f t="shared" si="5"/>
        <v>1475.3728210228649</v>
      </c>
    </row>
    <row r="10" spans="1:16">
      <c r="A10" s="6">
        <v>1980</v>
      </c>
      <c r="B10" s="19">
        <v>575.09997268536404</v>
      </c>
      <c r="C10" s="13"/>
      <c r="D10" s="13"/>
      <c r="E10" s="13"/>
      <c r="F10" s="14">
        <v>0.39527154127910602</v>
      </c>
      <c r="G10" s="19">
        <v>134.26863273101907</v>
      </c>
      <c r="H10" s="19">
        <f t="shared" si="0"/>
        <v>361.58928532393469</v>
      </c>
      <c r="I10" s="16">
        <v>0.6</v>
      </c>
      <c r="J10" s="19">
        <f t="shared" si="1"/>
        <v>216.95357119436082</v>
      </c>
      <c r="K10" s="17">
        <f t="shared" si="2"/>
        <v>5.5363673821882231E-2</v>
      </c>
      <c r="L10" s="24">
        <f>L9+(L$13-L$9)/4</f>
        <v>6.2356905877329692E-2</v>
      </c>
      <c r="M10" s="19">
        <v>3500.2016121822771</v>
      </c>
      <c r="N10" s="19">
        <v>1900.237879836202</v>
      </c>
      <c r="O10" s="20">
        <v>1.0575806201946178</v>
      </c>
      <c r="P10" s="23">
        <f t="shared" si="5"/>
        <v>3701.745391817934</v>
      </c>
    </row>
    <row r="11" spans="1:16">
      <c r="A11" s="6">
        <v>1990</v>
      </c>
      <c r="B11" s="19">
        <v>1488.6753062617606</v>
      </c>
      <c r="C11" s="13"/>
      <c r="D11" s="13"/>
      <c r="E11" s="13"/>
      <c r="F11" s="14">
        <v>0.44</v>
      </c>
      <c r="G11" s="19">
        <v>288.50349295511677</v>
      </c>
      <c r="H11" s="19">
        <f t="shared" si="0"/>
        <v>943.52062771029136</v>
      </c>
      <c r="I11" s="16">
        <v>0.6</v>
      </c>
      <c r="J11" s="19">
        <f t="shared" si="1"/>
        <v>566.11237662617475</v>
      </c>
      <c r="K11" s="17">
        <f t="shared" si="2"/>
        <v>5.4864763141778003E-2</v>
      </c>
      <c r="L11" s="24">
        <f t="shared" ref="L11:L12" si="6">L10+(L$13-L$9)/4</f>
        <v>7.9242619223237692E-2</v>
      </c>
      <c r="M11" s="19">
        <v>7242.2765574748137</v>
      </c>
      <c r="N11" s="19">
        <v>4074.2314414472407</v>
      </c>
      <c r="O11" s="20">
        <v>1.346567074371571</v>
      </c>
      <c r="P11" s="23">
        <f t="shared" si="5"/>
        <v>9752.2111557886728</v>
      </c>
    </row>
    <row r="12" spans="1:16">
      <c r="A12" s="6">
        <v>2000</v>
      </c>
      <c r="B12" s="19">
        <v>3258.9020079898182</v>
      </c>
      <c r="C12" s="25">
        <v>1305.7729871631432</v>
      </c>
      <c r="D12" s="25">
        <v>124.31399499999999</v>
      </c>
      <c r="E12" s="26">
        <v>0</v>
      </c>
      <c r="F12" s="27">
        <v>0.43882478781412049</v>
      </c>
      <c r="G12" s="19">
        <v>407.11989402065825</v>
      </c>
      <c r="H12" s="19">
        <f t="shared" si="0"/>
        <v>1837.2068761838013</v>
      </c>
      <c r="I12" s="16">
        <v>0.6</v>
      </c>
      <c r="J12" s="19">
        <f t="shared" si="1"/>
        <v>1102.3241257102807</v>
      </c>
      <c r="K12" s="17">
        <f t="shared" si="2"/>
        <v>5.8807266189131353E-2</v>
      </c>
      <c r="L12" s="24">
        <f t="shared" si="6"/>
        <v>9.61283325691457E-2</v>
      </c>
      <c r="M12" s="19">
        <v>11305.141368123035</v>
      </c>
      <c r="N12" s="19">
        <v>6006.356080706928</v>
      </c>
      <c r="O12" s="20">
        <v>1.5605615066393419</v>
      </c>
      <c r="P12" s="23">
        <f t="shared" si="5"/>
        <v>17642.368446208835</v>
      </c>
    </row>
    <row r="13" spans="1:16">
      <c r="A13" s="6">
        <v>2010</v>
      </c>
      <c r="B13" s="19">
        <v>5245.6449128709892</v>
      </c>
      <c r="C13" s="25">
        <v>1896.454149713418</v>
      </c>
      <c r="D13" s="28">
        <v>77</v>
      </c>
      <c r="E13" s="28">
        <v>100</v>
      </c>
      <c r="F13" s="27">
        <v>0.39527154127910602</v>
      </c>
      <c r="G13" s="19">
        <v>213.06184486373166</v>
      </c>
      <c r="H13" s="19">
        <v>2286.5159945771497</v>
      </c>
      <c r="I13" s="16">
        <v>0.56000000000000005</v>
      </c>
      <c r="J13" s="19">
        <f>I13*H13</f>
        <v>1280.448956963204</v>
      </c>
      <c r="K13" s="17">
        <f t="shared" si="2"/>
        <v>5.6507022957526853E-2</v>
      </c>
      <c r="L13" s="209">
        <f>K13*2</f>
        <v>0.11301404591505371</v>
      </c>
      <c r="M13" s="19">
        <v>14311.368240000002</v>
      </c>
      <c r="N13" s="19"/>
      <c r="O13" s="20">
        <v>1.4938856607885034</v>
      </c>
      <c r="P13" s="23">
        <v>21379.547800000004</v>
      </c>
    </row>
    <row r="14" spans="1:16" ht="16" thickBot="1">
      <c r="A14" s="7">
        <v>2017</v>
      </c>
      <c r="B14" s="29">
        <v>5868.5322422062354</v>
      </c>
      <c r="C14" s="30">
        <v>1915.1868546485127</v>
      </c>
      <c r="D14" s="30">
        <v>81.725779730471643</v>
      </c>
      <c r="E14" s="30">
        <v>94.784778921663218</v>
      </c>
      <c r="F14" s="31">
        <f>(C14+D14+E14)/B14</f>
        <v>0.35642598983392271</v>
      </c>
      <c r="G14" s="29">
        <v>159.97631323906845</v>
      </c>
      <c r="H14" s="32">
        <f>G14+E14+D14+C14</f>
        <v>2251.673726539716</v>
      </c>
      <c r="I14" s="33">
        <f>DataTab1!C4</f>
        <v>0.46000000000000008</v>
      </c>
      <c r="J14" s="29">
        <f>I14*H14</f>
        <v>1035.7699142082695</v>
      </c>
      <c r="K14" s="34">
        <f t="shared" si="2"/>
        <v>4.9475054117685824E-2</v>
      </c>
      <c r="L14" s="208">
        <f>'Tab4'!C5</f>
        <v>0.11338491307133214</v>
      </c>
      <c r="M14" s="29">
        <f>M13/1.3*1.1*1.1</f>
        <v>13320.581208000001</v>
      </c>
      <c r="N14" s="35"/>
      <c r="O14" s="36">
        <f>O13</f>
        <v>1.4938856607885034</v>
      </c>
      <c r="P14" s="37">
        <f>O14*M14</f>
        <v>19899.425260000004</v>
      </c>
    </row>
    <row r="15" spans="1:16">
      <c r="A15" s="167" t="s">
        <v>112</v>
      </c>
      <c r="B15" s="41">
        <f>B14/1.1</f>
        <v>5335.0293110965777</v>
      </c>
      <c r="C15" s="41">
        <f t="shared" ref="C15:J15" si="7">C14/1.1</f>
        <v>1741.078958771375</v>
      </c>
      <c r="D15" s="41">
        <f t="shared" si="7"/>
        <v>74.296163391337856</v>
      </c>
      <c r="E15" s="41">
        <f t="shared" si="7"/>
        <v>86.167980837875646</v>
      </c>
      <c r="F15" s="41"/>
      <c r="G15" s="41">
        <f t="shared" si="7"/>
        <v>145.43301203551675</v>
      </c>
      <c r="H15" s="41">
        <f t="shared" si="7"/>
        <v>2046.9761150361053</v>
      </c>
      <c r="I15" s="41"/>
      <c r="J15" s="41">
        <f t="shared" si="7"/>
        <v>941.60901291660855</v>
      </c>
      <c r="K15" s="67">
        <f t="shared" si="2"/>
        <v>4.9475054117685831E-2</v>
      </c>
      <c r="L15" s="67"/>
      <c r="M15" s="41">
        <f t="shared" ref="M15" si="8">M14/1.1</f>
        <v>12109.619280000001</v>
      </c>
      <c r="N15" s="41"/>
      <c r="O15" s="41"/>
      <c r="P15" s="41">
        <f t="shared" ref="P15" si="9">P14/1.1</f>
        <v>18090.386600000002</v>
      </c>
    </row>
    <row r="16" spans="1:16" ht="16" thickBot="1"/>
    <row r="17" spans="1:16" ht="15" customHeight="1">
      <c r="A17" s="253" t="s">
        <v>115</v>
      </c>
      <c r="B17" s="254"/>
      <c r="C17" s="254"/>
      <c r="D17" s="254"/>
      <c r="E17" s="254"/>
      <c r="F17" s="254"/>
      <c r="G17" s="254"/>
      <c r="H17" s="254"/>
      <c r="I17" s="254"/>
      <c r="J17" s="254"/>
      <c r="K17" s="254"/>
      <c r="L17" s="254"/>
      <c r="M17" s="254"/>
      <c r="N17" s="254"/>
      <c r="O17" s="254"/>
      <c r="P17" s="255"/>
    </row>
    <row r="18" spans="1:16">
      <c r="A18" s="256"/>
      <c r="B18" s="257"/>
      <c r="C18" s="257"/>
      <c r="D18" s="257"/>
      <c r="E18" s="257"/>
      <c r="F18" s="257"/>
      <c r="G18" s="257"/>
      <c r="H18" s="257"/>
      <c r="I18" s="257"/>
      <c r="J18" s="257"/>
      <c r="K18" s="257"/>
      <c r="L18" s="257"/>
      <c r="M18" s="257"/>
      <c r="N18" s="257"/>
      <c r="O18" s="257"/>
      <c r="P18" s="258"/>
    </row>
    <row r="19" spans="1:16">
      <c r="A19" s="256"/>
      <c r="B19" s="257"/>
      <c r="C19" s="257"/>
      <c r="D19" s="257"/>
      <c r="E19" s="257"/>
      <c r="F19" s="257"/>
      <c r="G19" s="257"/>
      <c r="H19" s="257"/>
      <c r="I19" s="257"/>
      <c r="J19" s="257"/>
      <c r="K19" s="257"/>
      <c r="L19" s="257"/>
      <c r="M19" s="257"/>
      <c r="N19" s="257"/>
      <c r="O19" s="257"/>
      <c r="P19" s="258"/>
    </row>
    <row r="20" spans="1:16">
      <c r="A20" s="256"/>
      <c r="B20" s="257"/>
      <c r="C20" s="257"/>
      <c r="D20" s="257"/>
      <c r="E20" s="257"/>
      <c r="F20" s="257"/>
      <c r="G20" s="257"/>
      <c r="H20" s="257"/>
      <c r="I20" s="257"/>
      <c r="J20" s="257"/>
      <c r="K20" s="257"/>
      <c r="L20" s="257"/>
      <c r="M20" s="257"/>
      <c r="N20" s="257"/>
      <c r="O20" s="257"/>
      <c r="P20" s="258"/>
    </row>
    <row r="21" spans="1:16" ht="33" customHeight="1">
      <c r="A21" s="256"/>
      <c r="B21" s="257"/>
      <c r="C21" s="257"/>
      <c r="D21" s="257"/>
      <c r="E21" s="257"/>
      <c r="F21" s="257"/>
      <c r="G21" s="257"/>
      <c r="H21" s="257"/>
      <c r="I21" s="257"/>
      <c r="J21" s="257"/>
      <c r="K21" s="257"/>
      <c r="L21" s="257"/>
      <c r="M21" s="257"/>
      <c r="N21" s="257"/>
      <c r="O21" s="257"/>
      <c r="P21" s="258"/>
    </row>
    <row r="22" spans="1:16">
      <c r="A22" s="256"/>
      <c r="B22" s="257"/>
      <c r="C22" s="257"/>
      <c r="D22" s="257"/>
      <c r="E22" s="257"/>
      <c r="F22" s="257"/>
      <c r="G22" s="257"/>
      <c r="H22" s="257"/>
      <c r="I22" s="257"/>
      <c r="J22" s="257"/>
      <c r="K22" s="257"/>
      <c r="L22" s="257"/>
      <c r="M22" s="257"/>
      <c r="N22" s="257"/>
      <c r="O22" s="257"/>
      <c r="P22" s="258"/>
    </row>
    <row r="23" spans="1:16" ht="16" thickBot="1">
      <c r="A23" s="259"/>
      <c r="B23" s="260"/>
      <c r="C23" s="260"/>
      <c r="D23" s="260"/>
      <c r="E23" s="260"/>
      <c r="F23" s="260"/>
      <c r="G23" s="260"/>
      <c r="H23" s="260"/>
      <c r="I23" s="260"/>
      <c r="J23" s="260"/>
      <c r="K23" s="260"/>
      <c r="L23" s="260"/>
      <c r="M23" s="260"/>
      <c r="N23" s="260"/>
      <c r="O23" s="260"/>
      <c r="P23" s="261"/>
    </row>
    <row r="25" spans="1:16">
      <c r="B25" s="38"/>
      <c r="L25" s="42"/>
    </row>
    <row r="26" spans="1:16">
      <c r="K26" s="38"/>
    </row>
    <row r="27" spans="1:16">
      <c r="K27" s="38"/>
    </row>
    <row r="28" spans="1:16">
      <c r="K28" s="38"/>
    </row>
  </sheetData>
  <mergeCells count="1">
    <mergeCell ref="A17:P23"/>
  </mergeCell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workbookViewId="0">
      <selection activeCell="B11" sqref="B11"/>
    </sheetView>
  </sheetViews>
  <sheetFormatPr baseColWidth="10" defaultRowHeight="12" x14ac:dyDescent="0"/>
  <cols>
    <col min="1" max="1" width="18.83203125" style="40" customWidth="1"/>
    <col min="2" max="2" width="22.6640625" style="40" customWidth="1"/>
    <col min="3" max="3" width="5.6640625" style="40" customWidth="1"/>
    <col min="4" max="4" width="24.1640625" style="40" customWidth="1"/>
    <col min="5" max="5" width="5.6640625" style="40" customWidth="1"/>
    <col min="6" max="6" width="34.5" style="40" customWidth="1"/>
    <col min="7" max="7" width="4" style="40" customWidth="1"/>
    <col min="8" max="9" width="20.6640625" style="40" customWidth="1"/>
    <col min="10" max="16384" width="10.83203125" style="40"/>
  </cols>
  <sheetData>
    <row r="2" spans="2:6" ht="13" thickBot="1">
      <c r="B2" s="69"/>
      <c r="C2" s="69"/>
      <c r="D2" s="69"/>
      <c r="E2" s="69"/>
      <c r="F2" s="69"/>
    </row>
    <row r="3" spans="2:6" ht="13" thickTop="1">
      <c r="B3" s="267" t="s">
        <v>153</v>
      </c>
      <c r="C3" s="267"/>
      <c r="D3" s="267"/>
      <c r="E3" s="267"/>
      <c r="F3" s="267"/>
    </row>
    <row r="4" spans="2:6">
      <c r="B4" s="268"/>
      <c r="C4" s="268"/>
      <c r="D4" s="268"/>
      <c r="E4" s="268"/>
      <c r="F4" s="268"/>
    </row>
    <row r="5" spans="2:6">
      <c r="B5" s="268"/>
      <c r="C5" s="268"/>
      <c r="D5" s="268"/>
      <c r="E5" s="268"/>
      <c r="F5" s="268"/>
    </row>
    <row r="6" spans="2:6">
      <c r="B6" s="269"/>
      <c r="C6" s="269"/>
      <c r="D6" s="269"/>
      <c r="E6" s="269"/>
      <c r="F6" s="269"/>
    </row>
    <row r="7" spans="2:6">
      <c r="B7" s="273" t="s">
        <v>173</v>
      </c>
      <c r="C7" s="273"/>
      <c r="D7" s="273"/>
      <c r="E7" s="273"/>
      <c r="F7" s="273"/>
    </row>
    <row r="8" spans="2:6">
      <c r="B8" s="274"/>
      <c r="C8" s="274"/>
      <c r="D8" s="274"/>
      <c r="E8" s="274"/>
      <c r="F8" s="274"/>
    </row>
    <row r="9" spans="2:6">
      <c r="B9" s="274"/>
      <c r="C9" s="274"/>
      <c r="D9" s="274"/>
      <c r="E9" s="274"/>
      <c r="F9" s="274"/>
    </row>
    <row r="10" spans="2:6">
      <c r="B10" s="275"/>
      <c r="C10" s="275"/>
      <c r="D10" s="275"/>
      <c r="E10" s="275"/>
      <c r="F10" s="275"/>
    </row>
    <row r="11" spans="2:6" ht="24" customHeight="1" thickBot="1">
      <c r="B11" s="61"/>
      <c r="C11" s="61"/>
      <c r="D11" s="61"/>
      <c r="E11" s="61"/>
      <c r="F11" s="61"/>
    </row>
    <row r="12" spans="2:6" ht="15" customHeight="1">
      <c r="B12" s="286" t="s">
        <v>154</v>
      </c>
      <c r="C12" s="61"/>
      <c r="D12" s="290" t="s">
        <v>156</v>
      </c>
      <c r="E12" s="61"/>
      <c r="F12" s="61"/>
    </row>
    <row r="13" spans="2:6" ht="15" customHeight="1">
      <c r="B13" s="287"/>
      <c r="C13" s="61"/>
      <c r="D13" s="291"/>
      <c r="E13" s="61"/>
      <c r="F13" s="63"/>
    </row>
    <row r="14" spans="2:6" ht="15" customHeight="1">
      <c r="B14" s="287"/>
      <c r="C14" s="61"/>
      <c r="D14" s="291"/>
      <c r="E14" s="61"/>
      <c r="F14" s="62"/>
    </row>
    <row r="15" spans="2:6" ht="15" customHeight="1">
      <c r="B15" s="288"/>
      <c r="C15" s="61"/>
      <c r="D15" s="291"/>
      <c r="E15" s="61"/>
      <c r="F15" s="62"/>
    </row>
    <row r="16" spans="2:6" ht="15" customHeight="1">
      <c r="B16" s="288"/>
      <c r="C16" s="61"/>
      <c r="D16" s="291"/>
      <c r="E16" s="61"/>
      <c r="F16" s="62"/>
    </row>
    <row r="17" spans="2:6" ht="15" customHeight="1">
      <c r="B17" s="288"/>
      <c r="C17" s="61"/>
      <c r="D17" s="291"/>
      <c r="E17" s="61"/>
      <c r="F17" s="62"/>
    </row>
    <row r="18" spans="2:6" ht="15" customHeight="1">
      <c r="B18" s="288"/>
      <c r="C18" s="61"/>
      <c r="D18" s="291"/>
      <c r="E18" s="61"/>
      <c r="F18" s="61"/>
    </row>
    <row r="19" spans="2:6" ht="15" customHeight="1">
      <c r="B19" s="288"/>
      <c r="C19" s="61"/>
      <c r="D19" s="291"/>
      <c r="E19" s="61"/>
      <c r="F19" s="61"/>
    </row>
    <row r="20" spans="2:6" ht="15" customHeight="1">
      <c r="B20" s="288"/>
      <c r="C20" s="61"/>
      <c r="D20" s="291"/>
      <c r="E20" s="61"/>
      <c r="F20" s="61"/>
    </row>
    <row r="21" spans="2:6" ht="15" customHeight="1" thickBot="1">
      <c r="B21" s="288"/>
      <c r="C21" s="61"/>
      <c r="D21" s="291"/>
      <c r="E21" s="61"/>
      <c r="F21" s="61"/>
    </row>
    <row r="22" spans="2:6" ht="15" customHeight="1">
      <c r="B22" s="288"/>
      <c r="C22" s="61"/>
      <c r="D22" s="291"/>
      <c r="E22" s="61"/>
      <c r="F22" s="290" t="s">
        <v>157</v>
      </c>
    </row>
    <row r="23" spans="2:6" ht="15" customHeight="1" thickBot="1">
      <c r="B23" s="288"/>
      <c r="C23" s="61"/>
      <c r="D23" s="292"/>
      <c r="E23" s="61"/>
      <c r="F23" s="291"/>
    </row>
    <row r="24" spans="2:6" ht="15" customHeight="1">
      <c r="B24" s="288"/>
      <c r="C24" s="61"/>
      <c r="D24" s="61"/>
      <c r="E24" s="61"/>
      <c r="F24" s="291"/>
    </row>
    <row r="25" spans="2:6" ht="15" customHeight="1" thickBot="1">
      <c r="B25" s="288"/>
      <c r="C25" s="61"/>
      <c r="D25" s="61"/>
      <c r="E25" s="61"/>
      <c r="F25" s="292"/>
    </row>
    <row r="26" spans="2:6" ht="15" customHeight="1">
      <c r="B26" s="288"/>
      <c r="C26" s="61"/>
      <c r="D26" s="290" t="s">
        <v>155</v>
      </c>
      <c r="E26" s="61"/>
      <c r="F26" s="61"/>
    </row>
    <row r="27" spans="2:6" ht="15" customHeight="1" thickBot="1">
      <c r="B27" s="288"/>
      <c r="C27" s="61"/>
      <c r="D27" s="291"/>
      <c r="E27" s="61"/>
      <c r="F27" s="64"/>
    </row>
    <row r="28" spans="2:6" ht="15" customHeight="1">
      <c r="B28" s="288"/>
      <c r="C28" s="61"/>
      <c r="D28" s="291"/>
      <c r="E28" s="61"/>
      <c r="F28" s="290" t="s">
        <v>158</v>
      </c>
    </row>
    <row r="29" spans="2:6" ht="15" customHeight="1">
      <c r="B29" s="288"/>
      <c r="C29" s="61"/>
      <c r="D29" s="291"/>
      <c r="E29" s="61"/>
      <c r="F29" s="291"/>
    </row>
    <row r="30" spans="2:6" ht="15" customHeight="1">
      <c r="B30" s="288"/>
      <c r="C30" s="61"/>
      <c r="D30" s="291"/>
      <c r="E30" s="61"/>
      <c r="F30" s="291"/>
    </row>
    <row r="31" spans="2:6" ht="15" customHeight="1">
      <c r="B31" s="288"/>
      <c r="C31" s="61"/>
      <c r="D31" s="291"/>
      <c r="E31" s="61"/>
      <c r="F31" s="291"/>
    </row>
    <row r="32" spans="2:6" ht="15" customHeight="1">
      <c r="B32" s="288"/>
      <c r="C32" s="61"/>
      <c r="D32" s="291"/>
      <c r="E32" s="61"/>
      <c r="F32" s="291"/>
    </row>
    <row r="33" spans="2:6" ht="15" customHeight="1" thickBot="1">
      <c r="B33" s="289"/>
      <c r="C33" s="61"/>
      <c r="D33" s="292"/>
      <c r="E33" s="61"/>
      <c r="F33" s="292"/>
    </row>
    <row r="34" spans="2:6" ht="18" thickBot="1">
      <c r="B34" s="68"/>
      <c r="C34" s="69"/>
      <c r="D34" s="69"/>
      <c r="E34" s="69"/>
      <c r="F34" s="69"/>
    </row>
    <row r="35" spans="2:6" ht="13" thickTop="1">
      <c r="B35" s="61"/>
      <c r="C35" s="61"/>
      <c r="D35" s="61"/>
      <c r="E35" s="61"/>
      <c r="F35" s="61"/>
    </row>
  </sheetData>
  <mergeCells count="7">
    <mergeCell ref="B3:F6"/>
    <mergeCell ref="B7:F10"/>
    <mergeCell ref="B12:B33"/>
    <mergeCell ref="D12:D23"/>
    <mergeCell ref="F22:F25"/>
    <mergeCell ref="D26:D33"/>
    <mergeCell ref="F28:F33"/>
  </mergeCells>
  <printOptions horizontalCentered="1" verticalCentered="1"/>
  <pageMargins left="0.78740157480314965" right="0.78740157480314965" top="0.98425196850393704" bottom="0.98425196850393704" header="0.51181102362204722" footer="0.51181102362204722"/>
  <pageSetup paperSize="9"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J44"/>
  <sheetViews>
    <sheetView topLeftCell="A3" workbookViewId="0">
      <selection activeCell="F42" sqref="F42"/>
    </sheetView>
  </sheetViews>
  <sheetFormatPr baseColWidth="10" defaultRowHeight="12" x14ac:dyDescent="0"/>
  <cols>
    <col min="1" max="1" width="17.5" style="40" customWidth="1"/>
    <col min="2" max="2" width="25" style="40" customWidth="1"/>
    <col min="3" max="3" width="5.6640625" style="40" customWidth="1"/>
    <col min="4" max="4" width="22.6640625" style="40" customWidth="1"/>
    <col min="5" max="5" width="5.6640625" style="40" customWidth="1"/>
    <col min="6" max="6" width="22.6640625" style="40" customWidth="1"/>
    <col min="7" max="7" width="5.6640625" style="40" customWidth="1"/>
    <col min="8" max="8" width="22.6640625" style="40" customWidth="1"/>
    <col min="9" max="10" width="20.6640625" style="40" customWidth="1"/>
    <col min="11" max="16384" width="10.83203125" style="40"/>
  </cols>
  <sheetData>
    <row r="2" spans="2:10" ht="13" thickBot="1">
      <c r="B2" s="39"/>
      <c r="C2" s="39"/>
      <c r="D2" s="39"/>
      <c r="E2" s="39"/>
      <c r="F2" s="39"/>
      <c r="G2" s="39"/>
      <c r="H2" s="39"/>
    </row>
    <row r="3" spans="2:10" ht="13" customHeight="1" thickTop="1">
      <c r="B3" s="267" t="s">
        <v>110</v>
      </c>
      <c r="C3" s="267"/>
      <c r="D3" s="267"/>
      <c r="E3" s="267"/>
      <c r="F3" s="267"/>
      <c r="G3" s="267"/>
      <c r="H3" s="267"/>
    </row>
    <row r="4" spans="2:10" ht="12" customHeight="1">
      <c r="B4" s="268"/>
      <c r="C4" s="268"/>
      <c r="D4" s="268"/>
      <c r="E4" s="268"/>
      <c r="F4" s="268"/>
      <c r="G4" s="268"/>
      <c r="H4" s="268"/>
      <c r="J4" s="60"/>
    </row>
    <row r="5" spans="2:10" ht="12" customHeight="1">
      <c r="B5" s="268"/>
      <c r="C5" s="268"/>
      <c r="D5" s="268"/>
      <c r="E5" s="268"/>
      <c r="F5" s="268"/>
      <c r="G5" s="268"/>
      <c r="H5" s="268"/>
      <c r="J5" s="60"/>
    </row>
    <row r="6" spans="2:10" ht="12" customHeight="1">
      <c r="B6" s="269"/>
      <c r="C6" s="269"/>
      <c r="D6" s="269"/>
      <c r="E6" s="269"/>
      <c r="F6" s="269"/>
      <c r="G6" s="269"/>
      <c r="H6" s="269"/>
    </row>
    <row r="7" spans="2:10" ht="12" hidden="1" customHeight="1">
      <c r="B7" s="305" t="s">
        <v>26</v>
      </c>
      <c r="C7" s="305"/>
      <c r="D7" s="305"/>
      <c r="E7" s="305"/>
      <c r="F7" s="305"/>
      <c r="G7" s="305"/>
      <c r="H7" s="305"/>
    </row>
    <row r="8" spans="2:10" ht="12" hidden="1" customHeight="1">
      <c r="B8" s="306"/>
      <c r="C8" s="306"/>
      <c r="D8" s="306"/>
      <c r="E8" s="306"/>
      <c r="F8" s="306"/>
      <c r="G8" s="306"/>
      <c r="H8" s="306"/>
    </row>
    <row r="9" spans="2:10" ht="12" hidden="1" customHeight="1">
      <c r="B9" s="306"/>
      <c r="C9" s="306"/>
      <c r="D9" s="306"/>
      <c r="E9" s="306"/>
      <c r="F9" s="306"/>
      <c r="G9" s="306"/>
      <c r="H9" s="306"/>
    </row>
    <row r="10" spans="2:10" ht="12" hidden="1" customHeight="1">
      <c r="B10" s="307"/>
      <c r="C10" s="307"/>
      <c r="D10" s="307"/>
      <c r="E10" s="307"/>
      <c r="F10" s="307"/>
      <c r="G10" s="307"/>
      <c r="H10" s="307"/>
    </row>
    <row r="11" spans="2:10" ht="24" customHeight="1" thickBot="1">
      <c r="B11" s="61"/>
      <c r="C11" s="61"/>
      <c r="D11" s="61"/>
      <c r="E11" s="61"/>
      <c r="F11" s="61"/>
      <c r="G11" s="61"/>
      <c r="H11" s="61"/>
    </row>
    <row r="12" spans="2:10" ht="16" customHeight="1">
      <c r="B12" s="296" t="s">
        <v>111</v>
      </c>
      <c r="C12" s="297"/>
      <c r="D12" s="297"/>
      <c r="E12" s="297"/>
      <c r="F12" s="297"/>
      <c r="G12" s="297"/>
      <c r="H12" s="298"/>
    </row>
    <row r="13" spans="2:10" ht="16" customHeight="1">
      <c r="B13" s="299"/>
      <c r="C13" s="300"/>
      <c r="D13" s="300"/>
      <c r="E13" s="300"/>
      <c r="F13" s="300"/>
      <c r="G13" s="300"/>
      <c r="H13" s="301"/>
      <c r="J13" s="40">
        <f>5800*1.3</f>
        <v>7540</v>
      </c>
    </row>
    <row r="14" spans="2:10" ht="16" customHeight="1">
      <c r="B14" s="299"/>
      <c r="C14" s="300"/>
      <c r="D14" s="300"/>
      <c r="E14" s="300"/>
      <c r="F14" s="300"/>
      <c r="G14" s="300"/>
      <c r="H14" s="301"/>
      <c r="J14" s="40">
        <f>J13*0.2</f>
        <v>1508</v>
      </c>
    </row>
    <row r="15" spans="2:10" ht="16" customHeight="1" thickBot="1">
      <c r="B15" s="302"/>
      <c r="C15" s="303"/>
      <c r="D15" s="303"/>
      <c r="E15" s="303"/>
      <c r="F15" s="303"/>
      <c r="G15" s="303"/>
      <c r="H15" s="304"/>
    </row>
    <row r="16" spans="2:10" ht="16" customHeight="1">
      <c r="B16" s="145"/>
      <c r="C16" s="145"/>
      <c r="D16" s="145"/>
      <c r="E16" s="145"/>
      <c r="F16" s="145"/>
      <c r="G16" s="145"/>
      <c r="H16" s="145"/>
    </row>
    <row r="17" spans="2:10" ht="16" customHeight="1" thickBot="1">
      <c r="B17" s="145"/>
      <c r="C17" s="145"/>
      <c r="D17" s="61"/>
      <c r="E17" s="144"/>
      <c r="F17" s="61"/>
      <c r="G17" s="61"/>
      <c r="H17" s="61"/>
    </row>
    <row r="18" spans="2:10" ht="16" customHeight="1">
      <c r="B18" s="308" t="s">
        <v>132</v>
      </c>
      <c r="C18" s="146"/>
      <c r="D18" s="310" t="s">
        <v>133</v>
      </c>
      <c r="E18" s="311"/>
      <c r="F18" s="311"/>
      <c r="G18" s="311"/>
      <c r="H18" s="312"/>
      <c r="J18" s="40">
        <f>0.25*8700</f>
        <v>2175</v>
      </c>
    </row>
    <row r="19" spans="2:10" ht="16" customHeight="1">
      <c r="B19" s="287"/>
      <c r="C19" s="145"/>
      <c r="D19" s="313"/>
      <c r="E19" s="314"/>
      <c r="F19" s="314"/>
      <c r="G19" s="314"/>
      <c r="H19" s="315"/>
    </row>
    <row r="20" spans="2:10" ht="16" customHeight="1">
      <c r="B20" s="287"/>
      <c r="C20" s="145"/>
      <c r="D20" s="313"/>
      <c r="E20" s="314"/>
      <c r="F20" s="314"/>
      <c r="G20" s="314"/>
      <c r="H20" s="315"/>
    </row>
    <row r="21" spans="2:10" ht="16" customHeight="1" thickBot="1">
      <c r="B21" s="309"/>
      <c r="C21" s="145"/>
      <c r="D21" s="316"/>
      <c r="E21" s="317"/>
      <c r="F21" s="317"/>
      <c r="G21" s="317"/>
      <c r="H21" s="318"/>
    </row>
    <row r="22" spans="2:10" ht="16" customHeight="1">
      <c r="B22" s="145"/>
      <c r="C22" s="145"/>
      <c r="D22" s="61"/>
      <c r="E22" s="144"/>
      <c r="F22" s="61"/>
      <c r="G22" s="61"/>
      <c r="H22" s="61"/>
    </row>
    <row r="23" spans="2:10" ht="16" customHeight="1" thickBot="1">
      <c r="B23" s="145"/>
      <c r="C23" s="145"/>
      <c r="D23" s="61"/>
      <c r="E23" s="144"/>
      <c r="F23" s="61"/>
      <c r="G23" s="61"/>
      <c r="H23" s="61"/>
    </row>
    <row r="24" spans="2:10" ht="16" customHeight="1">
      <c r="B24" s="145"/>
      <c r="C24" s="145"/>
      <c r="D24" s="310" t="s">
        <v>186</v>
      </c>
      <c r="E24" s="311"/>
      <c r="F24" s="311"/>
      <c r="G24" s="311"/>
      <c r="H24" s="312"/>
    </row>
    <row r="25" spans="2:10" ht="16" customHeight="1">
      <c r="B25" s="145"/>
      <c r="C25" s="145"/>
      <c r="D25" s="313"/>
      <c r="E25" s="314"/>
      <c r="F25" s="314"/>
      <c r="G25" s="314"/>
      <c r="H25" s="315"/>
    </row>
    <row r="26" spans="2:10" ht="16" customHeight="1">
      <c r="B26" s="145"/>
      <c r="C26" s="145"/>
      <c r="D26" s="313"/>
      <c r="E26" s="314"/>
      <c r="F26" s="314"/>
      <c r="G26" s="314"/>
      <c r="H26" s="315"/>
      <c r="J26" s="40">
        <f>130*1.3</f>
        <v>169</v>
      </c>
    </row>
    <row r="27" spans="2:10" ht="16" customHeight="1" thickBot="1">
      <c r="B27" s="145"/>
      <c r="C27" s="145"/>
      <c r="D27" s="316"/>
      <c r="E27" s="317"/>
      <c r="F27" s="317"/>
      <c r="G27" s="317"/>
      <c r="H27" s="318"/>
    </row>
    <row r="28" spans="2:10" ht="16" customHeight="1">
      <c r="B28" s="145"/>
      <c r="C28" s="145"/>
      <c r="D28" s="61"/>
      <c r="E28" s="144"/>
      <c r="F28" s="61"/>
      <c r="G28" s="61"/>
      <c r="H28" s="61"/>
    </row>
    <row r="29" spans="2:10" ht="16" customHeight="1" thickBot="1">
      <c r="B29" s="145"/>
      <c r="C29" s="145"/>
      <c r="D29" s="61"/>
      <c r="E29" s="144"/>
      <c r="F29" s="61"/>
      <c r="G29" s="61"/>
      <c r="H29" s="61"/>
    </row>
    <row r="30" spans="2:10" ht="16" customHeight="1">
      <c r="B30" s="145"/>
      <c r="C30" s="145"/>
      <c r="D30" s="293" t="s">
        <v>187</v>
      </c>
      <c r="E30" s="144"/>
      <c r="F30" s="293" t="s">
        <v>188</v>
      </c>
      <c r="G30" s="61"/>
      <c r="H30" s="293" t="s">
        <v>87</v>
      </c>
    </row>
    <row r="31" spans="2:10" ht="16" customHeight="1">
      <c r="B31" s="145"/>
      <c r="C31" s="145"/>
      <c r="D31" s="294"/>
      <c r="E31" s="144"/>
      <c r="F31" s="294"/>
      <c r="G31" s="61"/>
      <c r="H31" s="294"/>
    </row>
    <row r="32" spans="2:10" ht="16" customHeight="1">
      <c r="B32" s="145"/>
      <c r="C32" s="145"/>
      <c r="D32" s="294"/>
      <c r="E32" s="144"/>
      <c r="F32" s="294"/>
      <c r="G32" s="61"/>
      <c r="H32" s="294"/>
    </row>
    <row r="33" spans="2:10" ht="16" customHeight="1">
      <c r="B33" s="145"/>
      <c r="C33" s="145"/>
      <c r="D33" s="294"/>
      <c r="E33" s="144"/>
      <c r="F33" s="294"/>
      <c r="G33" s="61"/>
      <c r="H33" s="294"/>
    </row>
    <row r="34" spans="2:10" ht="16" customHeight="1">
      <c r="B34" s="145"/>
      <c r="C34" s="145"/>
      <c r="D34" s="294"/>
      <c r="E34" s="144"/>
      <c r="F34" s="294"/>
      <c r="G34" s="61"/>
      <c r="H34" s="294"/>
    </row>
    <row r="35" spans="2:10" ht="16" customHeight="1">
      <c r="B35" s="145"/>
      <c r="C35" s="145"/>
      <c r="D35" s="294"/>
      <c r="E35" s="144"/>
      <c r="F35" s="294"/>
      <c r="G35" s="61"/>
      <c r="H35" s="294"/>
    </row>
    <row r="36" spans="2:10" ht="16" customHeight="1">
      <c r="B36" s="145"/>
      <c r="C36" s="145"/>
      <c r="D36" s="294"/>
      <c r="E36" s="144"/>
      <c r="F36" s="294"/>
      <c r="G36" s="61"/>
      <c r="H36" s="294"/>
    </row>
    <row r="37" spans="2:10" ht="16" customHeight="1">
      <c r="B37" s="145"/>
      <c r="C37" s="145"/>
      <c r="D37" s="294"/>
      <c r="E37" s="144"/>
      <c r="F37" s="294"/>
      <c r="G37" s="61"/>
      <c r="H37" s="294"/>
      <c r="J37" s="40">
        <f>80*1.3</f>
        <v>104</v>
      </c>
    </row>
    <row r="38" spans="2:10" ht="16" customHeight="1">
      <c r="B38" s="145"/>
      <c r="C38" s="145"/>
      <c r="D38" s="294"/>
      <c r="E38" s="144"/>
      <c r="F38" s="294"/>
      <c r="G38" s="61"/>
      <c r="H38" s="294"/>
      <c r="J38" s="40">
        <f>45*1.3</f>
        <v>58.5</v>
      </c>
    </row>
    <row r="39" spans="2:10" ht="16" customHeight="1">
      <c r="B39" s="145"/>
      <c r="C39" s="145"/>
      <c r="D39" s="294"/>
      <c r="E39" s="144"/>
      <c r="F39" s="294"/>
      <c r="G39" s="61"/>
      <c r="H39" s="294"/>
      <c r="J39" s="40">
        <f>5*1.3</f>
        <v>6.5</v>
      </c>
    </row>
    <row r="40" spans="2:10" ht="16" customHeight="1">
      <c r="B40" s="145"/>
      <c r="C40" s="145"/>
      <c r="D40" s="294"/>
      <c r="E40" s="144"/>
      <c r="F40" s="294"/>
      <c r="G40" s="61"/>
      <c r="H40" s="294"/>
    </row>
    <row r="41" spans="2:10" ht="16" customHeight="1" thickBot="1">
      <c r="B41" s="145"/>
      <c r="C41" s="145"/>
      <c r="D41" s="295"/>
      <c r="E41" s="144"/>
      <c r="F41" s="295"/>
      <c r="G41" s="61"/>
      <c r="H41" s="295"/>
    </row>
    <row r="42" spans="2:10" ht="24" customHeight="1">
      <c r="B42" s="71"/>
      <c r="C42" s="71"/>
      <c r="D42" s="62"/>
      <c r="E42" s="62"/>
      <c r="F42" s="62"/>
      <c r="G42" s="62"/>
      <c r="H42" s="62"/>
    </row>
    <row r="43" spans="2:10" ht="7" customHeight="1" thickBot="1">
      <c r="B43" s="69"/>
      <c r="C43" s="69"/>
      <c r="D43" s="69"/>
      <c r="E43" s="69"/>
      <c r="F43" s="69"/>
      <c r="G43" s="69"/>
      <c r="H43" s="69"/>
    </row>
    <row r="44" spans="2:10" ht="13" thickTop="1"/>
  </sheetData>
  <mergeCells count="9">
    <mergeCell ref="D30:D41"/>
    <mergeCell ref="H30:H41"/>
    <mergeCell ref="F30:F41"/>
    <mergeCell ref="B12:H15"/>
    <mergeCell ref="B3:H6"/>
    <mergeCell ref="B7:H10"/>
    <mergeCell ref="B18:B21"/>
    <mergeCell ref="D18:H21"/>
    <mergeCell ref="D24:H27"/>
  </mergeCells>
  <printOptions horizontalCentered="1" verticalCentered="1"/>
  <pageMargins left="0.79000000000000015" right="0.79000000000000015" top="0.98" bottom="0.98" header="0.51" footer="0.51"/>
  <pageSetup paperSize="9" scale="77"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4"/>
  <sheetViews>
    <sheetView workbookViewId="0">
      <selection activeCell="B11" sqref="B11"/>
    </sheetView>
  </sheetViews>
  <sheetFormatPr baseColWidth="10" defaultRowHeight="12" x14ac:dyDescent="0"/>
  <cols>
    <col min="1" max="1" width="20.6640625" style="40" customWidth="1"/>
    <col min="2" max="2" width="22.6640625" style="40" customWidth="1"/>
    <col min="3" max="3" width="5.6640625" style="40" customWidth="1"/>
    <col min="4" max="4" width="22.6640625" style="40" customWidth="1"/>
    <col min="5" max="5" width="5.6640625" style="40" customWidth="1"/>
    <col min="6" max="6" width="22.6640625" style="40" customWidth="1"/>
    <col min="7" max="7" width="5.6640625" style="40" customWidth="1"/>
    <col min="8" max="8" width="22.6640625" style="40" customWidth="1"/>
    <col min="9" max="10" width="20.6640625" style="40" customWidth="1"/>
    <col min="11" max="16384" width="10.83203125" style="40"/>
  </cols>
  <sheetData>
    <row r="2" spans="2:10" ht="13" thickBot="1">
      <c r="B2" s="39"/>
      <c r="C2" s="39"/>
      <c r="D2" s="39"/>
      <c r="E2" s="39"/>
      <c r="F2" s="39"/>
      <c r="G2" s="39"/>
      <c r="H2" s="39"/>
    </row>
    <row r="3" spans="2:10" ht="13" customHeight="1" thickTop="1">
      <c r="B3" s="267" t="s">
        <v>159</v>
      </c>
      <c r="C3" s="267"/>
      <c r="D3" s="267"/>
      <c r="E3" s="267"/>
      <c r="F3" s="267"/>
      <c r="G3" s="267"/>
      <c r="H3" s="267"/>
    </row>
    <row r="4" spans="2:10" ht="12" customHeight="1">
      <c r="B4" s="268"/>
      <c r="C4" s="268"/>
      <c r="D4" s="268"/>
      <c r="E4" s="268"/>
      <c r="F4" s="268"/>
      <c r="G4" s="268"/>
      <c r="H4" s="268"/>
      <c r="J4" s="60"/>
    </row>
    <row r="5" spans="2:10" ht="12" customHeight="1">
      <c r="B5" s="268"/>
      <c r="C5" s="268"/>
      <c r="D5" s="268"/>
      <c r="E5" s="268"/>
      <c r="F5" s="268"/>
      <c r="G5" s="268"/>
      <c r="H5" s="268"/>
      <c r="J5" s="60"/>
    </row>
    <row r="6" spans="2:10" ht="12" customHeight="1">
      <c r="B6" s="269"/>
      <c r="C6" s="269"/>
      <c r="D6" s="269"/>
      <c r="E6" s="269"/>
      <c r="F6" s="269"/>
      <c r="G6" s="269"/>
      <c r="H6" s="269"/>
    </row>
    <row r="7" spans="2:10" ht="12" customHeight="1">
      <c r="B7" s="305" t="s">
        <v>193</v>
      </c>
      <c r="C7" s="305"/>
      <c r="D7" s="305"/>
      <c r="E7" s="305"/>
      <c r="F7" s="305"/>
      <c r="G7" s="305"/>
      <c r="H7" s="305"/>
    </row>
    <row r="8" spans="2:10" ht="12" customHeight="1">
      <c r="B8" s="306"/>
      <c r="C8" s="306"/>
      <c r="D8" s="306"/>
      <c r="E8" s="306"/>
      <c r="F8" s="306"/>
      <c r="G8" s="306"/>
      <c r="H8" s="306"/>
    </row>
    <row r="9" spans="2:10" ht="12" customHeight="1">
      <c r="B9" s="306"/>
      <c r="C9" s="306"/>
      <c r="D9" s="306"/>
      <c r="E9" s="306"/>
      <c r="F9" s="306"/>
      <c r="G9" s="306"/>
      <c r="H9" s="306"/>
    </row>
    <row r="10" spans="2:10" ht="12" customHeight="1">
      <c r="B10" s="307"/>
      <c r="C10" s="307"/>
      <c r="D10" s="307"/>
      <c r="E10" s="307"/>
      <c r="F10" s="307"/>
      <c r="G10" s="307"/>
      <c r="H10" s="307"/>
    </row>
    <row r="11" spans="2:10" ht="24" customHeight="1" thickBot="1">
      <c r="B11" s="61"/>
      <c r="C11" s="61"/>
      <c r="D11" s="61"/>
      <c r="E11" s="61"/>
      <c r="F11" s="61"/>
      <c r="G11" s="61"/>
      <c r="H11" s="61"/>
    </row>
    <row r="12" spans="2:10" ht="16" customHeight="1">
      <c r="B12" s="296" t="s">
        <v>160</v>
      </c>
      <c r="C12" s="297"/>
      <c r="D12" s="297"/>
      <c r="E12" s="297"/>
      <c r="F12" s="297"/>
      <c r="G12" s="297"/>
      <c r="H12" s="298"/>
    </row>
    <row r="13" spans="2:10" ht="16" customHeight="1">
      <c r="B13" s="299"/>
      <c r="C13" s="300"/>
      <c r="D13" s="300"/>
      <c r="E13" s="300"/>
      <c r="F13" s="300"/>
      <c r="G13" s="300"/>
      <c r="H13" s="301"/>
    </row>
    <row r="14" spans="2:10" ht="16" customHeight="1">
      <c r="B14" s="299"/>
      <c r="C14" s="300"/>
      <c r="D14" s="300"/>
      <c r="E14" s="300"/>
      <c r="F14" s="300"/>
      <c r="G14" s="300"/>
      <c r="H14" s="301"/>
      <c r="J14" s="40">
        <f>7900*0.25</f>
        <v>1975</v>
      </c>
    </row>
    <row r="15" spans="2:10" ht="16" customHeight="1" thickBot="1">
      <c r="B15" s="302"/>
      <c r="C15" s="303"/>
      <c r="D15" s="303"/>
      <c r="E15" s="303"/>
      <c r="F15" s="303"/>
      <c r="G15" s="303"/>
      <c r="H15" s="304"/>
    </row>
    <row r="16" spans="2:10" ht="16" customHeight="1">
      <c r="B16" s="159"/>
      <c r="C16" s="159"/>
      <c r="D16" s="159"/>
      <c r="E16" s="159"/>
      <c r="F16" s="159"/>
      <c r="G16" s="159"/>
      <c r="H16" s="159"/>
    </row>
    <row r="17" spans="2:10" ht="16" customHeight="1" thickBot="1">
      <c r="B17" s="159"/>
      <c r="C17" s="159"/>
      <c r="D17" s="61"/>
      <c r="E17" s="158"/>
      <c r="F17" s="61"/>
      <c r="G17" s="61"/>
      <c r="H17" s="61"/>
    </row>
    <row r="18" spans="2:10" ht="16" customHeight="1">
      <c r="B18" s="308" t="s">
        <v>161</v>
      </c>
      <c r="C18" s="161"/>
      <c r="D18" s="310" t="s">
        <v>162</v>
      </c>
      <c r="E18" s="311"/>
      <c r="F18" s="311"/>
      <c r="G18" s="311"/>
      <c r="H18" s="312"/>
    </row>
    <row r="19" spans="2:10" ht="16" customHeight="1">
      <c r="B19" s="287"/>
      <c r="C19" s="159"/>
      <c r="D19" s="313"/>
      <c r="E19" s="314"/>
      <c r="F19" s="314"/>
      <c r="G19" s="314"/>
      <c r="H19" s="315"/>
    </row>
    <row r="20" spans="2:10" ht="16" customHeight="1">
      <c r="B20" s="287"/>
      <c r="C20" s="159"/>
      <c r="D20" s="313"/>
      <c r="E20" s="314"/>
      <c r="F20" s="314"/>
      <c r="G20" s="314"/>
      <c r="H20" s="315"/>
    </row>
    <row r="21" spans="2:10" ht="16" customHeight="1" thickBot="1">
      <c r="B21" s="309"/>
      <c r="C21" s="159"/>
      <c r="D21" s="316"/>
      <c r="E21" s="317"/>
      <c r="F21" s="317"/>
      <c r="G21" s="317"/>
      <c r="H21" s="318"/>
    </row>
    <row r="22" spans="2:10" ht="16" customHeight="1">
      <c r="B22" s="159"/>
      <c r="C22" s="159"/>
      <c r="D22" s="61"/>
      <c r="E22" s="158"/>
      <c r="F22" s="61"/>
      <c r="G22" s="61"/>
      <c r="H22" s="61"/>
    </row>
    <row r="23" spans="2:10" ht="16" customHeight="1" thickBot="1">
      <c r="B23" s="159"/>
      <c r="C23" s="159"/>
      <c r="D23" s="61"/>
      <c r="E23" s="158"/>
      <c r="F23" s="61"/>
      <c r="G23" s="61"/>
      <c r="H23" s="61"/>
    </row>
    <row r="24" spans="2:10" ht="16" customHeight="1">
      <c r="B24" s="159"/>
      <c r="C24" s="159"/>
      <c r="D24" s="310" t="s">
        <v>192</v>
      </c>
      <c r="E24" s="311"/>
      <c r="F24" s="311"/>
      <c r="G24" s="311"/>
      <c r="H24" s="312"/>
    </row>
    <row r="25" spans="2:10" ht="16" customHeight="1">
      <c r="B25" s="159"/>
      <c r="C25" s="159"/>
      <c r="D25" s="313"/>
      <c r="E25" s="314"/>
      <c r="F25" s="314"/>
      <c r="G25" s="314"/>
      <c r="H25" s="315"/>
    </row>
    <row r="26" spans="2:10" ht="16" customHeight="1">
      <c r="B26" s="159"/>
      <c r="C26" s="159"/>
      <c r="D26" s="313"/>
      <c r="E26" s="314"/>
      <c r="F26" s="314"/>
      <c r="G26" s="314"/>
      <c r="H26" s="315"/>
    </row>
    <row r="27" spans="2:10" ht="16" customHeight="1" thickBot="1">
      <c r="B27" s="159"/>
      <c r="C27" s="159"/>
      <c r="D27" s="316"/>
      <c r="E27" s="317"/>
      <c r="F27" s="317"/>
      <c r="G27" s="317"/>
      <c r="H27" s="318"/>
    </row>
    <row r="28" spans="2:10" ht="16" customHeight="1">
      <c r="B28" s="159"/>
      <c r="C28" s="159"/>
      <c r="D28" s="61"/>
      <c r="E28" s="158"/>
      <c r="F28" s="61"/>
      <c r="G28" s="61"/>
      <c r="H28" s="61"/>
    </row>
    <row r="29" spans="2:10" ht="16" customHeight="1" thickBot="1">
      <c r="B29" s="159"/>
      <c r="C29" s="159"/>
      <c r="D29" s="61"/>
      <c r="E29" s="158"/>
      <c r="F29" s="61"/>
      <c r="G29" s="61"/>
      <c r="H29" s="61"/>
      <c r="J29" s="40">
        <f>170/1.1</f>
        <v>154.54545454545453</v>
      </c>
    </row>
    <row r="30" spans="2:10" ht="16" customHeight="1">
      <c r="B30" s="159"/>
      <c r="C30" s="159"/>
      <c r="D30" s="293" t="s">
        <v>190</v>
      </c>
      <c r="E30" s="158"/>
      <c r="F30" s="293" t="s">
        <v>189</v>
      </c>
      <c r="G30" s="61"/>
      <c r="H30" s="293" t="s">
        <v>191</v>
      </c>
    </row>
    <row r="31" spans="2:10" ht="16" customHeight="1">
      <c r="B31" s="159"/>
      <c r="C31" s="159"/>
      <c r="D31" s="294"/>
      <c r="E31" s="158"/>
      <c r="F31" s="294"/>
      <c r="G31" s="61"/>
      <c r="H31" s="294"/>
    </row>
    <row r="32" spans="2:10" ht="16" customHeight="1">
      <c r="B32" s="159"/>
      <c r="C32" s="159"/>
      <c r="D32" s="294"/>
      <c r="E32" s="158"/>
      <c r="F32" s="294"/>
      <c r="G32" s="61"/>
      <c r="H32" s="294"/>
    </row>
    <row r="33" spans="2:10" ht="16" customHeight="1">
      <c r="B33" s="159"/>
      <c r="C33" s="159"/>
      <c r="D33" s="294"/>
      <c r="E33" s="158"/>
      <c r="F33" s="294"/>
      <c r="G33" s="61"/>
      <c r="H33" s="294"/>
    </row>
    <row r="34" spans="2:10" ht="16" customHeight="1">
      <c r="B34" s="159"/>
      <c r="C34" s="159"/>
      <c r="D34" s="294"/>
      <c r="E34" s="158"/>
      <c r="F34" s="294"/>
      <c r="G34" s="61"/>
      <c r="H34" s="294"/>
    </row>
    <row r="35" spans="2:10" ht="16" customHeight="1">
      <c r="B35" s="159"/>
      <c r="C35" s="159"/>
      <c r="D35" s="294"/>
      <c r="E35" s="158"/>
      <c r="F35" s="294"/>
      <c r="G35" s="61"/>
      <c r="H35" s="294"/>
      <c r="J35" s="40">
        <f>112/1.1</f>
        <v>101.81818181818181</v>
      </c>
    </row>
    <row r="36" spans="2:10" ht="16" customHeight="1">
      <c r="B36" s="159"/>
      <c r="C36" s="159"/>
      <c r="D36" s="294"/>
      <c r="E36" s="158"/>
      <c r="F36" s="294"/>
      <c r="G36" s="61"/>
      <c r="H36" s="294"/>
      <c r="J36" s="40">
        <f>55/1.1</f>
        <v>49.999999999999993</v>
      </c>
    </row>
    <row r="37" spans="2:10" ht="16" customHeight="1">
      <c r="B37" s="159"/>
      <c r="C37" s="159"/>
      <c r="D37" s="294"/>
      <c r="E37" s="158"/>
      <c r="F37" s="294"/>
      <c r="G37" s="61"/>
      <c r="H37" s="294"/>
    </row>
    <row r="38" spans="2:10" ht="16" customHeight="1">
      <c r="B38" s="159"/>
      <c r="C38" s="159"/>
      <c r="D38" s="294"/>
      <c r="E38" s="158"/>
      <c r="F38" s="294"/>
      <c r="G38" s="61"/>
      <c r="H38" s="294"/>
    </row>
    <row r="39" spans="2:10" ht="16" customHeight="1">
      <c r="B39" s="159"/>
      <c r="C39" s="159"/>
      <c r="D39" s="294"/>
      <c r="E39" s="158"/>
      <c r="F39" s="294"/>
      <c r="G39" s="61"/>
      <c r="H39" s="294"/>
    </row>
    <row r="40" spans="2:10" ht="16" customHeight="1">
      <c r="B40" s="159"/>
      <c r="C40" s="159"/>
      <c r="D40" s="294"/>
      <c r="E40" s="158"/>
      <c r="F40" s="294"/>
      <c r="G40" s="61"/>
      <c r="H40" s="294"/>
    </row>
    <row r="41" spans="2:10" ht="16" customHeight="1" thickBot="1">
      <c r="B41" s="159"/>
      <c r="C41" s="159"/>
      <c r="D41" s="295"/>
      <c r="E41" s="158"/>
      <c r="F41" s="295"/>
      <c r="G41" s="61"/>
      <c r="H41" s="295"/>
    </row>
    <row r="42" spans="2:10" ht="24" customHeight="1">
      <c r="B42" s="71"/>
      <c r="C42" s="71"/>
      <c r="D42" s="62"/>
      <c r="E42" s="62"/>
      <c r="F42" s="62"/>
      <c r="G42" s="62"/>
      <c r="H42" s="62"/>
    </row>
    <row r="43" spans="2:10" ht="7" customHeight="1" thickBot="1">
      <c r="B43" s="69"/>
      <c r="C43" s="69"/>
      <c r="D43" s="69"/>
      <c r="E43" s="69"/>
      <c r="F43" s="69"/>
      <c r="G43" s="69"/>
      <c r="H43" s="69"/>
    </row>
    <row r="44" spans="2:10" ht="13" thickTop="1"/>
  </sheetData>
  <mergeCells count="9">
    <mergeCell ref="D30:D41"/>
    <mergeCell ref="F30:F41"/>
    <mergeCell ref="H30:H41"/>
    <mergeCell ref="B3:H6"/>
    <mergeCell ref="B7:H10"/>
    <mergeCell ref="B12:H15"/>
    <mergeCell ref="B18:B21"/>
    <mergeCell ref="D18:H21"/>
    <mergeCell ref="D24:H27"/>
  </mergeCells>
  <printOptions horizontalCentered="1" verticalCentered="1"/>
  <pageMargins left="0.78740157480314965" right="0.78740157480314965" top="0.98425196850393704" bottom="0.98425196850393704" header="0.51181102362204722" footer="0.51181102362204722"/>
  <pageSetup paperSize="9"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9"/>
  <sheetViews>
    <sheetView topLeftCell="A2" workbookViewId="0">
      <pane xSplit="1" ySplit="3" topLeftCell="B5" activePane="bottomRight" state="frozen"/>
      <selection activeCell="A2" sqref="A2"/>
      <selection pane="topRight" activeCell="A2" sqref="A2"/>
      <selection pane="bottomLeft" activeCell="A2" sqref="A2"/>
      <selection pane="bottomRight" activeCell="A15" sqref="A15:D15"/>
    </sheetView>
  </sheetViews>
  <sheetFormatPr baseColWidth="10" defaultRowHeight="15" x14ac:dyDescent="0"/>
  <cols>
    <col min="1" max="1" width="16.33203125" style="119" customWidth="1"/>
    <col min="2" max="3" width="12.83203125" style="119" customWidth="1"/>
    <col min="4" max="4" width="12.83203125" style="120" customWidth="1"/>
    <col min="5" max="5" width="10.83203125" style="120"/>
    <col min="6" max="16384" width="10.83203125" style="119"/>
  </cols>
  <sheetData>
    <row r="3" spans="1:13" ht="16" thickBot="1">
      <c r="A3" s="319" t="s">
        <v>127</v>
      </c>
      <c r="B3" s="319"/>
      <c r="C3" s="319"/>
      <c r="D3" s="319"/>
      <c r="G3" s="121"/>
    </row>
    <row r="4" spans="1:13" s="123" customFormat="1" ht="89" customHeight="1" thickTop="1">
      <c r="A4" s="122"/>
      <c r="B4" s="122" t="s">
        <v>79</v>
      </c>
      <c r="C4" s="122" t="s">
        <v>80</v>
      </c>
      <c r="D4" s="122" t="s">
        <v>81</v>
      </c>
      <c r="I4" s="162" t="s">
        <v>102</v>
      </c>
      <c r="J4" s="124" t="s">
        <v>103</v>
      </c>
      <c r="K4" s="124" t="s">
        <v>82</v>
      </c>
      <c r="L4" s="124" t="s">
        <v>83</v>
      </c>
      <c r="M4" s="124" t="s">
        <v>84</v>
      </c>
    </row>
    <row r="5" spans="1:13" ht="18" customHeight="1">
      <c r="A5" s="125" t="s">
        <v>16</v>
      </c>
      <c r="B5" s="126">
        <f>ROUND(DataTab4!F5,-2)</f>
        <v>2500</v>
      </c>
      <c r="C5" s="130">
        <f>DataTab4!F5/I5</f>
        <v>0.11338491307133214</v>
      </c>
      <c r="D5" s="126">
        <f>ROUND(DataTab4!N5*D$13,0)</f>
        <v>60</v>
      </c>
      <c r="I5" s="127">
        <f>J5+0.75*DataTab4!F5</f>
        <v>21748.925260000004</v>
      </c>
      <c r="J5" s="127">
        <f>'Data-Fig1'!P14</f>
        <v>19899.425260000004</v>
      </c>
      <c r="K5" s="128"/>
      <c r="L5" s="128"/>
      <c r="M5" s="128">
        <f>583.373-M11</f>
        <v>473.00800000000004</v>
      </c>
    </row>
    <row r="6" spans="1:13" ht="18" customHeight="1">
      <c r="A6" s="143" t="s">
        <v>85</v>
      </c>
      <c r="B6" s="129">
        <f>ROUND(DataTab4!F22,-2)</f>
        <v>1400</v>
      </c>
      <c r="C6" s="130">
        <f>DataTab4!F22/I6</f>
        <v>3.5093963697265251E-2</v>
      </c>
      <c r="D6" s="129">
        <f>ROUND(DataTab4!N22*D$13,0)</f>
        <v>32</v>
      </c>
      <c r="I6" s="127">
        <f>J6+0.75*DataTab4!F22</f>
        <v>39664.941014014716</v>
      </c>
      <c r="J6" s="127">
        <v>38620.941014014716</v>
      </c>
      <c r="K6" s="128"/>
      <c r="L6" s="128"/>
      <c r="M6" s="128">
        <v>239</v>
      </c>
    </row>
    <row r="7" spans="1:13" ht="18" customHeight="1">
      <c r="A7" s="143" t="s">
        <v>23</v>
      </c>
      <c r="B7" s="129">
        <f>ROUND(DataTab4!F19,-2)</f>
        <v>1300</v>
      </c>
      <c r="C7" s="130">
        <f>DataTab4!F19/I7</f>
        <v>3.7385017662832892E-2</v>
      </c>
      <c r="D7" s="129">
        <f>ROUND(DataTab4!N19*D$13,0)</f>
        <v>28</v>
      </c>
      <c r="I7" s="127">
        <f>J7+0.75*DataTab4!F19</f>
        <v>35233.900699999998</v>
      </c>
      <c r="J7" s="127">
        <f>(K7-L7)*M7/1000*1.15</f>
        <v>34245.985699999997</v>
      </c>
      <c r="K7" s="128">
        <f>(26019*1107+10752*998+700*768)/M7</f>
        <v>14065.177819274402</v>
      </c>
      <c r="L7" s="128">
        <f>(7827*1107+1403*998+296*768)/M7</f>
        <v>3612.5501937549138</v>
      </c>
      <c r="M7" s="128">
        <f>1107+998+768-M12</f>
        <v>2848.96</v>
      </c>
    </row>
    <row r="8" spans="1:13" ht="18" customHeight="1">
      <c r="A8" s="143" t="s">
        <v>45</v>
      </c>
      <c r="B8" s="131">
        <f>ROUND(DataTab4!F20,-2)</f>
        <v>1000</v>
      </c>
      <c r="C8" s="130">
        <f>DataTab4!F20/I8</f>
        <v>0.26533134853285489</v>
      </c>
      <c r="D8" s="131">
        <f>ROUND(DataTab4!N20*D$13,0)</f>
        <v>21</v>
      </c>
      <c r="I8" s="127">
        <f>J8+0.75*DataTab4!F20</f>
        <v>3770.7568499999998</v>
      </c>
      <c r="J8" s="127">
        <f>(K8-L8)*M8/1000*1.15</f>
        <v>3020.3818499999998</v>
      </c>
      <c r="K8" s="128">
        <v>10036</v>
      </c>
      <c r="L8" s="128">
        <v>3353</v>
      </c>
      <c r="M8" s="128">
        <v>393</v>
      </c>
    </row>
    <row r="9" spans="1:13" ht="18" customHeight="1">
      <c r="A9" s="143" t="s">
        <v>15</v>
      </c>
      <c r="B9" s="131">
        <f>ROUND(DataTab4!F21,-2)</f>
        <v>900</v>
      </c>
      <c r="C9" s="130">
        <f>DataTab4!F21/I9</f>
        <v>0.4368560923222542</v>
      </c>
      <c r="D9" s="131">
        <f>ROUND(DataTab4!N21*D$13,0)</f>
        <v>19</v>
      </c>
      <c r="I9" s="127">
        <f>J9+0.75*DataTab4!F21</f>
        <v>1991.5024999999998</v>
      </c>
      <c r="J9" s="127">
        <f>(K9-L9)*M9/1000*1.15</f>
        <v>1339.0024999999998</v>
      </c>
      <c r="K9" s="128">
        <v>2629</v>
      </c>
      <c r="L9" s="128">
        <v>512</v>
      </c>
      <c r="M9" s="128">
        <v>550</v>
      </c>
    </row>
    <row r="10" spans="1:13" ht="18" customHeight="1">
      <c r="A10" s="143" t="s">
        <v>64</v>
      </c>
      <c r="B10" s="131">
        <f>ROUND(DataTab4!F23,-2)</f>
        <v>300</v>
      </c>
      <c r="C10" s="130">
        <f>DataTab4!F23/I10</f>
        <v>9.3364997866645066E-2</v>
      </c>
      <c r="D10" s="131">
        <f>ROUND(DataTab4!N23*D$13,0)</f>
        <v>6</v>
      </c>
      <c r="I10" s="127">
        <f>J10+0.75*DataTab4!F23</f>
        <v>3480.9608249999997</v>
      </c>
      <c r="J10" s="127">
        <f>(K10-L10)*M10/1000*1.15</f>
        <v>3237.2108999999996</v>
      </c>
      <c r="K10" s="128">
        <v>166409</v>
      </c>
      <c r="L10" s="128">
        <v>62151</v>
      </c>
      <c r="M10" s="128">
        <v>27</v>
      </c>
    </row>
    <row r="11" spans="1:13" ht="18" customHeight="1">
      <c r="A11" s="143" t="s">
        <v>46</v>
      </c>
      <c r="B11" s="131">
        <f>ROUND(DataTab4!F24,-2)</f>
        <v>600</v>
      </c>
      <c r="C11" s="130">
        <f>DataTab4!F24/I11</f>
        <v>0.54052434734672383</v>
      </c>
      <c r="D11" s="131">
        <f>ROUND(DataTab4!N24*D$13,0)</f>
        <v>4</v>
      </c>
      <c r="I11" s="127">
        <v>1171.063635874043</v>
      </c>
      <c r="J11" s="127">
        <v>538.07522839174453</v>
      </c>
      <c r="K11" s="128">
        <v>4484</v>
      </c>
      <c r="L11" s="128">
        <v>2552</v>
      </c>
      <c r="M11" s="128">
        <v>110.36499999999999</v>
      </c>
    </row>
    <row r="12" spans="1:13" ht="18" customHeight="1">
      <c r="A12" s="143" t="s">
        <v>44</v>
      </c>
      <c r="B12" s="131">
        <f>ROUND(DataTab4!F18,-2)</f>
        <v>700</v>
      </c>
      <c r="C12" s="130">
        <f>DataTab4!F18/I12</f>
        <v>0.58487422326656413</v>
      </c>
      <c r="D12" s="131">
        <f>ROUND(DataTab4!N18*D$13,0)</f>
        <v>0</v>
      </c>
      <c r="I12" s="127">
        <f>J12+0.75*DataTab4!F18</f>
        <v>1189.9994431499999</v>
      </c>
      <c r="J12" s="127">
        <f>(K12-L12)*M12/1000*1.15</f>
        <v>667.99944315000005</v>
      </c>
      <c r="K12" s="128">
        <f>(16.694*19652+1.278*99415+2.291*64918+3.777*83377)/M12</f>
        <v>38218.174916805321</v>
      </c>
      <c r="L12" s="128">
        <f>(16.694*5862+1.278*18652+2.291*23631+3.777*42907)/M12</f>
        <v>14055.567554076539</v>
      </c>
      <c r="M12" s="128">
        <f>16.694+1.278+2.291+3.777</f>
        <v>24.04</v>
      </c>
    </row>
    <row r="13" spans="1:13" s="136" customFormat="1" ht="32" customHeight="1" thickBot="1">
      <c r="A13" s="132" t="s">
        <v>17</v>
      </c>
      <c r="B13" s="133">
        <f>ROUND(0.08*I13,-2)</f>
        <v>8700</v>
      </c>
      <c r="C13" s="134">
        <f>B13/I13</f>
        <v>8.0367992861779355E-2</v>
      </c>
      <c r="D13" s="135">
        <f>ROUND(0.08*I13*DataTab4!M25/DataTab4!F25,-1)</f>
        <v>170</v>
      </c>
      <c r="I13" s="127">
        <f>SUM(I5:I12)</f>
        <v>108252.05022803877</v>
      </c>
      <c r="J13" s="127">
        <f>SUM(J5:J12)</f>
        <v>101569.02189555646</v>
      </c>
      <c r="K13" s="127"/>
      <c r="L13" s="127"/>
      <c r="M13" s="127"/>
    </row>
    <row r="14" spans="1:13" ht="16" customHeight="1" thickTop="1">
      <c r="H14" s="137"/>
      <c r="I14" s="137"/>
      <c r="J14" s="137"/>
    </row>
    <row r="15" spans="1:13" ht="15" customHeight="1">
      <c r="A15" s="168"/>
      <c r="B15" s="168"/>
      <c r="C15" s="128"/>
      <c r="D15" s="168"/>
      <c r="E15" s="204"/>
      <c r="F15" s="128"/>
      <c r="G15" s="168"/>
      <c r="H15" s="128"/>
      <c r="I15" s="168">
        <f>I13/1.1</f>
        <v>98410.954752762511</v>
      </c>
      <c r="J15" s="168">
        <f>J13/1.1</f>
        <v>92335.474450505862</v>
      </c>
      <c r="K15" s="174"/>
      <c r="L15" s="174"/>
      <c r="M15" s="174"/>
    </row>
    <row r="16" spans="1:13">
      <c r="I16" s="128"/>
      <c r="J16" s="174"/>
      <c r="K16" s="174"/>
      <c r="L16" s="174"/>
      <c r="M16" s="174"/>
    </row>
    <row r="17" spans="1:19" ht="16" thickBot="1">
      <c r="J17" s="189"/>
      <c r="K17" s="189"/>
      <c r="L17" s="189"/>
      <c r="M17" s="189"/>
    </row>
    <row r="18" spans="1:19" ht="16" thickTop="1">
      <c r="A18" s="175" t="s">
        <v>121</v>
      </c>
      <c r="B18" s="176"/>
      <c r="C18" s="177"/>
      <c r="D18" s="177"/>
      <c r="E18" s="177"/>
      <c r="F18" s="176"/>
      <c r="G18" s="176"/>
      <c r="H18" s="176"/>
      <c r="I18" s="176"/>
      <c r="J18" s="176"/>
      <c r="K18" s="176"/>
      <c r="L18" s="176"/>
      <c r="M18" s="176"/>
      <c r="N18" s="176"/>
      <c r="O18" s="176"/>
      <c r="P18" s="176"/>
      <c r="Q18" s="176"/>
      <c r="R18" s="176"/>
      <c r="S18" s="178"/>
    </row>
    <row r="19" spans="1:19">
      <c r="A19" s="179" t="s">
        <v>122</v>
      </c>
      <c r="B19" s="143"/>
      <c r="C19" s="180"/>
      <c r="D19" s="180"/>
      <c r="E19" s="180"/>
      <c r="F19" s="143"/>
      <c r="G19" s="143"/>
      <c r="H19" s="143"/>
      <c r="I19" s="143"/>
      <c r="J19" s="143"/>
      <c r="K19" s="143"/>
      <c r="L19" s="143"/>
      <c r="M19" s="143"/>
      <c r="N19" s="143"/>
      <c r="O19" s="143"/>
      <c r="P19" s="143"/>
      <c r="Q19" s="143"/>
      <c r="R19" s="143"/>
      <c r="S19" s="181"/>
    </row>
    <row r="20" spans="1:19">
      <c r="A20" s="179" t="s">
        <v>125</v>
      </c>
      <c r="B20" s="143"/>
      <c r="C20" s="180"/>
      <c r="D20" s="180"/>
      <c r="E20" s="180"/>
      <c r="F20" s="143"/>
      <c r="G20" s="143"/>
      <c r="H20" s="143"/>
      <c r="I20" s="143"/>
      <c r="J20" s="143"/>
      <c r="K20" s="143"/>
      <c r="L20" s="143"/>
      <c r="M20" s="143"/>
      <c r="N20" s="143"/>
      <c r="O20" s="143"/>
      <c r="P20" s="143"/>
      <c r="Q20" s="143"/>
      <c r="R20" s="143"/>
      <c r="S20" s="181"/>
    </row>
    <row r="21" spans="1:19">
      <c r="A21" s="179" t="s">
        <v>123</v>
      </c>
      <c r="B21" s="143"/>
      <c r="C21" s="180"/>
      <c r="D21" s="180"/>
      <c r="E21" s="180"/>
      <c r="F21" s="143"/>
      <c r="G21" s="143"/>
      <c r="H21" s="143"/>
      <c r="I21" s="143"/>
      <c r="J21" s="143"/>
      <c r="K21" s="143"/>
      <c r="L21" s="143"/>
      <c r="M21" s="143"/>
      <c r="N21" s="143"/>
      <c r="O21" s="143"/>
      <c r="P21" s="143"/>
      <c r="Q21" s="143"/>
      <c r="R21" s="143"/>
      <c r="S21" s="181"/>
    </row>
    <row r="22" spans="1:19">
      <c r="A22" s="179" t="s">
        <v>124</v>
      </c>
      <c r="B22" s="143"/>
      <c r="C22" s="180"/>
      <c r="D22" s="180"/>
      <c r="E22" s="180"/>
      <c r="F22" s="143"/>
      <c r="G22" s="143"/>
      <c r="H22" s="143"/>
      <c r="I22" s="143"/>
      <c r="J22" s="143"/>
      <c r="K22" s="143"/>
      <c r="L22" s="143"/>
      <c r="M22" s="143"/>
      <c r="N22" s="143"/>
      <c r="O22" s="143"/>
      <c r="P22" s="143"/>
      <c r="Q22" s="143"/>
      <c r="R22" s="143"/>
      <c r="S22" s="181"/>
    </row>
    <row r="23" spans="1:19">
      <c r="A23" s="182" t="s">
        <v>126</v>
      </c>
      <c r="B23" s="143"/>
      <c r="C23" s="180"/>
      <c r="D23" s="180"/>
      <c r="E23" s="180"/>
      <c r="F23" s="143"/>
      <c r="G23" s="143"/>
      <c r="H23" s="143"/>
      <c r="I23" s="143"/>
      <c r="J23" s="143"/>
      <c r="K23" s="143"/>
      <c r="L23" s="143"/>
      <c r="M23" s="143"/>
      <c r="N23" s="143"/>
      <c r="O23" s="143"/>
      <c r="P23" s="143"/>
      <c r="Q23" s="143"/>
      <c r="R23" s="143"/>
      <c r="S23" s="181"/>
    </row>
    <row r="24" spans="1:19">
      <c r="A24" s="183" t="s">
        <v>129</v>
      </c>
      <c r="B24" s="143"/>
      <c r="C24" s="180"/>
      <c r="D24" s="180"/>
      <c r="E24" s="180"/>
      <c r="F24" s="143"/>
      <c r="G24" s="143"/>
      <c r="H24" s="143"/>
      <c r="I24" s="143"/>
      <c r="J24" s="143"/>
      <c r="K24" s="143"/>
      <c r="L24" s="143"/>
      <c r="M24" s="143"/>
      <c r="N24" s="143"/>
      <c r="O24" s="143"/>
      <c r="P24" s="143"/>
      <c r="Q24" s="143"/>
      <c r="R24" s="143"/>
      <c r="S24" s="181"/>
    </row>
    <row r="25" spans="1:19">
      <c r="A25" s="184" t="s">
        <v>104</v>
      </c>
      <c r="B25" s="143"/>
      <c r="C25" s="180"/>
      <c r="D25" s="180"/>
      <c r="E25" s="180"/>
      <c r="F25" s="143"/>
      <c r="G25" s="143"/>
      <c r="H25" s="143"/>
      <c r="I25" s="143"/>
      <c r="J25" s="143"/>
      <c r="K25" s="143"/>
      <c r="L25" s="143"/>
      <c r="M25" s="143"/>
      <c r="N25" s="143"/>
      <c r="O25" s="143"/>
      <c r="P25" s="143"/>
      <c r="Q25" s="143"/>
      <c r="R25" s="143"/>
      <c r="S25" s="181"/>
    </row>
    <row r="26" spans="1:19" ht="16" thickBot="1">
      <c r="A26" s="185" t="s">
        <v>128</v>
      </c>
      <c r="B26" s="186"/>
      <c r="C26" s="187"/>
      <c r="D26" s="187"/>
      <c r="E26" s="187"/>
      <c r="F26" s="186"/>
      <c r="G26" s="186"/>
      <c r="H26" s="186"/>
      <c r="I26" s="186"/>
      <c r="J26" s="186"/>
      <c r="K26" s="186"/>
      <c r="L26" s="186"/>
      <c r="M26" s="186"/>
      <c r="N26" s="186"/>
      <c r="O26" s="186"/>
      <c r="P26" s="186"/>
      <c r="Q26" s="186"/>
      <c r="R26" s="186"/>
      <c r="S26" s="188"/>
    </row>
    <row r="27" spans="1:19" ht="16" thickTop="1">
      <c r="B27" s="172"/>
    </row>
    <row r="28" spans="1:19">
      <c r="B28" s="173"/>
    </row>
    <row r="29" spans="1:19">
      <c r="B29" s="171"/>
    </row>
  </sheetData>
  <mergeCells count="1">
    <mergeCell ref="A3:D3"/>
  </mergeCells>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9"/>
  <sheetViews>
    <sheetView topLeftCell="A2" workbookViewId="0">
      <pane xSplit="1" ySplit="3" topLeftCell="B5" activePane="bottomRight" state="frozen"/>
      <selection activeCell="A2" sqref="A2"/>
      <selection pane="topRight" activeCell="A2" sqref="A2"/>
      <selection pane="bottomLeft" activeCell="A2" sqref="A2"/>
      <selection pane="bottomRight" activeCell="C15" sqref="C15:D15"/>
    </sheetView>
  </sheetViews>
  <sheetFormatPr baseColWidth="10" defaultRowHeight="15" x14ac:dyDescent="0"/>
  <cols>
    <col min="1" max="1" width="16.33203125" style="119" customWidth="1"/>
    <col min="2" max="3" width="12.83203125" style="119" customWidth="1"/>
    <col min="4" max="4" width="12.83203125" style="120" customWidth="1"/>
    <col min="5" max="5" width="10.83203125" style="120"/>
    <col min="6" max="16384" width="10.83203125" style="119"/>
  </cols>
  <sheetData>
    <row r="3" spans="1:13" ht="16" thickBot="1">
      <c r="A3" s="319" t="s">
        <v>163</v>
      </c>
      <c r="B3" s="319"/>
      <c r="C3" s="319"/>
      <c r="D3" s="319"/>
      <c r="G3" s="121"/>
    </row>
    <row r="4" spans="1:13" s="123" customFormat="1" ht="89" customHeight="1" thickTop="1">
      <c r="A4" s="122"/>
      <c r="B4" s="205" t="s">
        <v>164</v>
      </c>
      <c r="C4" s="205" t="s">
        <v>165</v>
      </c>
      <c r="D4" s="205" t="s">
        <v>166</v>
      </c>
      <c r="I4" s="162" t="s">
        <v>102</v>
      </c>
      <c r="J4" s="124" t="s">
        <v>103</v>
      </c>
      <c r="K4" s="124" t="s">
        <v>82</v>
      </c>
      <c r="L4" s="124" t="s">
        <v>83</v>
      </c>
      <c r="M4" s="124" t="s">
        <v>84</v>
      </c>
    </row>
    <row r="5" spans="1:13" ht="18" customHeight="1">
      <c r="A5" s="125" t="s">
        <v>16</v>
      </c>
      <c r="B5" s="126">
        <f>ROUND('Tab4'!B5/1.1,-2)</f>
        <v>2300</v>
      </c>
      <c r="C5" s="130">
        <f>'Tab4'!C5*'Tab4'!I5/1.1/I5</f>
        <v>0.11338491307133212</v>
      </c>
      <c r="D5" s="126">
        <f>ROUND('Tab4'!D5/1.1,0)</f>
        <v>55</v>
      </c>
      <c r="I5" s="127">
        <f>'Tab4'!I5/1.1</f>
        <v>19771.750236363638</v>
      </c>
      <c r="J5" s="127">
        <f>'Tab4'!J5/1.1</f>
        <v>18090.386600000002</v>
      </c>
      <c r="K5" s="128"/>
      <c r="L5" s="128"/>
      <c r="M5" s="128">
        <f>'Tab4'!M5/1.1</f>
        <v>430.00727272727272</v>
      </c>
    </row>
    <row r="6" spans="1:13" ht="18" customHeight="1">
      <c r="A6" s="206" t="s">
        <v>167</v>
      </c>
      <c r="B6" s="129">
        <f>ROUND('Tab4'!B6/1.1,-2)</f>
        <v>1300</v>
      </c>
      <c r="C6" s="130">
        <f>'Tab4'!C6*'Tab4'!I6/1.1/I6</f>
        <v>3.5093963697265244E-2</v>
      </c>
      <c r="D6" s="129">
        <f>ROUND('Tab4'!D6/1.1,-1)</f>
        <v>30</v>
      </c>
      <c r="I6" s="127">
        <f>'Tab4'!I6/1.1</f>
        <v>36059.037285467923</v>
      </c>
      <c r="J6" s="127">
        <f>'Tab4'!J6/1.1</f>
        <v>35109.946376377011</v>
      </c>
      <c r="K6" s="128"/>
      <c r="L6" s="128"/>
      <c r="M6" s="128">
        <f>'Tab4'!M6/1.1</f>
        <v>217.27272727272725</v>
      </c>
    </row>
    <row r="7" spans="1:13" ht="18" customHeight="1">
      <c r="A7" s="206" t="s">
        <v>168</v>
      </c>
      <c r="B7" s="129">
        <f>ROUND('Tab4'!B7/1.1,-2)</f>
        <v>1200</v>
      </c>
      <c r="C7" s="130">
        <f>'Tab4'!C7*'Tab4'!I7/1.1/I7</f>
        <v>3.7385017662832892E-2</v>
      </c>
      <c r="D7" s="129">
        <f>ROUND('Tab4'!D7/1.1,0)</f>
        <v>25</v>
      </c>
      <c r="I7" s="127">
        <f>'Tab4'!I7/1.1</f>
        <v>32030.818818181815</v>
      </c>
      <c r="J7" s="127">
        <f>'Tab4'!J7/1.1</f>
        <v>31132.714272727269</v>
      </c>
      <c r="K7" s="128">
        <f>'Tab4'!K7/1.1</f>
        <v>12786.525290249456</v>
      </c>
      <c r="L7" s="128">
        <f>'Tab4'!L7/1.1</f>
        <v>3284.1365397771942</v>
      </c>
      <c r="M7" s="128">
        <f>'Tab4'!M7/1.1</f>
        <v>2589.9636363636364</v>
      </c>
    </row>
    <row r="8" spans="1:13" ht="18" customHeight="1">
      <c r="A8" s="206" t="s">
        <v>169</v>
      </c>
      <c r="B8" s="131">
        <f>ROUND('Tab4'!B8/1.1,-2)</f>
        <v>900</v>
      </c>
      <c r="C8" s="130">
        <f>'Tab4'!C8*'Tab4'!I8/1.1/I8</f>
        <v>0.26533134853285489</v>
      </c>
      <c r="D8" s="131">
        <f>ROUND('Tab4'!D8/1.1,0)</f>
        <v>19</v>
      </c>
      <c r="I8" s="127">
        <f>'Tab4'!I8/1.1</f>
        <v>3427.9607727272723</v>
      </c>
      <c r="J8" s="127">
        <f>'Tab4'!J8/1.1</f>
        <v>2745.8016818181814</v>
      </c>
      <c r="K8" s="128">
        <f>'Tab4'!K8/1.1</f>
        <v>9123.6363636363621</v>
      </c>
      <c r="L8" s="128">
        <f>'Tab4'!L8/1.1</f>
        <v>3048.181818181818</v>
      </c>
      <c r="M8" s="128">
        <f>'Tab4'!M8/1.1</f>
        <v>357.27272727272725</v>
      </c>
    </row>
    <row r="9" spans="1:13" ht="18" customHeight="1">
      <c r="A9" s="206" t="s">
        <v>170</v>
      </c>
      <c r="B9" s="131">
        <f>ROUND('Tab4'!B9/1.1,-2)</f>
        <v>800</v>
      </c>
      <c r="C9" s="130">
        <f>'Tab4'!C9*'Tab4'!I9/1.1/I9</f>
        <v>0.43685609232225425</v>
      </c>
      <c r="D9" s="131">
        <f>ROUND('Tab4'!D9/1.1,0)</f>
        <v>17</v>
      </c>
      <c r="I9" s="127">
        <f>'Tab4'!I9/1.1</f>
        <v>1810.4568181818179</v>
      </c>
      <c r="J9" s="127">
        <f>'Tab4'!J9/1.1</f>
        <v>1217.2749999999996</v>
      </c>
      <c r="K9" s="128">
        <f>'Tab4'!K9/1.1</f>
        <v>2390</v>
      </c>
      <c r="L9" s="128">
        <f>'Tab4'!L9/1.1</f>
        <v>465.45454545454544</v>
      </c>
      <c r="M9" s="128">
        <f>'Tab4'!M9/1.1</f>
        <v>499.99999999999994</v>
      </c>
    </row>
    <row r="10" spans="1:13" ht="18" customHeight="1">
      <c r="A10" s="143" t="s">
        <v>64</v>
      </c>
      <c r="B10" s="131">
        <f>ROUND('Tab4'!B10/1.1,-2)</f>
        <v>300</v>
      </c>
      <c r="C10" s="130">
        <f>'Tab4'!C10*'Tab4'!I10/1.1/I10</f>
        <v>9.336499786664508E-2</v>
      </c>
      <c r="D10" s="131">
        <f>ROUND('Tab4'!D10/1.1,0)</f>
        <v>5</v>
      </c>
      <c r="I10" s="127">
        <f>'Tab4'!I10/1.1</f>
        <v>3164.5098409090901</v>
      </c>
      <c r="J10" s="127">
        <f>'Tab4'!J10/1.1</f>
        <v>2942.9189999999994</v>
      </c>
      <c r="K10" s="128">
        <f>'Tab4'!K10/1.1</f>
        <v>151280.90909090909</v>
      </c>
      <c r="L10" s="128">
        <f>'Tab4'!L10/1.1</f>
        <v>56500.909090909088</v>
      </c>
      <c r="M10" s="128">
        <f>'Tab4'!M10/1.1</f>
        <v>24.545454545454543</v>
      </c>
    </row>
    <row r="11" spans="1:13" ht="18" customHeight="1">
      <c r="A11" s="206" t="s">
        <v>171</v>
      </c>
      <c r="B11" s="131">
        <f>ROUND('Tab4'!B11/1.1,-2)</f>
        <v>500</v>
      </c>
      <c r="C11" s="130">
        <f>'Tab4'!C11*'Tab4'!I11/1.1/I11</f>
        <v>0.54052434734672372</v>
      </c>
      <c r="D11" s="131">
        <f>ROUND('Tab4'!D11/1.1,0)</f>
        <v>4</v>
      </c>
      <c r="I11" s="127">
        <f>'Tab4'!I11/1.1</f>
        <v>1064.603305340039</v>
      </c>
      <c r="J11" s="127">
        <f>'Tab4'!J11/1.1</f>
        <v>489.15929853794955</v>
      </c>
      <c r="K11" s="128">
        <f>'Tab4'!K11/1.1</f>
        <v>4076.363636363636</v>
      </c>
      <c r="L11" s="128">
        <f>'Tab4'!L11/1.1</f>
        <v>2320</v>
      </c>
      <c r="M11" s="128">
        <f>'Tab4'!M11/1.1</f>
        <v>100.33181818181816</v>
      </c>
    </row>
    <row r="12" spans="1:13" ht="18" customHeight="1">
      <c r="A12" s="206" t="s">
        <v>172</v>
      </c>
      <c r="B12" s="131">
        <f>ROUND('Tab4'!B12/1.1,-2)</f>
        <v>600</v>
      </c>
      <c r="C12" s="130">
        <f>'Tab4'!C12*'Tab4'!I12/1.1/I12</f>
        <v>0.58487422326656402</v>
      </c>
      <c r="D12" s="131">
        <f>ROUND('Tab4'!D12/1.1,0)</f>
        <v>0</v>
      </c>
      <c r="I12" s="127">
        <f>'Tab4'!I12/1.1</f>
        <v>1081.8176755909089</v>
      </c>
      <c r="J12" s="127">
        <f>'Tab4'!J12/1.1</f>
        <v>607.27222104545456</v>
      </c>
      <c r="K12" s="128">
        <f>'Tab4'!K12/1.1</f>
        <v>34743.795378913928</v>
      </c>
      <c r="L12" s="128">
        <f>'Tab4'!L12/1.1</f>
        <v>12777.788685524125</v>
      </c>
      <c r="M12" s="128">
        <f>'Tab4'!M12/1.1</f>
        <v>21.854545454545452</v>
      </c>
    </row>
    <row r="13" spans="1:13" s="136" customFormat="1" ht="32" customHeight="1" thickBot="1">
      <c r="A13" s="132" t="s">
        <v>17</v>
      </c>
      <c r="B13" s="133">
        <f>ROUND('Tab4'!B13/1.1,-2)</f>
        <v>7900</v>
      </c>
      <c r="C13" s="134">
        <f>B13/I13</f>
        <v>8.0275615858489954E-2</v>
      </c>
      <c r="D13" s="133">
        <f>ROUND('Tab4'!D13/1.1,0)</f>
        <v>155</v>
      </c>
      <c r="I13" s="127">
        <f>'Tab4'!I13/1.1</f>
        <v>98410.954752762511</v>
      </c>
      <c r="J13" s="127">
        <f>'Tab4'!J13/1.1</f>
        <v>92335.474450505862</v>
      </c>
      <c r="K13" s="127"/>
      <c r="L13" s="127"/>
      <c r="M13" s="127"/>
    </row>
    <row r="14" spans="1:13" ht="16" customHeight="1" thickTop="1">
      <c r="H14" s="137"/>
      <c r="I14" s="137"/>
      <c r="J14" s="137"/>
    </row>
    <row r="15" spans="1:13" ht="15" customHeight="1">
      <c r="A15" s="168"/>
      <c r="B15" s="168"/>
      <c r="C15" s="213"/>
      <c r="E15" s="204"/>
      <c r="F15" s="128"/>
      <c r="G15" s="168"/>
      <c r="H15" s="128"/>
      <c r="I15" s="168"/>
      <c r="J15" s="168"/>
      <c r="K15" s="174"/>
      <c r="L15" s="174"/>
      <c r="M15" s="174"/>
    </row>
    <row r="16" spans="1:13">
      <c r="I16" s="128"/>
      <c r="J16" s="174"/>
      <c r="K16" s="174"/>
      <c r="L16" s="174"/>
      <c r="M16" s="174"/>
    </row>
    <row r="17" spans="1:19" ht="16" thickBot="1">
      <c r="J17" s="189"/>
      <c r="K17" s="189"/>
      <c r="L17" s="189"/>
      <c r="M17" s="189"/>
    </row>
    <row r="18" spans="1:19" ht="16" thickTop="1">
      <c r="A18" s="175" t="s">
        <v>121</v>
      </c>
      <c r="B18" s="176"/>
      <c r="C18" s="177"/>
      <c r="D18" s="177"/>
      <c r="E18" s="177"/>
      <c r="F18" s="176"/>
      <c r="G18" s="176"/>
      <c r="H18" s="176"/>
      <c r="I18" s="176"/>
      <c r="J18" s="176"/>
      <c r="K18" s="176"/>
      <c r="L18" s="176"/>
      <c r="M18" s="176"/>
      <c r="N18" s="176"/>
      <c r="O18" s="176"/>
      <c r="P18" s="176"/>
      <c r="Q18" s="176"/>
      <c r="R18" s="176"/>
      <c r="S18" s="178"/>
    </row>
    <row r="19" spans="1:19">
      <c r="A19" s="179" t="s">
        <v>122</v>
      </c>
      <c r="B19" s="143"/>
      <c r="C19" s="180"/>
      <c r="D19" s="180"/>
      <c r="E19" s="180"/>
      <c r="F19" s="143"/>
      <c r="G19" s="143"/>
      <c r="H19" s="143"/>
      <c r="I19" s="143"/>
      <c r="J19" s="143"/>
      <c r="K19" s="143"/>
      <c r="L19" s="143"/>
      <c r="M19" s="143"/>
      <c r="N19" s="143"/>
      <c r="O19" s="143"/>
      <c r="P19" s="143"/>
      <c r="Q19" s="143"/>
      <c r="R19" s="143"/>
      <c r="S19" s="181"/>
    </row>
    <row r="20" spans="1:19">
      <c r="A20" s="179" t="s">
        <v>125</v>
      </c>
      <c r="B20" s="143"/>
      <c r="C20" s="180"/>
      <c r="D20" s="180"/>
      <c r="E20" s="180"/>
      <c r="F20" s="143"/>
      <c r="G20" s="143"/>
      <c r="H20" s="143"/>
      <c r="I20" s="143"/>
      <c r="J20" s="143"/>
      <c r="K20" s="143"/>
      <c r="L20" s="143"/>
      <c r="M20" s="143"/>
      <c r="N20" s="143"/>
      <c r="O20" s="143"/>
      <c r="P20" s="143"/>
      <c r="Q20" s="143"/>
      <c r="R20" s="143"/>
      <c r="S20" s="181"/>
    </row>
    <row r="21" spans="1:19">
      <c r="A21" s="179" t="s">
        <v>123</v>
      </c>
      <c r="B21" s="143"/>
      <c r="C21" s="180"/>
      <c r="D21" s="180"/>
      <c r="E21" s="180"/>
      <c r="F21" s="143"/>
      <c r="G21" s="143"/>
      <c r="H21" s="143"/>
      <c r="I21" s="143"/>
      <c r="J21" s="143"/>
      <c r="K21" s="143"/>
      <c r="L21" s="143"/>
      <c r="M21" s="143"/>
      <c r="N21" s="143"/>
      <c r="O21" s="143"/>
      <c r="P21" s="143"/>
      <c r="Q21" s="143"/>
      <c r="R21" s="143"/>
      <c r="S21" s="181"/>
    </row>
    <row r="22" spans="1:19">
      <c r="A22" s="179" t="s">
        <v>124</v>
      </c>
      <c r="B22" s="143"/>
      <c r="C22" s="180"/>
      <c r="D22" s="180"/>
      <c r="E22" s="180"/>
      <c r="F22" s="143"/>
      <c r="G22" s="143"/>
      <c r="H22" s="143"/>
      <c r="I22" s="143"/>
      <c r="J22" s="143"/>
      <c r="K22" s="143"/>
      <c r="L22" s="143"/>
      <c r="M22" s="143"/>
      <c r="N22" s="143"/>
      <c r="O22" s="143"/>
      <c r="P22" s="143"/>
      <c r="Q22" s="143"/>
      <c r="R22" s="143"/>
      <c r="S22" s="181"/>
    </row>
    <row r="23" spans="1:19">
      <c r="A23" s="182" t="s">
        <v>126</v>
      </c>
      <c r="B23" s="143"/>
      <c r="C23" s="180"/>
      <c r="D23" s="180"/>
      <c r="E23" s="180"/>
      <c r="F23" s="143"/>
      <c r="G23" s="143"/>
      <c r="H23" s="143"/>
      <c r="I23" s="143"/>
      <c r="J23" s="143"/>
      <c r="K23" s="143"/>
      <c r="L23" s="143"/>
      <c r="M23" s="143"/>
      <c r="N23" s="143"/>
      <c r="O23" s="143"/>
      <c r="P23" s="143"/>
      <c r="Q23" s="143"/>
      <c r="R23" s="143"/>
      <c r="S23" s="181"/>
    </row>
    <row r="24" spans="1:19">
      <c r="A24" s="183" t="s">
        <v>129</v>
      </c>
      <c r="B24" s="143"/>
      <c r="C24" s="180"/>
      <c r="D24" s="180"/>
      <c r="E24" s="180"/>
      <c r="F24" s="143"/>
      <c r="G24" s="143"/>
      <c r="H24" s="143"/>
      <c r="I24" s="143"/>
      <c r="J24" s="143"/>
      <c r="K24" s="143"/>
      <c r="L24" s="143"/>
      <c r="M24" s="143"/>
      <c r="N24" s="143"/>
      <c r="O24" s="143"/>
      <c r="P24" s="143"/>
      <c r="Q24" s="143"/>
      <c r="R24" s="143"/>
      <c r="S24" s="181"/>
    </row>
    <row r="25" spans="1:19">
      <c r="A25" s="184" t="s">
        <v>104</v>
      </c>
      <c r="B25" s="143"/>
      <c r="C25" s="180"/>
      <c r="D25" s="180"/>
      <c r="E25" s="180"/>
      <c r="F25" s="143"/>
      <c r="G25" s="143"/>
      <c r="H25" s="143"/>
      <c r="I25" s="143"/>
      <c r="J25" s="143"/>
      <c r="K25" s="143"/>
      <c r="L25" s="143"/>
      <c r="M25" s="143"/>
      <c r="N25" s="143"/>
      <c r="O25" s="143"/>
      <c r="P25" s="143"/>
      <c r="Q25" s="143"/>
      <c r="R25" s="143"/>
      <c r="S25" s="181"/>
    </row>
    <row r="26" spans="1:19" ht="16" thickBot="1">
      <c r="A26" s="185" t="s">
        <v>128</v>
      </c>
      <c r="B26" s="186"/>
      <c r="C26" s="187"/>
      <c r="D26" s="187"/>
      <c r="E26" s="187"/>
      <c r="F26" s="186"/>
      <c r="G26" s="186"/>
      <c r="H26" s="186"/>
      <c r="I26" s="186"/>
      <c r="J26" s="186"/>
      <c r="K26" s="186"/>
      <c r="L26" s="186"/>
      <c r="M26" s="186"/>
      <c r="N26" s="186"/>
      <c r="O26" s="186"/>
      <c r="P26" s="186"/>
      <c r="Q26" s="186"/>
      <c r="R26" s="186"/>
      <c r="S26" s="188"/>
    </row>
    <row r="27" spans="1:19" ht="16" thickTop="1">
      <c r="B27" s="172"/>
    </row>
    <row r="28" spans="1:19">
      <c r="B28" s="173"/>
    </row>
    <row r="29" spans="1:19">
      <c r="B29" s="171"/>
    </row>
  </sheetData>
  <mergeCells count="1">
    <mergeCell ref="A3:D3"/>
  </mergeCells>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2"/>
  <sheetViews>
    <sheetView topLeftCell="A2" zoomScale="89" workbookViewId="0">
      <pane xSplit="1" ySplit="3" topLeftCell="B5" activePane="bottomRight" state="frozen"/>
      <selection activeCell="A2" sqref="A2"/>
      <selection pane="topRight" activeCell="B2" sqref="B2"/>
      <selection pane="bottomLeft" activeCell="A4" sqref="A4"/>
      <selection pane="bottomRight" activeCell="B6" sqref="B6:B8"/>
    </sheetView>
  </sheetViews>
  <sheetFormatPr baseColWidth="10" defaultRowHeight="15" x14ac:dyDescent="0"/>
  <cols>
    <col min="1" max="1" width="16.33203125" style="48" customWidth="1"/>
    <col min="2" max="19" width="11" style="48" customWidth="1"/>
    <col min="20" max="16384" width="10.83203125" style="48"/>
  </cols>
  <sheetData>
    <row r="2" spans="1:19">
      <c r="K2" s="212" t="s">
        <v>185</v>
      </c>
      <c r="O2" s="48" t="s">
        <v>19</v>
      </c>
      <c r="P2" s="48" t="s">
        <v>18</v>
      </c>
    </row>
    <row r="3" spans="1:19">
      <c r="O3" s="43">
        <v>6.5000000000000002E-2</v>
      </c>
      <c r="P3" s="49">
        <v>0.03</v>
      </c>
    </row>
    <row r="4" spans="1:19" s="50" customFormat="1" ht="118" customHeight="1">
      <c r="B4" s="116" t="s">
        <v>175</v>
      </c>
      <c r="C4" s="112" t="s">
        <v>73</v>
      </c>
      <c r="D4" s="210" t="s">
        <v>176</v>
      </c>
      <c r="E4" s="112" t="s">
        <v>73</v>
      </c>
      <c r="F4" s="210" t="s">
        <v>177</v>
      </c>
      <c r="G4" s="112" t="s">
        <v>74</v>
      </c>
      <c r="H4" s="112" t="s">
        <v>75</v>
      </c>
      <c r="I4" s="210" t="s">
        <v>178</v>
      </c>
      <c r="J4" s="210" t="s">
        <v>174</v>
      </c>
      <c r="K4" s="211" t="s">
        <v>76</v>
      </c>
      <c r="L4" s="112" t="s">
        <v>77</v>
      </c>
      <c r="M4" s="210" t="s">
        <v>179</v>
      </c>
      <c r="N4" s="112" t="s">
        <v>74</v>
      </c>
      <c r="O4" s="210" t="s">
        <v>180</v>
      </c>
      <c r="P4" s="210" t="s">
        <v>181</v>
      </c>
      <c r="Q4" s="210" t="s">
        <v>182</v>
      </c>
      <c r="R4" s="210" t="s">
        <v>183</v>
      </c>
      <c r="S4" s="112" t="s">
        <v>78</v>
      </c>
    </row>
    <row r="5" spans="1:19">
      <c r="A5" s="48" t="s">
        <v>16</v>
      </c>
      <c r="B5" s="45">
        <f>C5*DataTab1!B$24</f>
        <v>1058.0000000000002</v>
      </c>
      <c r="C5" s="140">
        <f>DataTab1!C4</f>
        <v>0.46000000000000008</v>
      </c>
      <c r="D5" s="45">
        <f t="shared" ref="D5:D21" si="0">E5*D$25</f>
        <v>1408</v>
      </c>
      <c r="E5" s="140">
        <v>0.22</v>
      </c>
      <c r="F5" s="45">
        <f t="shared" ref="F5:F24" si="1">B5+D5</f>
        <v>2466</v>
      </c>
      <c r="G5" s="44">
        <f t="shared" ref="G5:G21" si="2">F5/F$25</f>
        <v>0.28344827586206894</v>
      </c>
      <c r="H5" s="166">
        <v>0.25</v>
      </c>
      <c r="I5" s="45">
        <f t="shared" ref="I5:I21" si="3">(1-H5)*F5</f>
        <v>1849.5</v>
      </c>
      <c r="J5" s="44"/>
      <c r="M5" s="45">
        <f t="shared" ref="M5:M21" si="4">O5+P5+Q5</f>
        <v>59.960200410293858</v>
      </c>
      <c r="N5" s="44">
        <f t="shared" ref="N5:N25" si="5">M5/M$25</f>
        <v>0.35210280978662639</v>
      </c>
      <c r="O5" s="45">
        <f>SUM(O6:O17)</f>
        <v>35.788929487454887</v>
      </c>
      <c r="P5" s="45">
        <f>SUM(P6:P17)</f>
        <v>15.063619694105512</v>
      </c>
      <c r="Q5" s="45">
        <f>SUM(Q6:Q17)</f>
        <v>9.1076512287334577</v>
      </c>
      <c r="R5" s="45">
        <f>(O5+Q5)</f>
        <v>44.896580716188346</v>
      </c>
      <c r="S5" s="44">
        <f t="shared" ref="S5:S17" si="6">R5/(O$3*I5)</f>
        <v>0.37346127407564078</v>
      </c>
    </row>
    <row r="6" spans="1:19">
      <c r="A6" s="113" t="s">
        <v>48</v>
      </c>
      <c r="B6" s="45">
        <f>C6*DataTab1!B$24</f>
        <v>210</v>
      </c>
      <c r="C6" s="140">
        <f>DataTab1!C5</f>
        <v>9.1304347826086957E-2</v>
      </c>
      <c r="D6" s="45">
        <f t="shared" si="0"/>
        <v>279.47069943289222</v>
      </c>
      <c r="E6" s="140">
        <f>E$5*C6/C$5</f>
        <v>4.3667296786389406E-2</v>
      </c>
      <c r="F6" s="45">
        <f t="shared" si="1"/>
        <v>489.47069943289222</v>
      </c>
      <c r="G6" s="44">
        <f t="shared" si="2"/>
        <v>5.6260999934815197E-2</v>
      </c>
      <c r="H6" s="166">
        <v>0.25</v>
      </c>
      <c r="I6" s="45">
        <f t="shared" si="3"/>
        <v>367.10302457466918</v>
      </c>
      <c r="J6" s="53">
        <v>0.26400000000000001</v>
      </c>
      <c r="K6" s="49">
        <v>0.3</v>
      </c>
      <c r="L6" s="49">
        <v>0</v>
      </c>
      <c r="M6" s="45">
        <f t="shared" si="4"/>
        <v>9.6034151228733453</v>
      </c>
      <c r="N6" s="44">
        <f t="shared" si="5"/>
        <v>5.6393898372137097E-2</v>
      </c>
      <c r="O6" s="45">
        <f t="shared" ref="O6:O21" si="7">O$3*J6*I6</f>
        <v>6.2994879017013234</v>
      </c>
      <c r="P6" s="45">
        <f t="shared" ref="P6:P21" si="8">I6*P$3*K6</f>
        <v>3.3039272211720223</v>
      </c>
      <c r="Q6" s="45">
        <f t="shared" ref="Q6:Q21" si="9">L6*I6</f>
        <v>0</v>
      </c>
      <c r="R6" s="45">
        <f t="shared" ref="R6:R25" si="10">(O6+Q6)</f>
        <v>6.2994879017013234</v>
      </c>
      <c r="S6" s="44">
        <f t="shared" si="6"/>
        <v>0.26400000000000001</v>
      </c>
    </row>
    <row r="7" spans="1:19">
      <c r="A7" s="113" t="s">
        <v>49</v>
      </c>
      <c r="B7" s="45">
        <f>C7*DataTab1!B$24</f>
        <v>190</v>
      </c>
      <c r="C7" s="140">
        <f>DataTab1!C6</f>
        <v>8.2608695652173908E-2</v>
      </c>
      <c r="D7" s="45">
        <f t="shared" si="0"/>
        <v>252.85444234404531</v>
      </c>
      <c r="E7" s="140">
        <f t="shared" ref="E7:E17" si="11">E$5*C7/C$5</f>
        <v>3.9508506616257079E-2</v>
      </c>
      <c r="F7" s="45">
        <f t="shared" si="1"/>
        <v>442.85444234404531</v>
      </c>
      <c r="G7" s="44">
        <f t="shared" si="2"/>
        <v>5.0902809464832798E-2</v>
      </c>
      <c r="H7" s="166">
        <v>0.25</v>
      </c>
      <c r="I7" s="45">
        <f t="shared" si="3"/>
        <v>332.14083175803398</v>
      </c>
      <c r="J7" s="53">
        <v>0.44</v>
      </c>
      <c r="K7" s="49">
        <v>0.45</v>
      </c>
      <c r="L7" s="51">
        <v>1.4999999999999999E-2</v>
      </c>
      <c r="M7" s="45">
        <f t="shared" si="4"/>
        <v>18.96524149338374</v>
      </c>
      <c r="N7" s="44">
        <f t="shared" si="5"/>
        <v>0.1113691210571056</v>
      </c>
      <c r="O7" s="45">
        <f t="shared" si="7"/>
        <v>9.4992277882797715</v>
      </c>
      <c r="P7" s="45">
        <f t="shared" si="8"/>
        <v>4.4839012287334583</v>
      </c>
      <c r="Q7" s="45">
        <f t="shared" si="9"/>
        <v>4.9821124763705091</v>
      </c>
      <c r="R7" s="45">
        <f t="shared" si="10"/>
        <v>14.481340264650282</v>
      </c>
      <c r="S7" s="44">
        <f t="shared" si="6"/>
        <v>0.67076923076923067</v>
      </c>
    </row>
    <row r="8" spans="1:19">
      <c r="A8" s="114" t="s">
        <v>50</v>
      </c>
      <c r="B8" s="45">
        <f>C8*DataTab1!B$24</f>
        <v>120</v>
      </c>
      <c r="C8" s="140">
        <f>DataTab1!C7</f>
        <v>5.2173913043478258E-2</v>
      </c>
      <c r="D8" s="45">
        <f t="shared" si="0"/>
        <v>159.69754253308125</v>
      </c>
      <c r="E8" s="140">
        <f t="shared" si="11"/>
        <v>2.4952741020793947E-2</v>
      </c>
      <c r="F8" s="45">
        <f t="shared" si="1"/>
        <v>279.69754253308122</v>
      </c>
      <c r="G8" s="44">
        <f t="shared" si="2"/>
        <v>3.2149142819894394E-2</v>
      </c>
      <c r="H8" s="166">
        <v>0.25</v>
      </c>
      <c r="I8" s="45">
        <f t="shared" si="3"/>
        <v>209.77315689981091</v>
      </c>
      <c r="J8" s="44">
        <v>0.26</v>
      </c>
      <c r="K8" s="49">
        <v>0.04</v>
      </c>
      <c r="L8" s="49">
        <v>0</v>
      </c>
      <c r="M8" s="45">
        <f t="shared" si="4"/>
        <v>3.7968941398865783</v>
      </c>
      <c r="N8" s="44">
        <f t="shared" si="5"/>
        <v>2.229640805014595E-2</v>
      </c>
      <c r="O8" s="45">
        <f t="shared" si="7"/>
        <v>3.545166351606805</v>
      </c>
      <c r="P8" s="45">
        <f t="shared" si="8"/>
        <v>0.2517277882797731</v>
      </c>
      <c r="Q8" s="45">
        <f t="shared" si="9"/>
        <v>0</v>
      </c>
      <c r="R8" s="45">
        <f t="shared" si="10"/>
        <v>3.545166351606805</v>
      </c>
      <c r="S8" s="44">
        <f t="shared" si="6"/>
        <v>0.26</v>
      </c>
    </row>
    <row r="9" spans="1:19">
      <c r="A9" s="113" t="s">
        <v>51</v>
      </c>
      <c r="B9" s="45">
        <f>C9*DataTab1!B$24</f>
        <v>110</v>
      </c>
      <c r="C9" s="140">
        <f>DataTab1!C8</f>
        <v>4.7826086956521741E-2</v>
      </c>
      <c r="D9" s="45">
        <f t="shared" si="0"/>
        <v>146.38941398865782</v>
      </c>
      <c r="E9" s="140">
        <f t="shared" si="11"/>
        <v>2.2873345935727787E-2</v>
      </c>
      <c r="F9" s="45">
        <f t="shared" si="1"/>
        <v>256.38941398865779</v>
      </c>
      <c r="G9" s="44">
        <f t="shared" si="2"/>
        <v>2.9470047584903195E-2</v>
      </c>
      <c r="H9" s="166">
        <v>0.25</v>
      </c>
      <c r="I9" s="45">
        <f t="shared" si="3"/>
        <v>192.29206049149334</v>
      </c>
      <c r="J9" s="44">
        <v>0.38100000000000001</v>
      </c>
      <c r="K9" s="49">
        <v>0.4</v>
      </c>
      <c r="L9" s="49">
        <v>0</v>
      </c>
      <c r="M9" s="45">
        <f t="shared" si="4"/>
        <v>7.0696176039697534</v>
      </c>
      <c r="N9" s="44">
        <f t="shared" si="5"/>
        <v>4.151474153591056E-2</v>
      </c>
      <c r="O9" s="45">
        <f t="shared" si="7"/>
        <v>4.7621128780718331</v>
      </c>
      <c r="P9" s="45">
        <f t="shared" si="8"/>
        <v>2.3075047258979202</v>
      </c>
      <c r="Q9" s="45">
        <f t="shared" si="9"/>
        <v>0</v>
      </c>
      <c r="R9" s="45">
        <f t="shared" si="10"/>
        <v>4.7621128780718331</v>
      </c>
      <c r="S9" s="44">
        <f t="shared" si="6"/>
        <v>0.38100000000000001</v>
      </c>
    </row>
    <row r="10" spans="1:19">
      <c r="A10" s="113" t="s">
        <v>52</v>
      </c>
      <c r="B10" s="45">
        <f>C10*DataTab1!B$24</f>
        <v>90</v>
      </c>
      <c r="C10" s="140">
        <f>DataTab1!C9</f>
        <v>3.9130434782608699E-2</v>
      </c>
      <c r="D10" s="45">
        <f t="shared" si="0"/>
        <v>119.77315689981094</v>
      </c>
      <c r="E10" s="140">
        <f t="shared" si="11"/>
        <v>1.8714555765595459E-2</v>
      </c>
      <c r="F10" s="45">
        <f t="shared" si="1"/>
        <v>209.77315689981094</v>
      </c>
      <c r="G10" s="44">
        <f t="shared" si="2"/>
        <v>2.4111857114920799E-2</v>
      </c>
      <c r="H10" s="166">
        <v>0.25</v>
      </c>
      <c r="I10" s="45">
        <f t="shared" si="3"/>
        <v>157.32986767485821</v>
      </c>
      <c r="J10" s="44">
        <v>0.23</v>
      </c>
      <c r="K10" s="49">
        <v>0.34</v>
      </c>
      <c r="L10" s="142">
        <v>2.5000000000000001E-2</v>
      </c>
      <c r="M10" s="45">
        <f t="shared" si="4"/>
        <v>7.8900928638941394</v>
      </c>
      <c r="N10" s="44">
        <f t="shared" si="5"/>
        <v>4.6332798220227317E-2</v>
      </c>
      <c r="O10" s="45">
        <f t="shared" si="7"/>
        <v>2.3520815217391302</v>
      </c>
      <c r="P10" s="45">
        <f t="shared" si="8"/>
        <v>1.6047646502835538</v>
      </c>
      <c r="Q10" s="45">
        <f t="shared" si="9"/>
        <v>3.9332466918714553</v>
      </c>
      <c r="R10" s="45">
        <f t="shared" si="10"/>
        <v>6.285328213610585</v>
      </c>
      <c r="S10" s="44">
        <f t="shared" si="6"/>
        <v>0.61461538461538456</v>
      </c>
    </row>
    <row r="11" spans="1:19">
      <c r="A11" s="113" t="s">
        <v>53</v>
      </c>
      <c r="B11" s="45">
        <f>C11*DataTab1!B$24</f>
        <v>60</v>
      </c>
      <c r="C11" s="140">
        <f>DataTab1!C10</f>
        <v>2.6086956521739129E-2</v>
      </c>
      <c r="D11" s="45">
        <f t="shared" si="0"/>
        <v>79.848771266540624</v>
      </c>
      <c r="E11" s="140">
        <f t="shared" si="11"/>
        <v>1.2476370510396973E-2</v>
      </c>
      <c r="F11" s="45">
        <f t="shared" si="1"/>
        <v>139.84877126654061</v>
      </c>
      <c r="G11" s="44">
        <f t="shared" si="2"/>
        <v>1.6074571409947197E-2</v>
      </c>
      <c r="H11" s="166">
        <v>0.25</v>
      </c>
      <c r="I11" s="45">
        <f t="shared" si="3"/>
        <v>104.88657844990546</v>
      </c>
      <c r="J11" s="44">
        <v>0.1</v>
      </c>
      <c r="K11" s="49">
        <v>0.2</v>
      </c>
      <c r="L11" s="49">
        <v>0</v>
      </c>
      <c r="M11" s="45">
        <f t="shared" si="4"/>
        <v>1.3110822306238181</v>
      </c>
      <c r="N11" s="44">
        <f t="shared" si="5"/>
        <v>7.6990359289177976E-3</v>
      </c>
      <c r="O11" s="45">
        <f t="shared" si="7"/>
        <v>0.68176275992438551</v>
      </c>
      <c r="P11" s="45">
        <f t="shared" si="8"/>
        <v>0.62931947069943273</v>
      </c>
      <c r="Q11" s="45">
        <f t="shared" si="9"/>
        <v>0</v>
      </c>
      <c r="R11" s="45">
        <f t="shared" si="10"/>
        <v>0.68176275992438551</v>
      </c>
      <c r="S11" s="44">
        <f t="shared" si="6"/>
        <v>9.9999999999999992E-2</v>
      </c>
    </row>
    <row r="12" spans="1:19">
      <c r="A12" s="113" t="s">
        <v>54</v>
      </c>
      <c r="B12" s="45">
        <f>C12*DataTab1!B$24</f>
        <v>60</v>
      </c>
      <c r="C12" s="140">
        <f>DataTab1!C11</f>
        <v>2.6086956521739129E-2</v>
      </c>
      <c r="D12" s="45">
        <f t="shared" si="0"/>
        <v>79.848771266540624</v>
      </c>
      <c r="E12" s="140">
        <f t="shared" si="11"/>
        <v>1.2476370510396973E-2</v>
      </c>
      <c r="F12" s="45">
        <f t="shared" si="1"/>
        <v>139.84877126654061</v>
      </c>
      <c r="G12" s="44">
        <f t="shared" si="2"/>
        <v>1.6074571409947197E-2</v>
      </c>
      <c r="H12" s="166">
        <v>0.25</v>
      </c>
      <c r="I12" s="45">
        <f t="shared" si="3"/>
        <v>104.88657844990546</v>
      </c>
      <c r="J12" s="44">
        <v>0.27</v>
      </c>
      <c r="K12" s="49">
        <v>0.3</v>
      </c>
      <c r="L12" s="49">
        <v>0</v>
      </c>
      <c r="M12" s="45">
        <f t="shared" si="4"/>
        <v>2.78473865784499</v>
      </c>
      <c r="N12" s="44">
        <f t="shared" si="5"/>
        <v>1.6352752313021406E-2</v>
      </c>
      <c r="O12" s="45">
        <f t="shared" si="7"/>
        <v>1.840759451795841</v>
      </c>
      <c r="P12" s="45">
        <f t="shared" si="8"/>
        <v>0.94397920604914898</v>
      </c>
      <c r="Q12" s="45">
        <f t="shared" si="9"/>
        <v>0</v>
      </c>
      <c r="R12" s="45">
        <f t="shared" si="10"/>
        <v>1.840759451795841</v>
      </c>
      <c r="S12" s="44">
        <f t="shared" si="6"/>
        <v>0.27</v>
      </c>
    </row>
    <row r="13" spans="1:19">
      <c r="A13" s="113" t="s">
        <v>55</v>
      </c>
      <c r="B13" s="45">
        <f>C13*DataTab1!B$24</f>
        <v>40</v>
      </c>
      <c r="C13" s="140">
        <f>DataTab1!C12</f>
        <v>1.7391304347826087E-2</v>
      </c>
      <c r="D13" s="45">
        <f t="shared" si="0"/>
        <v>53.232514177693758</v>
      </c>
      <c r="E13" s="140">
        <f t="shared" si="11"/>
        <v>8.3175803402646496E-3</v>
      </c>
      <c r="F13" s="45">
        <f t="shared" si="1"/>
        <v>93.232514177693758</v>
      </c>
      <c r="G13" s="44">
        <f t="shared" si="2"/>
        <v>1.07163809399648E-2</v>
      </c>
      <c r="H13" s="166">
        <v>0.25</v>
      </c>
      <c r="I13" s="45">
        <f t="shared" si="3"/>
        <v>69.924385633270319</v>
      </c>
      <c r="J13" s="44">
        <v>0.28000000000000003</v>
      </c>
      <c r="K13" s="49">
        <v>0</v>
      </c>
      <c r="L13" s="49">
        <v>0</v>
      </c>
      <c r="M13" s="45">
        <f t="shared" si="4"/>
        <v>1.2726238185255199</v>
      </c>
      <c r="N13" s="44">
        <f t="shared" si="5"/>
        <v>7.4731975416695452E-3</v>
      </c>
      <c r="O13" s="45">
        <f t="shared" si="7"/>
        <v>1.2726238185255199</v>
      </c>
      <c r="P13" s="45">
        <f t="shared" si="8"/>
        <v>0</v>
      </c>
      <c r="Q13" s="45">
        <f t="shared" si="9"/>
        <v>0</v>
      </c>
      <c r="R13" s="45">
        <f t="shared" si="10"/>
        <v>1.2726238185255199</v>
      </c>
      <c r="S13" s="44">
        <f t="shared" si="6"/>
        <v>0.28000000000000003</v>
      </c>
    </row>
    <row r="14" spans="1:19">
      <c r="A14" s="113" t="s">
        <v>56</v>
      </c>
      <c r="B14" s="45">
        <f>C14*DataTab1!B$24</f>
        <v>10</v>
      </c>
      <c r="C14" s="140">
        <f>DataTab1!C13</f>
        <v>4.3478260869565218E-3</v>
      </c>
      <c r="D14" s="45">
        <f t="shared" si="0"/>
        <v>13.30812854442344</v>
      </c>
      <c r="E14" s="140">
        <f t="shared" si="11"/>
        <v>2.0793950850661624E-3</v>
      </c>
      <c r="F14" s="45">
        <f t="shared" si="1"/>
        <v>23.30812854442344</v>
      </c>
      <c r="G14" s="44">
        <f t="shared" si="2"/>
        <v>2.6790952349911999E-3</v>
      </c>
      <c r="H14" s="166">
        <v>0.25</v>
      </c>
      <c r="I14" s="45">
        <f t="shared" si="3"/>
        <v>17.48109640831758</v>
      </c>
      <c r="J14" s="44">
        <v>0.19</v>
      </c>
      <c r="K14" s="49">
        <v>7.0000000000000007E-2</v>
      </c>
      <c r="L14" s="49">
        <v>0</v>
      </c>
      <c r="M14" s="45">
        <f t="shared" si="4"/>
        <v>0.25260184310018902</v>
      </c>
      <c r="N14" s="44">
        <f t="shared" si="5"/>
        <v>1.483347588971496E-3</v>
      </c>
      <c r="O14" s="45">
        <f t="shared" si="7"/>
        <v>0.21589154064272212</v>
      </c>
      <c r="P14" s="45">
        <f t="shared" si="8"/>
        <v>3.6710302457466919E-2</v>
      </c>
      <c r="Q14" s="45">
        <f t="shared" si="9"/>
        <v>0</v>
      </c>
      <c r="R14" s="45">
        <f t="shared" si="10"/>
        <v>0.21589154064272212</v>
      </c>
      <c r="S14" s="44">
        <f t="shared" si="6"/>
        <v>0.19</v>
      </c>
    </row>
    <row r="15" spans="1:19">
      <c r="A15" s="113" t="s">
        <v>57</v>
      </c>
      <c r="B15" s="45">
        <f>C15*DataTab1!B$24</f>
        <v>10</v>
      </c>
      <c r="C15" s="140">
        <f>DataTab1!C14</f>
        <v>4.3478260869565218E-3</v>
      </c>
      <c r="D15" s="45">
        <f t="shared" si="0"/>
        <v>13.30812854442344</v>
      </c>
      <c r="E15" s="140">
        <f t="shared" si="11"/>
        <v>2.0793950850661624E-3</v>
      </c>
      <c r="F15" s="45">
        <f t="shared" si="1"/>
        <v>23.30812854442344</v>
      </c>
      <c r="G15" s="44">
        <f t="shared" si="2"/>
        <v>2.6790952349911999E-3</v>
      </c>
      <c r="H15" s="166">
        <v>0.25</v>
      </c>
      <c r="I15" s="45">
        <f t="shared" si="3"/>
        <v>17.48109640831758</v>
      </c>
      <c r="J15" s="44">
        <v>0.3</v>
      </c>
      <c r="K15" s="49">
        <v>0</v>
      </c>
      <c r="L15" s="49">
        <v>0</v>
      </c>
      <c r="M15" s="45">
        <f t="shared" si="4"/>
        <v>0.34088137996219281</v>
      </c>
      <c r="N15" s="44">
        <f t="shared" si="5"/>
        <v>2.0017493415186282E-3</v>
      </c>
      <c r="O15" s="45">
        <f t="shared" si="7"/>
        <v>0.34088137996219281</v>
      </c>
      <c r="P15" s="45">
        <f t="shared" si="8"/>
        <v>0</v>
      </c>
      <c r="Q15" s="45">
        <f t="shared" si="9"/>
        <v>0</v>
      </c>
      <c r="R15" s="45">
        <f t="shared" si="10"/>
        <v>0.34088137996219281</v>
      </c>
      <c r="S15" s="44">
        <f t="shared" si="6"/>
        <v>0.3</v>
      </c>
    </row>
    <row r="16" spans="1:19">
      <c r="A16" s="113" t="s">
        <v>58</v>
      </c>
      <c r="B16" s="45">
        <f>C16*DataTab1!B$24</f>
        <v>10</v>
      </c>
      <c r="C16" s="140">
        <f>DataTab1!C15</f>
        <v>4.3478260869565218E-3</v>
      </c>
      <c r="D16" s="45">
        <f t="shared" si="0"/>
        <v>13.30812854442344</v>
      </c>
      <c r="E16" s="140">
        <f t="shared" si="11"/>
        <v>2.0793950850661624E-3</v>
      </c>
      <c r="F16" s="45">
        <f t="shared" si="1"/>
        <v>23.30812854442344</v>
      </c>
      <c r="G16" s="44">
        <f t="shared" si="2"/>
        <v>2.6790952349911999E-3</v>
      </c>
      <c r="H16" s="166">
        <v>0.25</v>
      </c>
      <c r="I16" s="45">
        <f t="shared" si="3"/>
        <v>17.48109640831758</v>
      </c>
      <c r="J16" s="44">
        <v>0.28749999999999998</v>
      </c>
      <c r="K16" s="49">
        <v>0</v>
      </c>
      <c r="L16" s="51">
        <v>1.0999999999999999E-2</v>
      </c>
      <c r="M16" s="45">
        <f t="shared" si="4"/>
        <v>0.51897004962192816</v>
      </c>
      <c r="N16" s="44">
        <f t="shared" si="5"/>
        <v>3.0475350551966295E-3</v>
      </c>
      <c r="O16" s="45">
        <f t="shared" si="7"/>
        <v>0.32667798913043478</v>
      </c>
      <c r="P16" s="45">
        <f t="shared" si="8"/>
        <v>0</v>
      </c>
      <c r="Q16" s="45">
        <f t="shared" si="9"/>
        <v>0.19229206049149336</v>
      </c>
      <c r="R16" s="45">
        <f t="shared" si="10"/>
        <v>0.51897004962192816</v>
      </c>
      <c r="S16" s="44">
        <f t="shared" si="6"/>
        <v>0.45673076923076922</v>
      </c>
    </row>
    <row r="17" spans="1:19">
      <c r="A17" s="113" t="s">
        <v>59</v>
      </c>
      <c r="B17" s="45">
        <f>C17*DataTab1!B$24</f>
        <v>150</v>
      </c>
      <c r="C17" s="140">
        <f>DataTab1!C16</f>
        <v>6.5217391304347824E-2</v>
      </c>
      <c r="D17" s="45">
        <f t="shared" si="0"/>
        <v>199.62192816635155</v>
      </c>
      <c r="E17" s="140">
        <f t="shared" si="11"/>
        <v>3.1190926275992431E-2</v>
      </c>
      <c r="F17" s="45">
        <f t="shared" si="1"/>
        <v>349.62192816635155</v>
      </c>
      <c r="G17" s="44">
        <f t="shared" si="2"/>
        <v>4.0186428524867993E-2</v>
      </c>
      <c r="H17" s="166">
        <v>0.25</v>
      </c>
      <c r="I17" s="45">
        <f t="shared" si="3"/>
        <v>262.21644612476365</v>
      </c>
      <c r="J17" s="44">
        <f>AVERAGE(J6:J16)</f>
        <v>0.27295454545454545</v>
      </c>
      <c r="K17" s="44">
        <f>AVERAGE(K6:K16)</f>
        <v>0.19090909090909089</v>
      </c>
      <c r="L17" s="49">
        <v>0</v>
      </c>
      <c r="M17" s="45">
        <f t="shared" si="4"/>
        <v>6.1540412066076637</v>
      </c>
      <c r="N17" s="44">
        <f t="shared" si="5"/>
        <v>3.6138224781804389E-2</v>
      </c>
      <c r="O17" s="45">
        <f t="shared" si="7"/>
        <v>4.6522561060749261</v>
      </c>
      <c r="P17" s="45">
        <f t="shared" si="8"/>
        <v>1.5017851005327372</v>
      </c>
      <c r="Q17" s="45">
        <f t="shared" si="9"/>
        <v>0</v>
      </c>
      <c r="R17" s="45">
        <f t="shared" si="10"/>
        <v>4.6522561060749261</v>
      </c>
      <c r="S17" s="44">
        <f t="shared" si="6"/>
        <v>0.27295454545454545</v>
      </c>
    </row>
    <row r="18" spans="1:19">
      <c r="A18" s="115" t="s">
        <v>44</v>
      </c>
      <c r="B18" s="45">
        <f>C18*DataTab1!B$24</f>
        <v>184</v>
      </c>
      <c r="C18" s="140">
        <f>DataTab1!C17</f>
        <v>0.08</v>
      </c>
      <c r="D18" s="45">
        <f t="shared" si="0"/>
        <v>512</v>
      </c>
      <c r="E18" s="140">
        <f>C18</f>
        <v>0.08</v>
      </c>
      <c r="F18" s="45">
        <f t="shared" si="1"/>
        <v>696</v>
      </c>
      <c r="G18" s="44">
        <f t="shared" si="2"/>
        <v>0.08</v>
      </c>
      <c r="H18" s="166">
        <v>0.25</v>
      </c>
      <c r="I18" s="45">
        <f t="shared" si="3"/>
        <v>522</v>
      </c>
      <c r="J18" s="44">
        <v>0</v>
      </c>
      <c r="K18" s="49">
        <v>0</v>
      </c>
      <c r="L18" s="49">
        <v>0</v>
      </c>
      <c r="M18" s="45">
        <f t="shared" si="4"/>
        <v>0</v>
      </c>
      <c r="N18" s="44">
        <f t="shared" si="5"/>
        <v>0</v>
      </c>
      <c r="O18" s="45">
        <f t="shared" si="7"/>
        <v>0</v>
      </c>
      <c r="P18" s="45">
        <f t="shared" si="8"/>
        <v>0</v>
      </c>
      <c r="Q18" s="45">
        <f t="shared" si="9"/>
        <v>0</v>
      </c>
      <c r="R18" s="45">
        <f t="shared" si="10"/>
        <v>0</v>
      </c>
      <c r="S18" s="44"/>
    </row>
    <row r="19" spans="1:19">
      <c r="A19" s="115" t="s">
        <v>23</v>
      </c>
      <c r="B19" s="45">
        <f>C19*DataTab1!B$24</f>
        <v>310.5</v>
      </c>
      <c r="C19" s="140">
        <f>DataTab1!C18</f>
        <v>0.13500000000000001</v>
      </c>
      <c r="D19" s="45">
        <f t="shared" si="0"/>
        <v>1006.72</v>
      </c>
      <c r="E19" s="141">
        <f>C19+2.23%</f>
        <v>0.1573</v>
      </c>
      <c r="F19" s="45">
        <f t="shared" si="1"/>
        <v>1317.22</v>
      </c>
      <c r="G19" s="44">
        <f t="shared" si="2"/>
        <v>0.15140459770114942</v>
      </c>
      <c r="H19" s="166">
        <v>0.25</v>
      </c>
      <c r="I19" s="45">
        <f t="shared" si="3"/>
        <v>987.91499999999996</v>
      </c>
      <c r="J19" s="44">
        <v>0.3</v>
      </c>
      <c r="K19" s="49">
        <v>0.3</v>
      </c>
      <c r="L19" s="49">
        <v>0</v>
      </c>
      <c r="M19" s="45">
        <f t="shared" si="4"/>
        <v>28.155577499999996</v>
      </c>
      <c r="N19" s="44">
        <f t="shared" si="5"/>
        <v>0.1653373050970183</v>
      </c>
      <c r="O19" s="45">
        <f t="shared" si="7"/>
        <v>19.264342499999998</v>
      </c>
      <c r="P19" s="45">
        <f t="shared" si="8"/>
        <v>8.8912349999999982</v>
      </c>
      <c r="Q19" s="45">
        <f t="shared" si="9"/>
        <v>0</v>
      </c>
      <c r="R19" s="45">
        <f t="shared" si="10"/>
        <v>19.264342499999998</v>
      </c>
      <c r="S19" s="44">
        <f>R19/(O$3*I19)</f>
        <v>0.3</v>
      </c>
    </row>
    <row r="20" spans="1:19">
      <c r="A20" s="115" t="s">
        <v>45</v>
      </c>
      <c r="B20" s="45">
        <f>C20*DataTab1!B$24</f>
        <v>264.5</v>
      </c>
      <c r="C20" s="140">
        <f>DataTab1!C19</f>
        <v>0.115</v>
      </c>
      <c r="D20" s="45">
        <f t="shared" si="0"/>
        <v>736</v>
      </c>
      <c r="E20" s="140">
        <f>C20</f>
        <v>0.115</v>
      </c>
      <c r="F20" s="45">
        <f t="shared" si="1"/>
        <v>1000.5</v>
      </c>
      <c r="G20" s="44">
        <f t="shared" si="2"/>
        <v>0.115</v>
      </c>
      <c r="H20" s="166">
        <v>0.25</v>
      </c>
      <c r="I20" s="45">
        <f t="shared" si="3"/>
        <v>750.375</v>
      </c>
      <c r="J20" s="44">
        <v>0.3</v>
      </c>
      <c r="K20" s="49">
        <v>0.3</v>
      </c>
      <c r="L20" s="49">
        <v>0</v>
      </c>
      <c r="M20" s="45">
        <f t="shared" si="4"/>
        <v>21.3856875</v>
      </c>
      <c r="N20" s="44">
        <f t="shared" si="5"/>
        <v>0.12558264659629129</v>
      </c>
      <c r="O20" s="45">
        <f t="shared" si="7"/>
        <v>14.632312499999999</v>
      </c>
      <c r="P20" s="45">
        <f t="shared" si="8"/>
        <v>6.7533750000000001</v>
      </c>
      <c r="Q20" s="45">
        <f t="shared" si="9"/>
        <v>0</v>
      </c>
      <c r="R20" s="45">
        <f t="shared" si="10"/>
        <v>14.632312499999999</v>
      </c>
      <c r="S20" s="44">
        <f>R20/(O$3*I20)</f>
        <v>0.3</v>
      </c>
    </row>
    <row r="21" spans="1:19">
      <c r="A21" s="115" t="s">
        <v>15</v>
      </c>
      <c r="B21" s="45">
        <f>C21*DataTab1!B$24</f>
        <v>230</v>
      </c>
      <c r="C21" s="140">
        <f>DataTab1!C20</f>
        <v>0.1</v>
      </c>
      <c r="D21" s="45">
        <f t="shared" si="0"/>
        <v>640</v>
      </c>
      <c r="E21" s="140">
        <f>C21</f>
        <v>0.1</v>
      </c>
      <c r="F21" s="45">
        <f t="shared" si="1"/>
        <v>870</v>
      </c>
      <c r="G21" s="44">
        <f t="shared" si="2"/>
        <v>0.1</v>
      </c>
      <c r="H21" s="166">
        <v>0.25</v>
      </c>
      <c r="I21" s="45">
        <f t="shared" si="3"/>
        <v>652.5</v>
      </c>
      <c r="J21" s="44">
        <v>0.3</v>
      </c>
      <c r="K21" s="49">
        <v>0.3</v>
      </c>
      <c r="L21" s="49">
        <v>0</v>
      </c>
      <c r="M21" s="45">
        <f t="shared" si="4"/>
        <v>18.596250000000001</v>
      </c>
      <c r="N21" s="44">
        <f t="shared" si="5"/>
        <v>0.1092023013880794</v>
      </c>
      <c r="O21" s="45">
        <f t="shared" si="7"/>
        <v>12.723750000000001</v>
      </c>
      <c r="P21" s="45">
        <f t="shared" si="8"/>
        <v>5.8724999999999996</v>
      </c>
      <c r="Q21" s="45">
        <f t="shared" si="9"/>
        <v>0</v>
      </c>
      <c r="R21" s="45">
        <f t="shared" si="10"/>
        <v>12.723750000000001</v>
      </c>
      <c r="S21" s="44">
        <f>R21/(O$3*I21)</f>
        <v>0.3</v>
      </c>
    </row>
    <row r="22" spans="1:19">
      <c r="A22" s="115" t="s">
        <v>63</v>
      </c>
      <c r="B22" s="45">
        <f>C22*DataTab1!B$24</f>
        <v>76.666666666666671</v>
      </c>
      <c r="C22" s="140">
        <f>DataTab1!C21</f>
        <v>3.3333333333333333E-2</v>
      </c>
      <c r="D22" s="45">
        <f>F22-B22</f>
        <v>1315.3333333333333</v>
      </c>
      <c r="E22" s="141">
        <f>D22/D$25</f>
        <v>0.20552083333333332</v>
      </c>
      <c r="F22" s="45">
        <f>G22*F$25</f>
        <v>1392</v>
      </c>
      <c r="G22" s="207">
        <v>0.16</v>
      </c>
      <c r="H22" s="166">
        <v>0.25</v>
      </c>
      <c r="I22" s="45">
        <f t="shared" ref="I22:I23" si="12">(1-H22)*F22</f>
        <v>1044</v>
      </c>
      <c r="J22" s="117">
        <v>0.28620000000000001</v>
      </c>
      <c r="K22" s="118">
        <v>0.4</v>
      </c>
      <c r="L22" s="118">
        <v>0</v>
      </c>
      <c r="M22" s="45">
        <f t="shared" ref="M22:M23" si="13">O22+P22+Q22</f>
        <v>31.949532000000005</v>
      </c>
      <c r="N22" s="44">
        <f t="shared" si="5"/>
        <v>0.18761645077217651</v>
      </c>
      <c r="O22" s="45">
        <f t="shared" ref="O22:O23" si="14">O$3*J22*I22</f>
        <v>19.421532000000003</v>
      </c>
      <c r="P22" s="45">
        <f t="shared" ref="P22:P23" si="15">I22*P$3*K22</f>
        <v>12.528</v>
      </c>
      <c r="Q22" s="45">
        <f t="shared" ref="Q22:Q23" si="16">L22*I22</f>
        <v>0</v>
      </c>
      <c r="R22" s="45">
        <f t="shared" ref="R22:R23" si="17">(O22+Q22)</f>
        <v>19.421532000000003</v>
      </c>
      <c r="S22" s="44">
        <f t="shared" ref="S22:S23" si="18">R22/(O$3*I22)</f>
        <v>0.28620000000000007</v>
      </c>
    </row>
    <row r="23" spans="1:19">
      <c r="A23" s="115" t="s">
        <v>64</v>
      </c>
      <c r="B23" s="45">
        <f>C23*DataTab1!B$24</f>
        <v>38.333333333333336</v>
      </c>
      <c r="C23" s="140">
        <f>DataTab1!C22</f>
        <v>1.6666666666666666E-2</v>
      </c>
      <c r="D23" s="45">
        <f>F23-B23</f>
        <v>286.66656666666671</v>
      </c>
      <c r="E23" s="141">
        <f>D23/D$25</f>
        <v>4.4791651041666672E-2</v>
      </c>
      <c r="F23" s="45">
        <f>G23*F$25</f>
        <v>324.99990000000003</v>
      </c>
      <c r="G23" s="44">
        <v>3.7356310344827587E-2</v>
      </c>
      <c r="H23" s="166">
        <v>0.25</v>
      </c>
      <c r="I23" s="45">
        <f t="shared" si="12"/>
        <v>243.74992500000002</v>
      </c>
      <c r="J23" s="117">
        <v>0.39340000000000003</v>
      </c>
      <c r="K23" s="118">
        <v>0</v>
      </c>
      <c r="L23" s="118">
        <v>0</v>
      </c>
      <c r="M23" s="45">
        <f t="shared" si="13"/>
        <v>6.2329293321750017</v>
      </c>
      <c r="N23" s="44">
        <f t="shared" si="5"/>
        <v>3.6601477580844255E-2</v>
      </c>
      <c r="O23" s="45">
        <f t="shared" si="14"/>
        <v>6.2329293321750017</v>
      </c>
      <c r="P23" s="45">
        <f t="shared" si="15"/>
        <v>0</v>
      </c>
      <c r="Q23" s="45">
        <f t="shared" si="16"/>
        <v>0</v>
      </c>
      <c r="R23" s="45">
        <f t="shared" si="17"/>
        <v>6.2329293321750017</v>
      </c>
      <c r="S23" s="44">
        <f t="shared" si="18"/>
        <v>0.39340000000000008</v>
      </c>
    </row>
    <row r="24" spans="1:19">
      <c r="A24" s="115" t="s">
        <v>46</v>
      </c>
      <c r="B24" s="45">
        <f>C24*DataTab1!B$24</f>
        <v>138</v>
      </c>
      <c r="C24" s="140">
        <f>DataTab1!C23</f>
        <v>0.06</v>
      </c>
      <c r="D24" s="45">
        <v>494.9884074822985</v>
      </c>
      <c r="E24" s="141">
        <f>D24/D$25</f>
        <v>7.7341938669109142E-2</v>
      </c>
      <c r="F24" s="45">
        <f t="shared" si="1"/>
        <v>632.9884074822985</v>
      </c>
      <c r="G24" s="44">
        <f>F24/F$25</f>
        <v>7.2757288216356145E-2</v>
      </c>
      <c r="H24" s="166">
        <v>0.25</v>
      </c>
      <c r="I24" s="45">
        <f>(1-H24)*F24</f>
        <v>474.74130561172387</v>
      </c>
      <c r="J24" s="44">
        <v>0.13</v>
      </c>
      <c r="K24" s="49">
        <v>0</v>
      </c>
      <c r="L24" s="49">
        <v>0</v>
      </c>
      <c r="M24" s="45">
        <f>O24+P24+Q24</f>
        <v>4.0115640324190673</v>
      </c>
      <c r="N24" s="44">
        <f t="shared" si="5"/>
        <v>2.3557008778963828E-2</v>
      </c>
      <c r="O24" s="45">
        <f>O$3*J24*I24</f>
        <v>4.0115640324190673</v>
      </c>
      <c r="P24" s="45">
        <f>I24*P$3*K24</f>
        <v>0</v>
      </c>
      <c r="Q24" s="45">
        <f>L24*I24</f>
        <v>0</v>
      </c>
      <c r="R24" s="45">
        <f t="shared" si="10"/>
        <v>4.0115640324190673</v>
      </c>
      <c r="S24" s="44">
        <f>R24/(O$3*I24)</f>
        <v>0.13000000000000003</v>
      </c>
    </row>
    <row r="25" spans="1:19" s="52" customFormat="1">
      <c r="A25" s="52" t="s">
        <v>17</v>
      </c>
      <c r="B25" s="47">
        <f>DataTab1!B24</f>
        <v>2300</v>
      </c>
      <c r="C25" s="138">
        <f>B25/B$25</f>
        <v>1</v>
      </c>
      <c r="D25" s="47">
        <f>8700-B25</f>
        <v>6400</v>
      </c>
      <c r="E25" s="139">
        <f>SUM(E18:E24)+E5</f>
        <v>0.99995442304410909</v>
      </c>
      <c r="F25" s="47">
        <f>B25+D25</f>
        <v>8700</v>
      </c>
      <c r="G25" s="139">
        <f>SUM(G18:G24)+G5</f>
        <v>0.99996647212440215</v>
      </c>
      <c r="H25" s="166">
        <v>0.25</v>
      </c>
      <c r="I25" s="47">
        <f>SUM(I18:I24)+I5</f>
        <v>6524.7812306117239</v>
      </c>
      <c r="J25" s="46"/>
      <c r="M25" s="47">
        <f>O25+P25+Q25</f>
        <v>170.29174077488793</v>
      </c>
      <c r="N25" s="44">
        <f t="shared" si="5"/>
        <v>1</v>
      </c>
      <c r="O25" s="47">
        <f>SUM(O18:O24)+O5</f>
        <v>112.07535985204896</v>
      </c>
      <c r="P25" s="47">
        <f>SUM(P18:P24)+P5</f>
        <v>49.108729694105513</v>
      </c>
      <c r="Q25" s="47">
        <f>SUM(Q18:Q24)+Q5</f>
        <v>9.1076512287334577</v>
      </c>
      <c r="R25" s="47">
        <f t="shared" si="10"/>
        <v>121.18301108078242</v>
      </c>
      <c r="S25" s="46">
        <f>R25/(O$3*I25)</f>
        <v>0.28573433357130829</v>
      </c>
    </row>
    <row r="26" spans="1:19">
      <c r="J26" s="44"/>
    </row>
    <row r="27" spans="1:19">
      <c r="P27" s="48">
        <f>P25/(P$3*I25)</f>
        <v>0.25088314820276553</v>
      </c>
    </row>
    <row r="28" spans="1:19" ht="16" thickBot="1"/>
    <row r="29" spans="1:19">
      <c r="A29" s="320" t="s">
        <v>184</v>
      </c>
      <c r="B29" s="321"/>
      <c r="C29" s="321"/>
      <c r="D29" s="321"/>
      <c r="E29" s="321"/>
      <c r="F29" s="321"/>
      <c r="G29" s="321"/>
      <c r="H29" s="321"/>
      <c r="I29" s="321"/>
      <c r="J29" s="321"/>
      <c r="K29" s="321"/>
      <c r="L29" s="321"/>
      <c r="M29" s="321"/>
      <c r="N29" s="321"/>
      <c r="O29" s="321"/>
      <c r="P29" s="321"/>
      <c r="Q29" s="321"/>
      <c r="R29" s="321"/>
      <c r="S29" s="322"/>
    </row>
    <row r="30" spans="1:19">
      <c r="A30" s="323"/>
      <c r="B30" s="324"/>
      <c r="C30" s="324"/>
      <c r="D30" s="324"/>
      <c r="E30" s="324"/>
      <c r="F30" s="324"/>
      <c r="G30" s="324"/>
      <c r="H30" s="324"/>
      <c r="I30" s="324"/>
      <c r="J30" s="324"/>
      <c r="K30" s="324"/>
      <c r="L30" s="324"/>
      <c r="M30" s="324"/>
      <c r="N30" s="324"/>
      <c r="O30" s="324"/>
      <c r="P30" s="324"/>
      <c r="Q30" s="324"/>
      <c r="R30" s="324"/>
      <c r="S30" s="325"/>
    </row>
    <row r="31" spans="1:19">
      <c r="A31" s="323"/>
      <c r="B31" s="324"/>
      <c r="C31" s="324"/>
      <c r="D31" s="324"/>
      <c r="E31" s="324"/>
      <c r="F31" s="324"/>
      <c r="G31" s="324"/>
      <c r="H31" s="324"/>
      <c r="I31" s="324"/>
      <c r="J31" s="324"/>
      <c r="K31" s="324"/>
      <c r="L31" s="324"/>
      <c r="M31" s="324"/>
      <c r="N31" s="324"/>
      <c r="O31" s="324"/>
      <c r="P31" s="324"/>
      <c r="Q31" s="324"/>
      <c r="R31" s="324"/>
      <c r="S31" s="325"/>
    </row>
    <row r="32" spans="1:19" ht="16" thickBot="1">
      <c r="A32" s="326"/>
      <c r="B32" s="327"/>
      <c r="C32" s="327"/>
      <c r="D32" s="327"/>
      <c r="E32" s="327"/>
      <c r="F32" s="327"/>
      <c r="G32" s="327"/>
      <c r="H32" s="327"/>
      <c r="I32" s="327"/>
      <c r="J32" s="327"/>
      <c r="K32" s="327"/>
      <c r="L32" s="327"/>
      <c r="M32" s="327"/>
      <c r="N32" s="327"/>
      <c r="O32" s="327"/>
      <c r="P32" s="327"/>
      <c r="Q32" s="327"/>
      <c r="R32" s="327"/>
      <c r="S32" s="328"/>
    </row>
  </sheetData>
  <mergeCells count="1">
    <mergeCell ref="A29:S32"/>
  </mergeCells>
  <hyperlinks>
    <hyperlink ref="K4" r:id="rId1"/>
    <hyperlink ref="O3" r:id="rId2" display="https://personal.vanguard.com/us/funds/tools/benchmarkreturns"/>
  </hyperlinks>
  <pageMargins left="0.75" right="0.75" top="1" bottom="1" header="0.5" footer="0.5"/>
  <legacyDrawing r:id="rId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F36"/>
  <sheetViews>
    <sheetView workbookViewId="0">
      <selection activeCell="B3" sqref="B3:F6"/>
    </sheetView>
  </sheetViews>
  <sheetFormatPr baseColWidth="10" defaultRowHeight="12" x14ac:dyDescent="0"/>
  <cols>
    <col min="1" max="1" width="20.6640625" style="40" customWidth="1"/>
    <col min="2" max="2" width="22.6640625" style="40" customWidth="1"/>
    <col min="3" max="3" width="5.6640625" style="40" customWidth="1"/>
    <col min="4" max="4" width="24.1640625" style="40" customWidth="1"/>
    <col min="5" max="5" width="5.6640625" style="40" customWidth="1"/>
    <col min="6" max="6" width="22.6640625" style="40" customWidth="1"/>
    <col min="7" max="9" width="20.6640625" style="40" customWidth="1"/>
    <col min="10" max="16384" width="10.83203125" style="40"/>
  </cols>
  <sheetData>
    <row r="2" spans="2:6" ht="13" thickBot="1">
      <c r="B2" s="69"/>
      <c r="C2" s="69"/>
      <c r="D2" s="69"/>
      <c r="E2" s="69"/>
      <c r="F2" s="69"/>
    </row>
    <row r="3" spans="2:6" ht="13" thickTop="1">
      <c r="B3" s="267" t="s">
        <v>35</v>
      </c>
      <c r="C3" s="267"/>
      <c r="D3" s="267"/>
      <c r="E3" s="267"/>
      <c r="F3" s="267"/>
    </row>
    <row r="4" spans="2:6">
      <c r="B4" s="268"/>
      <c r="C4" s="268"/>
      <c r="D4" s="268"/>
      <c r="E4" s="268"/>
      <c r="F4" s="268"/>
    </row>
    <row r="5" spans="2:6">
      <c r="B5" s="268"/>
      <c r="C5" s="268"/>
      <c r="D5" s="268"/>
      <c r="E5" s="268"/>
      <c r="F5" s="268"/>
    </row>
    <row r="6" spans="2:6">
      <c r="B6" s="269"/>
      <c r="C6" s="269"/>
      <c r="D6" s="269"/>
      <c r="E6" s="269"/>
      <c r="F6" s="269"/>
    </row>
    <row r="7" spans="2:6">
      <c r="B7" s="273" t="s">
        <v>34</v>
      </c>
      <c r="C7" s="273"/>
      <c r="D7" s="273"/>
      <c r="E7" s="273"/>
      <c r="F7" s="273"/>
    </row>
    <row r="8" spans="2:6">
      <c r="B8" s="274"/>
      <c r="C8" s="274"/>
      <c r="D8" s="274"/>
      <c r="E8" s="274"/>
      <c r="F8" s="274"/>
    </row>
    <row r="9" spans="2:6">
      <c r="B9" s="274"/>
      <c r="C9" s="274"/>
      <c r="D9" s="274"/>
      <c r="E9" s="274"/>
      <c r="F9" s="274"/>
    </row>
    <row r="10" spans="2:6">
      <c r="B10" s="274"/>
      <c r="C10" s="274"/>
      <c r="D10" s="274"/>
      <c r="E10" s="274"/>
      <c r="F10" s="274"/>
    </row>
    <row r="11" spans="2:6">
      <c r="B11" s="274"/>
      <c r="C11" s="274"/>
      <c r="D11" s="274"/>
      <c r="E11" s="274"/>
      <c r="F11" s="274"/>
    </row>
    <row r="12" spans="2:6">
      <c r="B12" s="274"/>
      <c r="C12" s="274"/>
      <c r="D12" s="274"/>
      <c r="E12" s="274"/>
      <c r="F12" s="274"/>
    </row>
    <row r="13" spans="2:6">
      <c r="B13" s="274"/>
      <c r="C13" s="274"/>
      <c r="D13" s="274"/>
      <c r="E13" s="274"/>
      <c r="F13" s="274"/>
    </row>
    <row r="14" spans="2:6">
      <c r="B14" s="275"/>
      <c r="C14" s="275"/>
      <c r="D14" s="275"/>
      <c r="E14" s="275"/>
      <c r="F14" s="275"/>
    </row>
    <row r="15" spans="2:6" ht="24" customHeight="1" thickBot="1">
      <c r="B15" s="62"/>
      <c r="C15" s="62"/>
      <c r="D15" s="62"/>
      <c r="E15" s="62"/>
      <c r="F15" s="62"/>
    </row>
    <row r="16" spans="2:6" ht="15" customHeight="1">
      <c r="B16" s="308" t="s">
        <v>29</v>
      </c>
      <c r="C16" s="62"/>
      <c r="D16" s="332" t="s">
        <v>36</v>
      </c>
      <c r="E16" s="62"/>
      <c r="F16" s="308" t="s">
        <v>37</v>
      </c>
    </row>
    <row r="17" spans="2:6" ht="15" customHeight="1">
      <c r="B17" s="288"/>
      <c r="C17" s="62"/>
      <c r="D17" s="333"/>
      <c r="E17" s="62"/>
      <c r="F17" s="288"/>
    </row>
    <row r="18" spans="2:6" ht="15" customHeight="1">
      <c r="B18" s="288"/>
      <c r="C18" s="62"/>
      <c r="D18" s="333"/>
      <c r="E18" s="62"/>
      <c r="F18" s="288"/>
    </row>
    <row r="19" spans="2:6" ht="15" customHeight="1" thickBot="1">
      <c r="B19" s="289"/>
      <c r="C19" s="62"/>
      <c r="D19" s="333"/>
      <c r="E19" s="62"/>
      <c r="F19" s="289"/>
    </row>
    <row r="20" spans="2:6" ht="15" customHeight="1" thickBot="1">
      <c r="B20" s="65"/>
      <c r="C20" s="62"/>
      <c r="D20" s="333"/>
      <c r="E20" s="62"/>
      <c r="F20" s="62"/>
    </row>
    <row r="21" spans="2:6" ht="15" customHeight="1">
      <c r="B21" s="308" t="s">
        <v>27</v>
      </c>
      <c r="C21" s="62"/>
      <c r="D21" s="333"/>
      <c r="E21" s="62"/>
      <c r="F21" s="308" t="s">
        <v>38</v>
      </c>
    </row>
    <row r="22" spans="2:6" ht="15" customHeight="1">
      <c r="B22" s="288"/>
      <c r="C22" s="62"/>
      <c r="D22" s="333"/>
      <c r="E22" s="62"/>
      <c r="F22" s="288"/>
    </row>
    <row r="23" spans="2:6" ht="15" customHeight="1">
      <c r="B23" s="288"/>
      <c r="C23" s="62"/>
      <c r="D23" s="333"/>
      <c r="E23" s="62"/>
      <c r="F23" s="288"/>
    </row>
    <row r="24" spans="2:6" ht="15" customHeight="1" thickBot="1">
      <c r="B24" s="289"/>
      <c r="C24" s="62"/>
      <c r="D24" s="333"/>
      <c r="E24" s="62"/>
      <c r="F24" s="289"/>
    </row>
    <row r="25" spans="2:6" ht="15" customHeight="1" thickBot="1">
      <c r="B25" s="65"/>
      <c r="C25" s="62"/>
      <c r="D25" s="333"/>
      <c r="E25" s="62"/>
      <c r="F25" s="62"/>
    </row>
    <row r="26" spans="2:6" ht="15" customHeight="1">
      <c r="B26" s="308" t="s">
        <v>28</v>
      </c>
      <c r="C26" s="62"/>
      <c r="D26" s="333"/>
      <c r="E26" s="62"/>
      <c r="F26" s="308" t="s">
        <v>39</v>
      </c>
    </row>
    <row r="27" spans="2:6" ht="15" customHeight="1">
      <c r="B27" s="288"/>
      <c r="C27" s="62"/>
      <c r="D27" s="333"/>
      <c r="E27" s="62"/>
      <c r="F27" s="288"/>
    </row>
    <row r="28" spans="2:6" ht="15" customHeight="1">
      <c r="B28" s="288"/>
      <c r="C28" s="62"/>
      <c r="D28" s="333"/>
      <c r="E28" s="62"/>
      <c r="F28" s="288"/>
    </row>
    <row r="29" spans="2:6" ht="15" customHeight="1" thickBot="1">
      <c r="B29" s="289"/>
      <c r="C29" s="62"/>
      <c r="D29" s="333"/>
      <c r="E29" s="62"/>
      <c r="F29" s="289"/>
    </row>
    <row r="30" spans="2:6" ht="15" customHeight="1" thickBot="1">
      <c r="B30" s="65"/>
      <c r="C30" s="62"/>
      <c r="D30" s="333"/>
      <c r="E30" s="62"/>
      <c r="F30" s="62"/>
    </row>
    <row r="31" spans="2:6" ht="15" customHeight="1">
      <c r="B31" s="329" t="s">
        <v>32</v>
      </c>
      <c r="C31" s="62"/>
      <c r="D31" s="333"/>
      <c r="E31" s="62"/>
      <c r="F31" s="308" t="s">
        <v>33</v>
      </c>
    </row>
    <row r="32" spans="2:6" ht="15" customHeight="1">
      <c r="B32" s="330"/>
      <c r="C32" s="62"/>
      <c r="D32" s="333"/>
      <c r="E32" s="62"/>
      <c r="F32" s="288"/>
    </row>
    <row r="33" spans="2:6" ht="15" customHeight="1">
      <c r="B33" s="330"/>
      <c r="C33" s="62"/>
      <c r="D33" s="333"/>
      <c r="E33" s="62"/>
      <c r="F33" s="288"/>
    </row>
    <row r="34" spans="2:6" ht="15" customHeight="1" thickBot="1">
      <c r="B34" s="331"/>
      <c r="C34" s="62"/>
      <c r="D34" s="334"/>
      <c r="E34" s="62"/>
      <c r="F34" s="289"/>
    </row>
    <row r="35" spans="2:6" ht="24" customHeight="1" thickBot="1">
      <c r="B35" s="68"/>
      <c r="C35" s="69"/>
      <c r="D35" s="69"/>
      <c r="E35" s="69"/>
      <c r="F35" s="69"/>
    </row>
    <row r="36" spans="2:6" ht="7" customHeight="1" thickTop="1">
      <c r="B36" s="62"/>
      <c r="C36" s="62"/>
      <c r="D36" s="62"/>
      <c r="E36" s="62"/>
      <c r="F36" s="62"/>
    </row>
  </sheetData>
  <mergeCells count="11">
    <mergeCell ref="B31:B34"/>
    <mergeCell ref="D16:D34"/>
    <mergeCell ref="F16:F19"/>
    <mergeCell ref="F21:F24"/>
    <mergeCell ref="F26:F29"/>
    <mergeCell ref="F31:F34"/>
    <mergeCell ref="B3:F6"/>
    <mergeCell ref="B7:F14"/>
    <mergeCell ref="B16:B19"/>
    <mergeCell ref="B21:B24"/>
    <mergeCell ref="B26:B29"/>
  </mergeCells>
  <phoneticPr fontId="48" type="noConversion"/>
  <printOptions horizontalCentered="1" verticalCentered="1"/>
  <pageMargins left="0.79000000000000015" right="0.79000000000000015" top="0.98" bottom="0.98" header="0.51" footer="0.51"/>
  <pageSetup paperSize="9" scale="94" orientation="landscape"/>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F36"/>
  <sheetViews>
    <sheetView workbookViewId="0">
      <selection activeCell="B3" sqref="B3:F6"/>
    </sheetView>
  </sheetViews>
  <sheetFormatPr baseColWidth="10" defaultRowHeight="12" x14ac:dyDescent="0"/>
  <cols>
    <col min="1" max="1" width="20.6640625" style="40" customWidth="1"/>
    <col min="2" max="2" width="22.6640625" style="40" customWidth="1"/>
    <col min="3" max="3" width="5.6640625" style="40" customWidth="1"/>
    <col min="4" max="4" width="24.1640625" style="40" customWidth="1"/>
    <col min="5" max="5" width="5.6640625" style="40" customWidth="1"/>
    <col min="6" max="6" width="22.6640625" style="40" customWidth="1"/>
    <col min="7" max="9" width="20.6640625" style="40" customWidth="1"/>
    <col min="10" max="16384" width="10.83203125" style="40"/>
  </cols>
  <sheetData>
    <row r="2" spans="2:6" ht="13" thickBot="1">
      <c r="B2" s="69"/>
      <c r="C2" s="69"/>
      <c r="D2" s="69"/>
      <c r="E2" s="69"/>
      <c r="F2" s="69"/>
    </row>
    <row r="3" spans="2:6" ht="13" thickTop="1">
      <c r="B3" s="267" t="s">
        <v>194</v>
      </c>
      <c r="C3" s="267"/>
      <c r="D3" s="267"/>
      <c r="E3" s="267"/>
      <c r="F3" s="267"/>
    </row>
    <row r="4" spans="2:6">
      <c r="B4" s="268"/>
      <c r="C4" s="268"/>
      <c r="D4" s="268"/>
      <c r="E4" s="268"/>
      <c r="F4" s="268"/>
    </row>
    <row r="5" spans="2:6">
      <c r="B5" s="268"/>
      <c r="C5" s="268"/>
      <c r="D5" s="268"/>
      <c r="E5" s="268"/>
      <c r="F5" s="268"/>
    </row>
    <row r="6" spans="2:6">
      <c r="B6" s="269"/>
      <c r="C6" s="269"/>
      <c r="D6" s="269"/>
      <c r="E6" s="269"/>
      <c r="F6" s="269"/>
    </row>
    <row r="7" spans="2:6">
      <c r="B7" s="273" t="s">
        <v>195</v>
      </c>
      <c r="C7" s="273"/>
      <c r="D7" s="273"/>
      <c r="E7" s="273"/>
      <c r="F7" s="273"/>
    </row>
    <row r="8" spans="2:6">
      <c r="B8" s="274"/>
      <c r="C8" s="274"/>
      <c r="D8" s="274"/>
      <c r="E8" s="274"/>
      <c r="F8" s="274"/>
    </row>
    <row r="9" spans="2:6">
      <c r="B9" s="274"/>
      <c r="C9" s="274"/>
      <c r="D9" s="274"/>
      <c r="E9" s="274"/>
      <c r="F9" s="274"/>
    </row>
    <row r="10" spans="2:6">
      <c r="B10" s="274"/>
      <c r="C10" s="274"/>
      <c r="D10" s="274"/>
      <c r="E10" s="274"/>
      <c r="F10" s="274"/>
    </row>
    <row r="11" spans="2:6">
      <c r="B11" s="274"/>
      <c r="C11" s="274"/>
      <c r="D11" s="274"/>
      <c r="E11" s="274"/>
      <c r="F11" s="274"/>
    </row>
    <row r="12" spans="2:6">
      <c r="B12" s="274"/>
      <c r="C12" s="274"/>
      <c r="D12" s="274"/>
      <c r="E12" s="274"/>
      <c r="F12" s="274"/>
    </row>
    <row r="13" spans="2:6">
      <c r="B13" s="274"/>
      <c r="C13" s="274"/>
      <c r="D13" s="274"/>
      <c r="E13" s="274"/>
      <c r="F13" s="274"/>
    </row>
    <row r="14" spans="2:6">
      <c r="B14" s="275"/>
      <c r="C14" s="275"/>
      <c r="D14" s="275"/>
      <c r="E14" s="275"/>
      <c r="F14" s="275"/>
    </row>
    <row r="15" spans="2:6" ht="24" customHeight="1" thickBot="1">
      <c r="B15" s="62"/>
      <c r="C15" s="62"/>
      <c r="D15" s="62"/>
      <c r="E15" s="62"/>
      <c r="F15" s="62"/>
    </row>
    <row r="16" spans="2:6" ht="15" customHeight="1">
      <c r="B16" s="308" t="s">
        <v>29</v>
      </c>
      <c r="C16" s="62"/>
      <c r="D16" s="332" t="s">
        <v>196</v>
      </c>
      <c r="E16" s="62"/>
      <c r="F16" s="308" t="s">
        <v>197</v>
      </c>
    </row>
    <row r="17" spans="2:6" ht="15" customHeight="1">
      <c r="B17" s="288"/>
      <c r="C17" s="62"/>
      <c r="D17" s="333"/>
      <c r="E17" s="62"/>
      <c r="F17" s="288"/>
    </row>
    <row r="18" spans="2:6" ht="15" customHeight="1">
      <c r="B18" s="288"/>
      <c r="C18" s="62"/>
      <c r="D18" s="333"/>
      <c r="E18" s="62"/>
      <c r="F18" s="288"/>
    </row>
    <row r="19" spans="2:6" ht="15" customHeight="1" thickBot="1">
      <c r="B19" s="289"/>
      <c r="C19" s="62"/>
      <c r="D19" s="333"/>
      <c r="E19" s="62"/>
      <c r="F19" s="289"/>
    </row>
    <row r="20" spans="2:6" ht="15" customHeight="1" thickBot="1">
      <c r="B20" s="65"/>
      <c r="C20" s="62"/>
      <c r="D20" s="333"/>
      <c r="E20" s="62"/>
      <c r="F20" s="62"/>
    </row>
    <row r="21" spans="2:6" ht="15" customHeight="1">
      <c r="B21" s="308" t="s">
        <v>27</v>
      </c>
      <c r="C21" s="62"/>
      <c r="D21" s="333"/>
      <c r="E21" s="62"/>
      <c r="F21" s="308" t="s">
        <v>198</v>
      </c>
    </row>
    <row r="22" spans="2:6" ht="15" customHeight="1">
      <c r="B22" s="288"/>
      <c r="C22" s="62"/>
      <c r="D22" s="333"/>
      <c r="E22" s="62"/>
      <c r="F22" s="288"/>
    </row>
    <row r="23" spans="2:6" ht="15" customHeight="1">
      <c r="B23" s="288"/>
      <c r="C23" s="62"/>
      <c r="D23" s="333"/>
      <c r="E23" s="62"/>
      <c r="F23" s="288"/>
    </row>
    <row r="24" spans="2:6" ht="15" customHeight="1" thickBot="1">
      <c r="B24" s="289"/>
      <c r="C24" s="62"/>
      <c r="D24" s="333"/>
      <c r="E24" s="62"/>
      <c r="F24" s="289"/>
    </row>
    <row r="25" spans="2:6" ht="15" customHeight="1" thickBot="1">
      <c r="B25" s="65"/>
      <c r="C25" s="62"/>
      <c r="D25" s="333"/>
      <c r="E25" s="62"/>
      <c r="F25" s="62"/>
    </row>
    <row r="26" spans="2:6" ht="15" customHeight="1">
      <c r="B26" s="308" t="s">
        <v>28</v>
      </c>
      <c r="C26" s="62"/>
      <c r="D26" s="333"/>
      <c r="E26" s="62"/>
      <c r="F26" s="308" t="s">
        <v>199</v>
      </c>
    </row>
    <row r="27" spans="2:6" ht="15" customHeight="1">
      <c r="B27" s="288"/>
      <c r="C27" s="62"/>
      <c r="D27" s="333"/>
      <c r="E27" s="62"/>
      <c r="F27" s="288"/>
    </row>
    <row r="28" spans="2:6" ht="15" customHeight="1">
      <c r="B28" s="288"/>
      <c r="C28" s="62"/>
      <c r="D28" s="333"/>
      <c r="E28" s="62"/>
      <c r="F28" s="288"/>
    </row>
    <row r="29" spans="2:6" ht="15" customHeight="1" thickBot="1">
      <c r="B29" s="289"/>
      <c r="C29" s="62"/>
      <c r="D29" s="333"/>
      <c r="E29" s="62"/>
      <c r="F29" s="289"/>
    </row>
    <row r="30" spans="2:6" ht="15" customHeight="1" thickBot="1">
      <c r="B30" s="65"/>
      <c r="C30" s="62"/>
      <c r="D30" s="333"/>
      <c r="E30" s="62"/>
      <c r="F30" s="62"/>
    </row>
    <row r="31" spans="2:6" ht="15" customHeight="1">
      <c r="B31" s="308" t="s">
        <v>201</v>
      </c>
      <c r="C31" s="62"/>
      <c r="D31" s="333"/>
      <c r="E31" s="62"/>
      <c r="F31" s="308" t="s">
        <v>200</v>
      </c>
    </row>
    <row r="32" spans="2:6" ht="15" customHeight="1">
      <c r="B32" s="288"/>
      <c r="C32" s="62"/>
      <c r="D32" s="333"/>
      <c r="E32" s="62"/>
      <c r="F32" s="288"/>
    </row>
    <row r="33" spans="2:6" ht="15" customHeight="1">
      <c r="B33" s="288"/>
      <c r="C33" s="62"/>
      <c r="D33" s="333"/>
      <c r="E33" s="62"/>
      <c r="F33" s="288"/>
    </row>
    <row r="34" spans="2:6" ht="15" customHeight="1" thickBot="1">
      <c r="B34" s="289"/>
      <c r="C34" s="62"/>
      <c r="D34" s="334"/>
      <c r="E34" s="62"/>
      <c r="F34" s="289"/>
    </row>
    <row r="35" spans="2:6" ht="24" customHeight="1" thickBot="1">
      <c r="B35" s="68"/>
      <c r="C35" s="69"/>
      <c r="D35" s="69"/>
      <c r="E35" s="69"/>
      <c r="F35" s="69"/>
    </row>
    <row r="36" spans="2:6" ht="7" customHeight="1" thickTop="1">
      <c r="B36" s="62"/>
      <c r="C36" s="62"/>
      <c r="D36" s="62"/>
      <c r="E36" s="62"/>
      <c r="F36" s="62"/>
    </row>
  </sheetData>
  <mergeCells count="11">
    <mergeCell ref="F31:F34"/>
    <mergeCell ref="B3:F6"/>
    <mergeCell ref="B7:F14"/>
    <mergeCell ref="B16:B19"/>
    <mergeCell ref="D16:D34"/>
    <mergeCell ref="F16:F19"/>
    <mergeCell ref="B21:B24"/>
    <mergeCell ref="F21:F24"/>
    <mergeCell ref="B26:B29"/>
    <mergeCell ref="F26:F29"/>
    <mergeCell ref="B31:B34"/>
  </mergeCells>
  <printOptions horizontalCentered="1" verticalCentered="1"/>
  <pageMargins left="0.79000000000000015" right="0.79000000000000015" top="0.98" bottom="0.98" header="0.51" footer="0.51"/>
  <pageSetup paperSize="9" scale="94"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pane xSplit="1" ySplit="1" topLeftCell="B2" activePane="bottomRight" state="frozen"/>
      <selection pane="topRight" activeCell="B1" sqref="B1"/>
      <selection pane="bottomLeft" activeCell="A2" sqref="A2"/>
      <selection pane="bottomRight" activeCell="B2" sqref="B2:M9"/>
    </sheetView>
  </sheetViews>
  <sheetFormatPr baseColWidth="10" defaultRowHeight="15" x14ac:dyDescent="0"/>
  <cols>
    <col min="1" max="1" width="19" style="214" customWidth="1"/>
    <col min="2" max="16384" width="10.83203125" style="214"/>
  </cols>
  <sheetData>
    <row r="1" spans="1:14" s="210" customFormat="1" ht="90">
      <c r="B1" s="116" t="s">
        <v>218</v>
      </c>
      <c r="C1" s="116" t="s">
        <v>217</v>
      </c>
      <c r="D1" s="116"/>
      <c r="E1" s="116" t="s">
        <v>216</v>
      </c>
      <c r="F1" s="116" t="s">
        <v>215</v>
      </c>
      <c r="G1" s="116" t="s">
        <v>214</v>
      </c>
      <c r="H1" s="116" t="s">
        <v>213</v>
      </c>
      <c r="I1" s="116"/>
      <c r="J1" s="116" t="s">
        <v>212</v>
      </c>
      <c r="K1" s="116" t="s">
        <v>211</v>
      </c>
      <c r="L1" s="116" t="s">
        <v>210</v>
      </c>
      <c r="M1" s="116" t="s">
        <v>209</v>
      </c>
      <c r="N1" s="116"/>
    </row>
    <row r="2" spans="1:14">
      <c r="A2" s="220" t="s">
        <v>208</v>
      </c>
      <c r="B2" s="215">
        <v>1.7736288672666281E-3</v>
      </c>
      <c r="C2" s="218">
        <v>4.9842352116477029E-3</v>
      </c>
      <c r="D2" s="167"/>
      <c r="E2" s="217">
        <v>2.8880560184235394E-2</v>
      </c>
      <c r="F2" s="217">
        <v>4.3735030759398733E-2</v>
      </c>
      <c r="G2" s="217">
        <v>-2.6286476711156796E-2</v>
      </c>
      <c r="H2" s="217">
        <v>2.6868684700412301E-2</v>
      </c>
      <c r="I2" s="217"/>
      <c r="J2" s="217">
        <v>0.3288290035863578</v>
      </c>
      <c r="K2" s="217">
        <v>0.31190617406704996</v>
      </c>
      <c r="L2" s="217">
        <v>0.34201237850931027</v>
      </c>
      <c r="M2" s="217">
        <v>0.34905686974017747</v>
      </c>
    </row>
    <row r="3" spans="1:14">
      <c r="A3" s="220" t="s">
        <v>207</v>
      </c>
      <c r="B3" s="215">
        <v>8.7740218760246746E-3</v>
      </c>
      <c r="C3" s="218">
        <v>1.6112628546513425E-2</v>
      </c>
      <c r="D3" s="167"/>
      <c r="E3" s="217">
        <v>0.43822939068074562</v>
      </c>
      <c r="F3" s="217">
        <v>0.40118025649368538</v>
      </c>
      <c r="G3" s="217">
        <v>0.52777020985256806</v>
      </c>
      <c r="H3" s="217">
        <v>0.41713246886193223</v>
      </c>
      <c r="I3" s="217"/>
      <c r="J3" s="217">
        <v>0.45239594470566502</v>
      </c>
      <c r="K3" s="217">
        <v>0.44006563631949563</v>
      </c>
      <c r="L3" s="217">
        <v>0.45688290020346622</v>
      </c>
      <c r="M3" s="217">
        <v>0.45309379848018194</v>
      </c>
    </row>
    <row r="4" spans="1:14">
      <c r="A4" s="219" t="s">
        <v>206</v>
      </c>
      <c r="B4" s="215">
        <v>4.6109899226918508E-2</v>
      </c>
      <c r="C4" s="218">
        <v>5.0320885215134732E-2</v>
      </c>
      <c r="D4" s="167"/>
      <c r="E4" s="217">
        <v>0.31537140680815007</v>
      </c>
      <c r="F4" s="217">
        <v>0.31641725396286013</v>
      </c>
      <c r="G4" s="217">
        <v>0.31918603863516026</v>
      </c>
      <c r="H4" s="217">
        <v>0.32807819411635991</v>
      </c>
      <c r="I4" s="217"/>
      <c r="J4" s="217">
        <v>0.16374029120109465</v>
      </c>
      <c r="K4" s="217">
        <v>0.1844942679808399</v>
      </c>
      <c r="L4" s="217">
        <v>0.16112635224085248</v>
      </c>
      <c r="M4" s="217">
        <v>0.14321435836584026</v>
      </c>
    </row>
    <row r="5" spans="1:14">
      <c r="A5" s="220" t="s">
        <v>205</v>
      </c>
      <c r="B5" s="215">
        <v>0.17311811775701152</v>
      </c>
      <c r="C5" s="218">
        <v>0.16090706782474795</v>
      </c>
      <c r="D5" s="167"/>
      <c r="E5" s="217">
        <v>0.11109257044039736</v>
      </c>
      <c r="F5" s="217">
        <v>0.11715713051966356</v>
      </c>
      <c r="G5" s="217">
        <v>8.9971658930060955E-2</v>
      </c>
      <c r="H5" s="217">
        <v>0.12404200345792241</v>
      </c>
      <c r="I5" s="217"/>
      <c r="J5" s="217">
        <v>3.7438758613745224E-2</v>
      </c>
      <c r="K5" s="217">
        <v>4.3442788739075269E-2</v>
      </c>
      <c r="L5" s="217">
        <v>3.0862430115947428E-2</v>
      </c>
      <c r="M5" s="217">
        <v>3.4027269177138289E-2</v>
      </c>
    </row>
    <row r="6" spans="1:14">
      <c r="A6" s="220" t="s">
        <v>204</v>
      </c>
      <c r="B6" s="215">
        <v>0.21681566220525089</v>
      </c>
      <c r="C6" s="218">
        <v>0.28980685003789919</v>
      </c>
      <c r="D6" s="167"/>
      <c r="E6" s="217">
        <v>5.3523839982131158E-2</v>
      </c>
      <c r="F6" s="217">
        <v>5.7595768056917365E-2</v>
      </c>
      <c r="G6" s="217">
        <v>4.3430609653505807E-2</v>
      </c>
      <c r="H6" s="217">
        <v>5.8705204134813477E-2</v>
      </c>
      <c r="I6" s="217"/>
      <c r="J6" s="217">
        <v>1.1023692257140054E-2</v>
      </c>
      <c r="K6" s="217">
        <v>1.2629431682139144E-2</v>
      </c>
      <c r="L6" s="217">
        <v>6.7646927554993732E-3</v>
      </c>
      <c r="M6" s="217">
        <v>1.1923367498013787E-2</v>
      </c>
    </row>
    <row r="7" spans="1:14">
      <c r="A7" s="219" t="s">
        <v>203</v>
      </c>
      <c r="B7" s="215">
        <v>0.55340867006752781</v>
      </c>
      <c r="C7" s="218">
        <v>0.47786833316405708</v>
      </c>
      <c r="D7" s="167"/>
      <c r="E7" s="217">
        <v>5.290223191140455E-2</v>
      </c>
      <c r="F7" s="217">
        <v>6.3914560207474783E-2</v>
      </c>
      <c r="G7" s="217">
        <v>4.5927959639861765E-2</v>
      </c>
      <c r="H7" s="217">
        <v>4.5173444728559609E-2</v>
      </c>
      <c r="I7" s="217"/>
      <c r="J7" s="217">
        <v>6.5723096359972116E-3</v>
      </c>
      <c r="K7" s="217">
        <v>7.4617012114002387E-3</v>
      </c>
      <c r="L7" s="217">
        <v>2.3512461749242218E-3</v>
      </c>
      <c r="M7" s="217">
        <v>8.6843367386482666E-3</v>
      </c>
    </row>
    <row r="8" spans="1:14">
      <c r="B8" s="167"/>
      <c r="C8" s="167"/>
      <c r="D8" s="167"/>
      <c r="E8" s="167"/>
      <c r="F8" s="167"/>
      <c r="G8" s="167"/>
      <c r="H8" s="167"/>
      <c r="I8" s="167"/>
      <c r="J8" s="167"/>
      <c r="K8" s="167"/>
      <c r="L8" s="167"/>
      <c r="M8" s="167"/>
    </row>
    <row r="9" spans="1:14">
      <c r="A9" s="216" t="s">
        <v>202</v>
      </c>
      <c r="B9" s="215">
        <v>1</v>
      </c>
      <c r="C9" s="215">
        <v>1</v>
      </c>
      <c r="D9" s="215"/>
      <c r="E9" s="215">
        <v>1.0000000000070641</v>
      </c>
      <c r="F9" s="215">
        <v>0.99999999999999989</v>
      </c>
      <c r="G9" s="215">
        <v>1</v>
      </c>
      <c r="H9" s="215">
        <v>1</v>
      </c>
      <c r="I9" s="215"/>
      <c r="J9" s="215">
        <v>1</v>
      </c>
      <c r="K9" s="215">
        <v>1.0000000000000002</v>
      </c>
      <c r="L9" s="215">
        <v>1.0000000000000002</v>
      </c>
      <c r="M9" s="215">
        <v>1</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workbookViewId="0">
      <pane xSplit="2" ySplit="2" topLeftCell="C3" activePane="bottomRight" state="frozen"/>
      <selection pane="topRight" activeCell="C1" sqref="C1"/>
      <selection pane="bottomLeft" activeCell="A3" sqref="A3"/>
      <selection pane="bottomRight" activeCell="K18" sqref="K18"/>
    </sheetView>
  </sheetViews>
  <sheetFormatPr baseColWidth="10" defaultColWidth="8.83203125" defaultRowHeight="15" x14ac:dyDescent="0"/>
  <cols>
    <col min="1" max="1" width="12.33203125" style="221" customWidth="1"/>
    <col min="2" max="2" width="12" style="221" customWidth="1"/>
    <col min="3" max="3" width="12.33203125" style="221" customWidth="1"/>
    <col min="4" max="4" width="28" style="221" customWidth="1"/>
    <col min="5" max="5" width="11.33203125" style="221" customWidth="1"/>
    <col min="6" max="6" width="13.6640625" style="221" customWidth="1"/>
    <col min="7" max="7" width="12.1640625" style="221" bestFit="1" customWidth="1"/>
    <col min="8" max="8" width="8.83203125" style="221"/>
    <col min="9" max="9" width="13.1640625" style="221" customWidth="1"/>
    <col min="10" max="11" width="9" style="221" bestFit="1" customWidth="1"/>
    <col min="12" max="12" width="9.33203125" style="221" customWidth="1"/>
    <col min="14" max="17" width="9" style="221" customWidth="1"/>
    <col min="18" max="18" width="12.5" style="221" customWidth="1"/>
    <col min="19" max="24" width="8.83203125" style="221"/>
    <col min="25" max="27" width="12" style="221" customWidth="1"/>
    <col min="28" max="16384" width="8.83203125" style="221"/>
  </cols>
  <sheetData>
    <row r="1" spans="1:17">
      <c r="C1" s="252" t="s">
        <v>246</v>
      </c>
      <c r="H1" s="214"/>
      <c r="I1" s="250" t="s">
        <v>245</v>
      </c>
      <c r="J1" s="214"/>
      <c r="K1" s="214"/>
      <c r="L1" s="251"/>
      <c r="N1" s="250" t="s">
        <v>244</v>
      </c>
      <c r="P1" s="250"/>
      <c r="Q1" s="250"/>
    </row>
    <row r="2" spans="1:17" s="248" customFormat="1" ht="90">
      <c r="A2" s="249" t="s">
        <v>247</v>
      </c>
      <c r="B2" s="210"/>
      <c r="C2" s="248" t="s">
        <v>243</v>
      </c>
      <c r="D2" s="248" t="s">
        <v>242</v>
      </c>
      <c r="E2" s="248" t="s">
        <v>241</v>
      </c>
      <c r="F2" s="248" t="s">
        <v>240</v>
      </c>
      <c r="G2" s="248" t="s">
        <v>239</v>
      </c>
      <c r="I2" s="210" t="s">
        <v>238</v>
      </c>
      <c r="J2" s="210" t="s">
        <v>237</v>
      </c>
      <c r="K2" s="210" t="s">
        <v>236</v>
      </c>
      <c r="L2" s="210" t="s">
        <v>235</v>
      </c>
      <c r="N2" s="248" t="s">
        <v>234</v>
      </c>
      <c r="O2" s="248" t="s">
        <v>233</v>
      </c>
    </row>
    <row r="3" spans="1:17" s="243" customFormat="1">
      <c r="A3" s="244" t="s">
        <v>232</v>
      </c>
      <c r="B3" s="244">
        <v>0.1</v>
      </c>
      <c r="C3" s="247"/>
      <c r="D3" s="246"/>
      <c r="E3" s="245">
        <v>1061700</v>
      </c>
      <c r="F3" s="245"/>
      <c r="G3" s="245">
        <v>-77472.671875</v>
      </c>
      <c r="H3" s="244"/>
      <c r="I3" s="238">
        <v>1.1400895018863434E-4</v>
      </c>
      <c r="J3" s="239">
        <v>5.9411162230439641E-3</v>
      </c>
      <c r="K3" s="238">
        <v>4.1093227476111076E-5</v>
      </c>
      <c r="L3" s="237">
        <v>2.2786797747860173E-4</v>
      </c>
      <c r="N3" s="236">
        <v>3.5681375847036269E-2</v>
      </c>
      <c r="O3" s="235">
        <v>2.7487755267395261E-2</v>
      </c>
    </row>
    <row r="4" spans="1:17">
      <c r="A4" s="214" t="s">
        <v>231</v>
      </c>
      <c r="B4" s="214">
        <v>0.1</v>
      </c>
      <c r="C4" s="241">
        <f t="shared" ref="C4:C11" si="0">F4/1000000</f>
        <v>-9.6567900390624999E-3</v>
      </c>
      <c r="D4" s="240"/>
      <c r="E4" s="228">
        <v>1061700</v>
      </c>
      <c r="F4" s="228">
        <v>-9656.7900390625</v>
      </c>
      <c r="G4" s="228">
        <v>-14.145190238952637</v>
      </c>
      <c r="H4" s="214"/>
      <c r="I4" s="238">
        <v>1.324341962522665E-5</v>
      </c>
      <c r="J4" s="239">
        <v>5.9411162230439641E-3</v>
      </c>
      <c r="K4" s="238">
        <v>4.7731321115724869E-6</v>
      </c>
      <c r="L4" s="237">
        <v>2.6472088292498282E-5</v>
      </c>
      <c r="N4" s="236">
        <v>1.748584588784529E-2</v>
      </c>
      <c r="O4" s="235">
        <v>2.7487755267395261E-2</v>
      </c>
    </row>
    <row r="5" spans="1:17">
      <c r="A5" s="214" t="s">
        <v>230</v>
      </c>
      <c r="B5" s="214">
        <v>0.1</v>
      </c>
      <c r="C5" s="241">
        <f t="shared" si="0"/>
        <v>7.2680683593750002E-3</v>
      </c>
      <c r="D5" s="240"/>
      <c r="E5" s="228">
        <v>1061750</v>
      </c>
      <c r="F5" s="228">
        <v>7268.068359375</v>
      </c>
      <c r="G5" s="228">
        <v>17973.76953125</v>
      </c>
      <c r="H5" s="214"/>
      <c r="I5" s="238">
        <v>1.3233142591933207E-5</v>
      </c>
      <c r="J5" s="239">
        <v>5.9411162230439641E-3</v>
      </c>
      <c r="K5" s="238">
        <v>4.7694280793667368E-6</v>
      </c>
      <c r="L5" s="237">
        <v>2.6451545944354538E-5</v>
      </c>
      <c r="N5" s="236">
        <v>1.3735100956484987E-2</v>
      </c>
      <c r="O5" s="235">
        <v>2.7487755267395261E-2</v>
      </c>
    </row>
    <row r="6" spans="1:17">
      <c r="A6" s="214" t="s">
        <v>229</v>
      </c>
      <c r="B6" s="214">
        <v>0.1</v>
      </c>
      <c r="C6" s="241">
        <f t="shared" si="0"/>
        <v>3.039642578125E-2</v>
      </c>
      <c r="D6" s="240"/>
      <c r="E6" s="228">
        <v>1061700</v>
      </c>
      <c r="F6" s="228">
        <v>30396.42578125</v>
      </c>
      <c r="G6" s="228">
        <v>47220.26953125</v>
      </c>
      <c r="H6" s="214"/>
      <c r="I6" s="238">
        <v>1.4609916826584914E-5</v>
      </c>
      <c r="J6" s="239">
        <v>5.9411162230439641E-3</v>
      </c>
      <c r="K6" s="238">
        <v>5.2656433213209373E-6</v>
      </c>
      <c r="L6" s="237">
        <v>2.920352078291459E-5</v>
      </c>
      <c r="N6" s="236">
        <v>1.3675176446886778E-2</v>
      </c>
      <c r="O6" s="235">
        <v>2.7487755267395261E-2</v>
      </c>
    </row>
    <row r="7" spans="1:17">
      <c r="A7" s="214" t="s">
        <v>228</v>
      </c>
      <c r="B7" s="214">
        <v>0.1</v>
      </c>
      <c r="C7" s="241">
        <f t="shared" si="0"/>
        <v>6.7186820312500006E-2</v>
      </c>
      <c r="D7" s="240"/>
      <c r="E7" s="228">
        <v>1061700</v>
      </c>
      <c r="F7" s="228">
        <v>67186.8203125</v>
      </c>
      <c r="G7" s="228">
        <v>92860.640625</v>
      </c>
      <c r="H7" s="214"/>
      <c r="I7" s="238">
        <v>3.1584731235237876E-5</v>
      </c>
      <c r="J7" s="239">
        <v>5.9411162230439641E-3</v>
      </c>
      <c r="K7" s="238">
        <v>1.138375644063213E-5</v>
      </c>
      <c r="L7" s="237">
        <v>6.3133125684294603E-5</v>
      </c>
      <c r="N7" s="236">
        <v>1.0709589140773338E-2</v>
      </c>
      <c r="O7" s="235">
        <v>2.7487755267395261E-2</v>
      </c>
    </row>
    <row r="8" spans="1:17">
      <c r="A8" s="214" t="s">
        <v>227</v>
      </c>
      <c r="B8" s="214">
        <v>0.1</v>
      </c>
      <c r="C8" s="241">
        <f t="shared" si="0"/>
        <v>0.1203197890625</v>
      </c>
      <c r="D8" s="240"/>
      <c r="E8" s="228">
        <v>1061750</v>
      </c>
      <c r="F8" s="228">
        <v>120319.7890625</v>
      </c>
      <c r="G8" s="228">
        <v>151845.84375</v>
      </c>
      <c r="H8" s="227"/>
      <c r="I8" s="238">
        <v>4.6602895613036904E-5</v>
      </c>
      <c r="J8" s="239">
        <v>5.9411162230439641E-3</v>
      </c>
      <c r="K8" s="238">
        <v>1.6796758697219704E-5</v>
      </c>
      <c r="L8" s="237">
        <v>9.315077934143717E-5</v>
      </c>
      <c r="N8" s="236">
        <v>1.0922227869344365E-2</v>
      </c>
      <c r="O8" s="235">
        <v>2.7487755267395261E-2</v>
      </c>
    </row>
    <row r="9" spans="1:17">
      <c r="A9" s="214" t="s">
        <v>226</v>
      </c>
      <c r="B9" s="214">
        <v>0.1</v>
      </c>
      <c r="C9" s="241">
        <f t="shared" si="0"/>
        <v>0.18642678125000001</v>
      </c>
      <c r="D9" s="240"/>
      <c r="E9" s="228">
        <v>1061700</v>
      </c>
      <c r="F9" s="228">
        <v>186426.78125</v>
      </c>
      <c r="G9" s="228">
        <v>228251.203125</v>
      </c>
      <c r="H9" s="227"/>
      <c r="I9" s="238">
        <v>6.4091934635376126E-5</v>
      </c>
      <c r="J9" s="239">
        <v>5.9411162230439641E-3</v>
      </c>
      <c r="K9" s="238">
        <v>2.3100470233389152E-5</v>
      </c>
      <c r="L9" s="237">
        <v>1.2810597472898163E-4</v>
      </c>
      <c r="N9" s="236">
        <v>1.9685791066404702E-2</v>
      </c>
      <c r="O9" s="235">
        <v>2.7487755267395261E-2</v>
      </c>
    </row>
    <row r="10" spans="1:17">
      <c r="A10" s="214" t="s">
        <v>225</v>
      </c>
      <c r="B10" s="214">
        <v>0.1</v>
      </c>
      <c r="C10" s="241">
        <f t="shared" si="0"/>
        <v>0.27484906250000002</v>
      </c>
      <c r="D10" s="240"/>
      <c r="E10" s="228">
        <v>1061700</v>
      </c>
      <c r="F10" s="228">
        <v>274849.0625</v>
      </c>
      <c r="G10" s="228">
        <v>335433.8125</v>
      </c>
      <c r="H10" s="227"/>
      <c r="I10" s="238">
        <v>1.4613691930683579E-4</v>
      </c>
      <c r="J10" s="239">
        <v>5.9411162230439641E-3</v>
      </c>
      <c r="K10" s="238">
        <v>5.2674470459360316E-5</v>
      </c>
      <c r="L10" s="237">
        <v>2.9207229469885293E-4</v>
      </c>
      <c r="N10" s="236">
        <v>1.9816815033097571E-2</v>
      </c>
      <c r="O10" s="235">
        <v>2.7487755267395261E-2</v>
      </c>
    </row>
    <row r="11" spans="1:17">
      <c r="A11" s="214" t="s">
        <v>224</v>
      </c>
      <c r="B11" s="214">
        <v>0.1</v>
      </c>
      <c r="C11" s="241">
        <f t="shared" si="0"/>
        <v>0.40576131250000003</v>
      </c>
      <c r="D11" s="240"/>
      <c r="E11" s="228">
        <v>1061750</v>
      </c>
      <c r="F11" s="228">
        <v>405761.3125</v>
      </c>
      <c r="G11" s="228">
        <v>506975.90625</v>
      </c>
      <c r="H11" s="227"/>
      <c r="I11" s="238">
        <v>1.9636072870244289E-4</v>
      </c>
      <c r="J11" s="239">
        <v>5.9411162230439641E-3</v>
      </c>
      <c r="K11" s="238">
        <v>7.0779716336380304E-5</v>
      </c>
      <c r="L11" s="237">
        <v>3.9243096253177437E-4</v>
      </c>
      <c r="N11" s="236">
        <v>2.7102997089792635E-2</v>
      </c>
      <c r="O11" s="235">
        <v>2.7487755267395261E-2</v>
      </c>
    </row>
    <row r="12" spans="1:17">
      <c r="A12" s="214" t="s">
        <v>248</v>
      </c>
      <c r="B12" s="214">
        <v>0.05</v>
      </c>
      <c r="C12" s="241">
        <v>0.6385793125</v>
      </c>
      <c r="D12" s="240" t="s">
        <v>223</v>
      </c>
      <c r="E12" s="228">
        <v>530858</v>
      </c>
      <c r="F12" s="228">
        <v>638579.3125</v>
      </c>
      <c r="G12" s="228">
        <v>758210.125</v>
      </c>
      <c r="H12" s="227"/>
      <c r="I12" s="238">
        <v>6.1153972585712248E-4</v>
      </c>
      <c r="J12" s="239">
        <v>5.9411162230439641E-3</v>
      </c>
      <c r="K12" s="238">
        <v>2.2049269754104367E-4</v>
      </c>
      <c r="L12" s="237">
        <v>1.2216681834716463E-3</v>
      </c>
      <c r="N12" s="236">
        <v>1.8346454980105665E-2</v>
      </c>
      <c r="O12" s="235">
        <v>2.7487755267395261E-2</v>
      </c>
    </row>
    <row r="13" spans="1:17">
      <c r="A13" s="214" t="s">
        <v>249</v>
      </c>
      <c r="B13" s="214">
        <v>0.04</v>
      </c>
      <c r="C13" s="241">
        <v>0.91975012499999997</v>
      </c>
      <c r="D13" s="240" t="s">
        <v>222</v>
      </c>
      <c r="E13" s="228">
        <v>424687</v>
      </c>
      <c r="F13" s="228">
        <v>919750.125</v>
      </c>
      <c r="G13" s="228">
        <v>1251698.125</v>
      </c>
      <c r="H13" s="227"/>
      <c r="I13" s="238">
        <v>2.3747989696442065E-3</v>
      </c>
      <c r="J13" s="239">
        <v>5.9411162230439641E-3</v>
      </c>
      <c r="K13" s="238">
        <v>8.572088300315985E-4</v>
      </c>
      <c r="L13" s="237">
        <v>4.7357813081186266E-3</v>
      </c>
      <c r="N13" s="236">
        <v>3.4446715990467253E-2</v>
      </c>
      <c r="O13" s="235">
        <v>2.7487755267395261E-2</v>
      </c>
    </row>
    <row r="14" spans="1:17">
      <c r="A14" s="214" t="s">
        <v>250</v>
      </c>
      <c r="B14" s="214">
        <v>5.0000000000000001E-3</v>
      </c>
      <c r="C14" s="241">
        <v>2.0183545000000001</v>
      </c>
      <c r="D14" s="240" t="s">
        <v>221</v>
      </c>
      <c r="E14" s="228">
        <v>53085</v>
      </c>
      <c r="F14" s="228">
        <v>2018354.5</v>
      </c>
      <c r="G14" s="228">
        <v>2423703.75</v>
      </c>
      <c r="H14" s="227"/>
      <c r="I14" s="238">
        <v>8.4254241834550055E-3</v>
      </c>
      <c r="J14" s="239">
        <v>5.9411162230439641E-3</v>
      </c>
      <c r="K14" s="238">
        <v>3.0530791592066862E-3</v>
      </c>
      <c r="L14" s="237">
        <v>1.6701125590950952E-2</v>
      </c>
      <c r="N14" s="236">
        <v>5.0207838453057728E-2</v>
      </c>
      <c r="O14" s="235">
        <v>2.7487755267395261E-2</v>
      </c>
    </row>
    <row r="15" spans="1:17">
      <c r="A15" s="214" t="s">
        <v>251</v>
      </c>
      <c r="B15" s="214">
        <v>4.0000000000000001E-3</v>
      </c>
      <c r="C15" s="241">
        <v>3.0324402500000001</v>
      </c>
      <c r="D15" s="240" t="s">
        <v>220</v>
      </c>
      <c r="E15" s="228">
        <v>42469</v>
      </c>
      <c r="F15" s="228">
        <v>3032440.25</v>
      </c>
      <c r="G15" s="228">
        <v>4718191.5</v>
      </c>
      <c r="H15" s="227"/>
      <c r="I15" s="238">
        <v>2.9884923247575166E-2</v>
      </c>
      <c r="J15" s="239">
        <v>5.9411162230439641E-3</v>
      </c>
      <c r="K15" s="238">
        <v>1.0980781697725019E-2</v>
      </c>
      <c r="L15" s="237">
        <v>5.8005737898979684E-2</v>
      </c>
      <c r="N15" s="236">
        <v>6.4416859768475471E-2</v>
      </c>
      <c r="O15" s="235">
        <v>2.7487755267395261E-2</v>
      </c>
    </row>
    <row r="16" spans="1:17">
      <c r="A16" s="214" t="s">
        <v>252</v>
      </c>
      <c r="B16" s="214">
        <v>5.0000000000000001E-4</v>
      </c>
      <c r="C16" s="241">
        <v>9.0791989999999991</v>
      </c>
      <c r="D16" s="240" t="s">
        <v>219</v>
      </c>
      <c r="E16" s="228">
        <v>5309</v>
      </c>
      <c r="F16" s="228">
        <v>9079199</v>
      </c>
      <c r="G16" s="228">
        <v>11278564</v>
      </c>
      <c r="H16" s="227"/>
      <c r="I16" s="238">
        <v>5.0491620878402012E-2</v>
      </c>
      <c r="J16" s="239">
        <v>5.9411162230439641E-3</v>
      </c>
      <c r="K16" s="238">
        <v>1.8805090747391045E-2</v>
      </c>
      <c r="L16" s="237">
        <v>9.608226376022734E-2</v>
      </c>
      <c r="N16" s="236">
        <v>8.3509908487191725E-2</v>
      </c>
      <c r="O16" s="235">
        <v>2.7487755267395261E-2</v>
      </c>
    </row>
    <row r="17" spans="1:27">
      <c r="A17" s="214" t="s">
        <v>253</v>
      </c>
      <c r="B17" s="214">
        <v>4.0000000000000002E-4</v>
      </c>
      <c r="C17" s="241">
        <v>14.649673999999999</v>
      </c>
      <c r="D17" s="240" t="s">
        <v>254</v>
      </c>
      <c r="E17" s="228">
        <v>4247</v>
      </c>
      <c r="F17" s="228">
        <v>14649674</v>
      </c>
      <c r="G17" s="228">
        <v>23228520</v>
      </c>
      <c r="H17" s="242"/>
      <c r="I17" s="238">
        <v>0.11882464856485833</v>
      </c>
      <c r="J17" s="239">
        <v>5.9411162230439641E-3</v>
      </c>
      <c r="K17" s="238">
        <v>4.6348280893472218E-2</v>
      </c>
      <c r="L17" s="237">
        <v>0.21231881347302278</v>
      </c>
      <c r="N17" s="236">
        <v>0.14682358688868072</v>
      </c>
      <c r="O17" s="235">
        <v>2.7487755267395261E-2</v>
      </c>
    </row>
    <row r="18" spans="1:27">
      <c r="A18" s="214" t="s">
        <v>255</v>
      </c>
      <c r="B18" s="214">
        <v>1E-4</v>
      </c>
      <c r="C18" s="241">
        <v>44.513640000000002</v>
      </c>
      <c r="D18" s="240" t="s">
        <v>256</v>
      </c>
      <c r="E18" s="228">
        <v>1062</v>
      </c>
      <c r="F18" s="228">
        <v>44513640</v>
      </c>
      <c r="G18" s="228">
        <v>147540784</v>
      </c>
      <c r="H18" s="214"/>
      <c r="I18" s="238">
        <v>0.24928484350127023</v>
      </c>
      <c r="J18" s="239">
        <v>5.9411162230439641E-3</v>
      </c>
      <c r="K18" s="238">
        <v>0.10688740651998632</v>
      </c>
      <c r="L18" s="237">
        <v>0.39895366064860838</v>
      </c>
      <c r="N18" s="236">
        <v>0.2677009298962213</v>
      </c>
      <c r="O18" s="235">
        <v>2.7487755267395261E-2</v>
      </c>
    </row>
    <row r="19" spans="1:27">
      <c r="A19" s="233"/>
      <c r="B19" s="214"/>
      <c r="H19" s="214"/>
      <c r="I19" s="231"/>
      <c r="J19" s="232"/>
      <c r="K19" s="231"/>
      <c r="L19" s="231"/>
      <c r="R19" s="222"/>
      <c r="T19" s="222"/>
      <c r="Y19" s="234"/>
      <c r="Z19" s="234"/>
      <c r="AA19" s="234"/>
    </row>
    <row r="20" spans="1:27">
      <c r="A20" s="233"/>
      <c r="B20" s="214"/>
      <c r="H20" s="214"/>
      <c r="I20" s="231"/>
      <c r="J20" s="232"/>
      <c r="K20" s="231"/>
      <c r="L20" s="231"/>
      <c r="T20" s="222"/>
      <c r="Y20" s="214"/>
      <c r="Z20" s="214"/>
      <c r="AA20" s="214"/>
    </row>
    <row r="21" spans="1:27">
      <c r="A21" s="214" t="s">
        <v>17</v>
      </c>
      <c r="B21" s="230">
        <f>SUM(B3:B18)</f>
        <v>0.99999999999999989</v>
      </c>
      <c r="E21" s="228">
        <f>SUM(E3:E18)</f>
        <v>10617167</v>
      </c>
      <c r="F21" s="229"/>
      <c r="G21" s="228">
        <f>SUMPRODUCT(G3:G18,B3:B18)</f>
        <v>278961.94722472614</v>
      </c>
      <c r="H21" s="214"/>
      <c r="J21" s="214"/>
      <c r="O21" s="223"/>
      <c r="P21" s="227"/>
      <c r="Q21" s="222"/>
      <c r="R21" s="226"/>
      <c r="Y21" s="225"/>
      <c r="Z21" s="225"/>
      <c r="AA21" s="225"/>
    </row>
    <row r="22" spans="1:27">
      <c r="O22" s="223"/>
      <c r="V22" s="224"/>
      <c r="W22" s="224"/>
      <c r="X22" s="224"/>
      <c r="Y22" s="223"/>
      <c r="Z22" s="223"/>
      <c r="AA22" s="223"/>
    </row>
    <row r="23" spans="1:27">
      <c r="R23" s="222"/>
    </row>
    <row r="24" spans="1:27">
      <c r="R24" s="22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pane xSplit="1" ySplit="1" topLeftCell="B23" activePane="bottomRight" state="frozen"/>
      <selection pane="topRight" activeCell="B1" sqref="B1"/>
      <selection pane="bottomLeft" activeCell="A2" sqref="A2"/>
      <selection pane="bottomRight" activeCell="C41" sqref="B40:C41"/>
    </sheetView>
  </sheetViews>
  <sheetFormatPr baseColWidth="10" defaultRowHeight="15" x14ac:dyDescent="0"/>
  <cols>
    <col min="2" max="2" width="20.33203125" bestFit="1" customWidth="1"/>
    <col min="3" max="3" width="13.33203125" customWidth="1"/>
  </cols>
  <sheetData>
    <row r="1" spans="1:10" s="1" customFormat="1" ht="45">
      <c r="B1" s="54" t="s">
        <v>20</v>
      </c>
      <c r="C1" s="54" t="s">
        <v>16</v>
      </c>
      <c r="D1" s="54" t="s">
        <v>21</v>
      </c>
      <c r="E1" s="54" t="s">
        <v>22</v>
      </c>
      <c r="F1" s="54" t="s">
        <v>23</v>
      </c>
      <c r="G1" s="54" t="s">
        <v>15</v>
      </c>
      <c r="H1" s="54" t="s">
        <v>24</v>
      </c>
      <c r="I1" s="1" t="s">
        <v>25</v>
      </c>
    </row>
    <row r="2" spans="1:10" s="1" customFormat="1">
      <c r="A2" s="1">
        <v>1976</v>
      </c>
      <c r="B2" s="156">
        <v>0.31428809742263741</v>
      </c>
      <c r="C2" s="55">
        <v>0.38326799566269082</v>
      </c>
      <c r="D2" s="55">
        <v>0.14346484277254148</v>
      </c>
      <c r="E2" s="55">
        <v>5.2798398531987659E-2</v>
      </c>
      <c r="F2" s="55">
        <v>3.2321294519976645E-2</v>
      </c>
      <c r="G2" s="55">
        <v>4.4874468262574026E-2</v>
      </c>
      <c r="H2" s="55">
        <v>2.898490282759196E-2</v>
      </c>
      <c r="I2" s="56">
        <v>0</v>
      </c>
      <c r="J2" s="57"/>
    </row>
    <row r="3" spans="1:10" s="1" customFormat="1">
      <c r="A3" s="1">
        <v>1977</v>
      </c>
      <c r="B3" s="156">
        <v>0.33067509968376185</v>
      </c>
      <c r="C3" s="55">
        <v>0.40017874329712638</v>
      </c>
      <c r="D3" s="55">
        <v>0.11759246528255191</v>
      </c>
      <c r="E3" s="55">
        <v>5.1491819056785369E-2</v>
      </c>
      <c r="F3" s="55">
        <v>3.2792520280489484E-2</v>
      </c>
      <c r="G3" s="55">
        <v>4.5957651588065446E-2</v>
      </c>
      <c r="H3" s="55">
        <v>2.131170081121958E-2</v>
      </c>
      <c r="I3" s="56">
        <v>0</v>
      </c>
      <c r="J3" s="57"/>
    </row>
    <row r="4" spans="1:10" s="1" customFormat="1">
      <c r="A4" s="1">
        <v>1978</v>
      </c>
      <c r="B4" s="156">
        <v>0.34341295951938205</v>
      </c>
      <c r="C4" s="55">
        <v>0.35723072521813759</v>
      </c>
      <c r="D4" s="55">
        <v>0.14106708625375483</v>
      </c>
      <c r="E4" s="55">
        <v>5.2724932055499926E-2</v>
      </c>
      <c r="F4" s="55">
        <v>2.7120583607495353E-2</v>
      </c>
      <c r="G4" s="55">
        <v>5.507080532112716E-2</v>
      </c>
      <c r="H4" s="55">
        <v>2.337290802460306E-2</v>
      </c>
      <c r="I4" s="56">
        <v>0</v>
      </c>
      <c r="J4" s="57"/>
    </row>
    <row r="5" spans="1:10" s="1" customFormat="1">
      <c r="A5" s="1">
        <v>1979</v>
      </c>
      <c r="B5" s="156">
        <v>0.31128158487880103</v>
      </c>
      <c r="C5" s="55">
        <v>0.38623512198979792</v>
      </c>
      <c r="D5" s="55">
        <v>0.14029815334730517</v>
      </c>
      <c r="E5" s="55">
        <v>5.3976037012139669E-2</v>
      </c>
      <c r="F5" s="55">
        <v>2.6691446874135001E-2</v>
      </c>
      <c r="G5" s="55">
        <v>5.5261180750523942E-2</v>
      </c>
      <c r="H5" s="55">
        <v>2.6256475147297245E-2</v>
      </c>
      <c r="I5" s="56">
        <v>0</v>
      </c>
      <c r="J5" s="57"/>
    </row>
    <row r="6" spans="1:10" s="1" customFormat="1">
      <c r="A6" s="1">
        <v>1980</v>
      </c>
      <c r="B6" s="156">
        <v>0.27521766525375185</v>
      </c>
      <c r="C6" s="55">
        <v>0.41674304043991295</v>
      </c>
      <c r="D6" s="55">
        <v>0.14493355481727574</v>
      </c>
      <c r="E6" s="55">
        <v>5.8067934471302554E-2</v>
      </c>
      <c r="F6" s="55">
        <v>2.9255928514148242E-2</v>
      </c>
      <c r="G6" s="55">
        <v>4.9891167373124067E-2</v>
      </c>
      <c r="H6" s="55">
        <v>2.5890709130484593E-2</v>
      </c>
      <c r="I6" s="56">
        <v>0</v>
      </c>
      <c r="J6" s="57"/>
    </row>
    <row r="7" spans="1:10" s="1" customFormat="1">
      <c r="A7" s="1">
        <v>1981</v>
      </c>
      <c r="B7" s="156">
        <v>0.25785437176238424</v>
      </c>
      <c r="C7" s="55">
        <v>0.44283856210616018</v>
      </c>
      <c r="D7" s="55">
        <v>0.12873096674365933</v>
      </c>
      <c r="E7" s="55">
        <v>7.2365617922095393E-2</v>
      </c>
      <c r="F7" s="55">
        <v>2.7762204830354541E-2</v>
      </c>
      <c r="G7" s="55">
        <v>4.4188549772385802E-2</v>
      </c>
      <c r="H7" s="55">
        <v>2.6259726862960554E-2</v>
      </c>
      <c r="I7" s="56">
        <v>0</v>
      </c>
      <c r="J7" s="57"/>
    </row>
    <row r="8" spans="1:10" s="1" customFormat="1">
      <c r="A8" s="1">
        <v>1982</v>
      </c>
      <c r="B8" s="156">
        <v>0.26838302126886021</v>
      </c>
      <c r="C8" s="55">
        <v>0.39270132703144883</v>
      </c>
      <c r="D8" s="55">
        <v>0.17117342301399746</v>
      </c>
      <c r="E8" s="55">
        <v>6.5783493910198151E-2</v>
      </c>
      <c r="F8" s="55">
        <v>3.0960279949100163E-2</v>
      </c>
      <c r="G8" s="55">
        <v>4.4446464279221963E-2</v>
      </c>
      <c r="H8" s="55">
        <v>2.6551990547173242E-2</v>
      </c>
      <c r="I8" s="56">
        <v>0</v>
      </c>
      <c r="J8" s="57"/>
    </row>
    <row r="9" spans="1:10" s="1" customFormat="1">
      <c r="A9" s="1">
        <v>1983</v>
      </c>
      <c r="B9" s="156">
        <v>0.28996575951618642</v>
      </c>
      <c r="C9" s="55">
        <v>0.35507826396300252</v>
      </c>
      <c r="D9" s="55">
        <v>0.18609925293489862</v>
      </c>
      <c r="E9" s="55">
        <v>6.2466648879402349E-2</v>
      </c>
      <c r="F9" s="55">
        <v>3.5096495908929208E-2</v>
      </c>
      <c r="G9" s="55">
        <v>4.3000711490572753E-2</v>
      </c>
      <c r="H9" s="55">
        <v>2.8292867307008182E-2</v>
      </c>
      <c r="I9" s="56">
        <v>0</v>
      </c>
      <c r="J9" s="57"/>
    </row>
    <row r="10" spans="1:10" s="1" customFormat="1">
      <c r="A10" s="1">
        <v>1984</v>
      </c>
      <c r="B10" s="156">
        <v>0.31450226676450782</v>
      </c>
      <c r="C10" s="55">
        <v>0.30732501683738606</v>
      </c>
      <c r="D10" s="55">
        <v>0.20626049195323731</v>
      </c>
      <c r="E10" s="55">
        <v>6.3228154119882182E-2</v>
      </c>
      <c r="F10" s="55">
        <v>4.4309968737748916E-2</v>
      </c>
      <c r="G10" s="55">
        <v>3.1724650938370139E-2</v>
      </c>
      <c r="H10" s="55">
        <v>3.2378042038178144E-2</v>
      </c>
      <c r="I10" s="56">
        <v>2.7140861068947837E-4</v>
      </c>
      <c r="J10" s="57"/>
    </row>
    <row r="11" spans="1:10">
      <c r="A11">
        <v>1985</v>
      </c>
      <c r="B11" s="156">
        <v>0.32112510465468408</v>
      </c>
      <c r="C11" s="55">
        <v>0.30381032117854534</v>
      </c>
      <c r="D11" s="55">
        <v>0.20444626538646526</v>
      </c>
      <c r="E11" s="55">
        <v>6.0325631936156192E-2</v>
      </c>
      <c r="F11" s="55">
        <v>4.8060993640557922E-2</v>
      </c>
      <c r="G11" s="55">
        <v>3.0612608440066268E-2</v>
      </c>
      <c r="H11" s="55">
        <v>3.1414218786183799E-2</v>
      </c>
      <c r="I11" s="56">
        <v>2.0485597734114756E-4</v>
      </c>
      <c r="J11" s="57"/>
    </row>
    <row r="12" spans="1:10">
      <c r="A12">
        <v>1986</v>
      </c>
      <c r="B12" s="156">
        <v>0.33761827237705316</v>
      </c>
      <c r="C12" s="55">
        <v>0.30588823159625395</v>
      </c>
      <c r="D12" s="55">
        <v>0.18129724850497267</v>
      </c>
      <c r="E12" s="55">
        <v>6.2041618981608343E-2</v>
      </c>
      <c r="F12" s="55">
        <v>4.9065910153290669E-2</v>
      </c>
      <c r="G12" s="55">
        <v>3.0271280968423089E-2</v>
      </c>
      <c r="H12" s="55">
        <v>3.3599832363513271E-2</v>
      </c>
      <c r="I12" s="56">
        <v>2.1760505488483051E-4</v>
      </c>
      <c r="J12" s="57"/>
    </row>
    <row r="13" spans="1:10">
      <c r="A13">
        <v>1987</v>
      </c>
      <c r="B13" s="156">
        <v>0.34666632762040378</v>
      </c>
      <c r="C13" s="55">
        <v>0.31276382037328992</v>
      </c>
      <c r="D13" s="55">
        <v>0.1654312668463612</v>
      </c>
      <c r="E13" s="55">
        <v>6.2554035498143729E-2</v>
      </c>
      <c r="F13" s="55">
        <v>4.6553170930173422E-2</v>
      </c>
      <c r="G13" s="55">
        <v>2.9541524691044093E-2</v>
      </c>
      <c r="H13" s="55">
        <v>3.6292783400294973E-2</v>
      </c>
      <c r="I13" s="56">
        <v>1.9707064028886743E-4</v>
      </c>
      <c r="J13" s="57"/>
    </row>
    <row r="14" spans="1:10">
      <c r="A14">
        <v>1988</v>
      </c>
      <c r="B14" s="156">
        <v>0.34353114405206758</v>
      </c>
      <c r="C14" s="55">
        <v>0.31649508772798141</v>
      </c>
      <c r="D14" s="55">
        <v>0.16321858991808755</v>
      </c>
      <c r="E14" s="55">
        <v>6.6971466752456132E-2</v>
      </c>
      <c r="F14" s="55">
        <v>4.5540597391670171E-2</v>
      </c>
      <c r="G14" s="55">
        <v>2.7555742532604122E-2</v>
      </c>
      <c r="H14" s="55">
        <v>3.6464648964339624E-2</v>
      </c>
      <c r="I14" s="56">
        <v>2.227226607933876E-4</v>
      </c>
      <c r="J14" s="57"/>
    </row>
    <row r="15" spans="1:10">
      <c r="A15">
        <v>1989</v>
      </c>
      <c r="B15" s="156">
        <v>0.36511927852986464</v>
      </c>
      <c r="C15" s="55">
        <v>0.3193275210462117</v>
      </c>
      <c r="D15" s="55">
        <v>0.14321922054030276</v>
      </c>
      <c r="E15" s="55">
        <v>6.8942590333739923E-2</v>
      </c>
      <c r="F15" s="55">
        <v>3.9702853486372452E-2</v>
      </c>
      <c r="G15" s="55">
        <v>2.7305085084684756E-2</v>
      </c>
      <c r="H15" s="55">
        <v>3.6278469875422423E-2</v>
      </c>
      <c r="I15" s="56">
        <v>1.0498110340138776E-4</v>
      </c>
      <c r="J15" s="57"/>
    </row>
    <row r="16" spans="1:10">
      <c r="A16">
        <v>1990</v>
      </c>
      <c r="B16" s="156">
        <v>0.36432427055956601</v>
      </c>
      <c r="C16" s="55">
        <v>0.33232720859681941</v>
      </c>
      <c r="D16" s="55">
        <v>0.13553227059017059</v>
      </c>
      <c r="E16" s="55">
        <v>7.3355292101346989E-2</v>
      </c>
      <c r="F16" s="55">
        <v>3.4942750354821556E-2</v>
      </c>
      <c r="G16" s="55">
        <v>2.4388004544776375E-2</v>
      </c>
      <c r="H16" s="55">
        <v>3.5019261741628699E-2</v>
      </c>
      <c r="I16" s="56">
        <v>1.1094151087035528E-4</v>
      </c>
      <c r="J16" s="57"/>
    </row>
    <row r="17" spans="1:15">
      <c r="A17">
        <v>1991</v>
      </c>
      <c r="B17" s="156">
        <v>0.35563547933939582</v>
      </c>
      <c r="C17" s="55">
        <v>0.33566939885334729</v>
      </c>
      <c r="D17" s="55">
        <v>0.14185990689841066</v>
      </c>
      <c r="E17" s="55">
        <v>7.011344542775183E-2</v>
      </c>
      <c r="F17" s="55">
        <v>3.7236700756696349E-2</v>
      </c>
      <c r="G17" s="55">
        <v>2.4998917880935424E-2</v>
      </c>
      <c r="H17" s="55">
        <v>3.436416651254668E-2</v>
      </c>
      <c r="I17" s="56">
        <v>1.2198433091594493E-4</v>
      </c>
      <c r="J17" s="57"/>
    </row>
    <row r="18" spans="1:15">
      <c r="A18">
        <v>1992</v>
      </c>
      <c r="B18" s="156">
        <v>0.34832434395414386</v>
      </c>
      <c r="C18" s="55">
        <v>0.34877415680723661</v>
      </c>
      <c r="D18" s="55">
        <v>0.14044065152709401</v>
      </c>
      <c r="E18" s="55">
        <v>6.0295555931545911E-2</v>
      </c>
      <c r="F18" s="55">
        <v>3.7359227147237363E-2</v>
      </c>
      <c r="G18" s="55">
        <v>2.371215278780801E-2</v>
      </c>
      <c r="H18" s="55">
        <v>4.0920589461173724E-2</v>
      </c>
      <c r="I18" s="56">
        <v>1.73322383760518E-4</v>
      </c>
      <c r="J18" s="57"/>
    </row>
    <row r="19" spans="1:15">
      <c r="A19">
        <v>1993</v>
      </c>
      <c r="B19" s="156">
        <v>0.35783013210735765</v>
      </c>
      <c r="C19" s="55">
        <v>0.34206628990932386</v>
      </c>
      <c r="D19" s="55">
        <v>0.14818920244952843</v>
      </c>
      <c r="E19" s="55">
        <v>5.3974123675746395E-2</v>
      </c>
      <c r="F19" s="55">
        <v>3.8460140647998402E-2</v>
      </c>
      <c r="G19" s="55">
        <v>2.5531064309207537E-2</v>
      </c>
      <c r="H19" s="55">
        <v>3.3812760080681799E-2</v>
      </c>
      <c r="I19" s="56">
        <v>1.3628682015591213E-4</v>
      </c>
      <c r="J19" s="57"/>
    </row>
    <row r="20" spans="1:15">
      <c r="A20">
        <v>1994</v>
      </c>
      <c r="B20" s="156">
        <v>0.37916652942920193</v>
      </c>
      <c r="C20" s="55">
        <v>0.32689140673890849</v>
      </c>
      <c r="D20" s="55">
        <v>0.14267069595863113</v>
      </c>
      <c r="E20" s="55">
        <v>5.7034517967128884E-2</v>
      </c>
      <c r="F20" s="55">
        <v>4.1685879911728861E-2</v>
      </c>
      <c r="G20" s="55">
        <v>2.543559171305293E-2</v>
      </c>
      <c r="H20" s="55">
        <v>2.6855999473008135E-2</v>
      </c>
      <c r="I20" s="56">
        <v>2.5937880833964625E-4</v>
      </c>
      <c r="J20" s="57"/>
    </row>
    <row r="21" spans="1:15">
      <c r="A21">
        <v>1995</v>
      </c>
      <c r="B21" s="156">
        <v>0.3892097171442121</v>
      </c>
      <c r="C21" s="55">
        <v>0.32220547966161328</v>
      </c>
      <c r="D21" s="55">
        <v>0.13915235050253177</v>
      </c>
      <c r="E21" s="55">
        <v>5.4635989536324557E-2</v>
      </c>
      <c r="F21" s="55">
        <v>4.4585353913934742E-2</v>
      </c>
      <c r="G21" s="55">
        <v>2.2483899095901726E-2</v>
      </c>
      <c r="H21" s="55">
        <v>2.7455674708195016E-2</v>
      </c>
      <c r="I21" s="56">
        <v>2.7153543728678734E-4</v>
      </c>
      <c r="J21" s="57"/>
    </row>
    <row r="22" spans="1:15">
      <c r="A22">
        <v>1996</v>
      </c>
      <c r="B22" s="156">
        <v>0.40546090175697602</v>
      </c>
      <c r="C22" s="55">
        <v>0.30478981111290138</v>
      </c>
      <c r="D22" s="55">
        <v>0.13589679217922729</v>
      </c>
      <c r="E22" s="55">
        <v>5.4552812323187663E-2</v>
      </c>
      <c r="F22" s="55">
        <v>4.8156655263246639E-2</v>
      </c>
      <c r="G22" s="55">
        <v>2.1121931661914201E-2</v>
      </c>
      <c r="H22" s="55">
        <v>2.9668876157359702E-2</v>
      </c>
      <c r="I22" s="56">
        <v>3.5221954518714475E-4</v>
      </c>
      <c r="J22" s="57"/>
    </row>
    <row r="23" spans="1:15">
      <c r="A23">
        <v>1997</v>
      </c>
      <c r="B23" s="156">
        <v>0.41668206579988026</v>
      </c>
      <c r="C23" s="55">
        <v>0.28970943683521944</v>
      </c>
      <c r="D23" s="55">
        <v>0.1327380644398288</v>
      </c>
      <c r="E23" s="55">
        <v>5.7491739904944231E-2</v>
      </c>
      <c r="F23" s="55">
        <v>5.3407889776700246E-2</v>
      </c>
      <c r="G23" s="55">
        <v>2.1697994663276394E-2</v>
      </c>
      <c r="H23" s="55">
        <v>2.8080627397645042E-2</v>
      </c>
      <c r="I23" s="56">
        <v>1.9218118250559913E-4</v>
      </c>
      <c r="J23" s="57"/>
    </row>
    <row r="24" spans="1:15">
      <c r="A24">
        <v>1998</v>
      </c>
      <c r="B24" s="156">
        <v>0.41872641492813928</v>
      </c>
      <c r="C24" s="55">
        <v>0.29059979634477634</v>
      </c>
      <c r="D24" s="55">
        <v>0.1260477849851839</v>
      </c>
      <c r="E24" s="55">
        <v>5.8594919894437533E-2</v>
      </c>
      <c r="F24" s="55">
        <v>5.5110231032405137E-2</v>
      </c>
      <c r="G24" s="55">
        <v>2.2391504265132322E-2</v>
      </c>
      <c r="H24" s="55">
        <v>2.8300324509448121E-2</v>
      </c>
      <c r="I24" s="56">
        <v>2.2902404047735658E-4</v>
      </c>
      <c r="J24" s="57"/>
    </row>
    <row r="25" spans="1:15">
      <c r="A25">
        <v>1999</v>
      </c>
      <c r="B25" s="156">
        <v>0.42173645274506749</v>
      </c>
      <c r="C25" s="55">
        <v>0.28098449940268161</v>
      </c>
      <c r="D25" s="55">
        <v>0.12119997922370872</v>
      </c>
      <c r="E25" s="55">
        <v>6.4595715631933157E-2</v>
      </c>
      <c r="F25" s="55">
        <v>6.0930184241183058E-2</v>
      </c>
      <c r="G25" s="55">
        <v>2.0876462688006886E-2</v>
      </c>
      <c r="H25" s="55">
        <v>2.9480073310627814E-2</v>
      </c>
      <c r="I25" s="56">
        <v>1.9663275679125022E-4</v>
      </c>
      <c r="J25" s="57"/>
    </row>
    <row r="26" spans="1:15">
      <c r="A26">
        <v>2000</v>
      </c>
      <c r="B26" s="156">
        <v>0.45402859166059462</v>
      </c>
      <c r="C26" s="55">
        <v>0.25747546378492286</v>
      </c>
      <c r="D26" s="55">
        <v>0.11400745066245214</v>
      </c>
      <c r="E26" s="55">
        <v>6.6946494117808036E-2</v>
      </c>
      <c r="F26" s="55">
        <v>5.9122956455701398E-2</v>
      </c>
      <c r="G26" s="55">
        <v>1.883532941301232E-2</v>
      </c>
      <c r="H26" s="55">
        <v>2.9364778002415135E-2</v>
      </c>
      <c r="I26" s="56">
        <v>2.1893590309349589E-4</v>
      </c>
      <c r="J26" s="57"/>
    </row>
    <row r="27" spans="1:15">
      <c r="A27">
        <v>2001</v>
      </c>
      <c r="B27" s="156">
        <v>0.46528890937484951</v>
      </c>
      <c r="C27" s="55">
        <v>0.26392605791258761</v>
      </c>
      <c r="D27" s="55">
        <v>0.10513425566020212</v>
      </c>
      <c r="E27" s="55">
        <v>5.6495387219053776E-2</v>
      </c>
      <c r="F27" s="55">
        <v>6.1538144017831961E-2</v>
      </c>
      <c r="G27" s="55">
        <v>1.9730731922095256E-2</v>
      </c>
      <c r="H27" s="55">
        <v>2.7666366256871015E-2</v>
      </c>
      <c r="I27" s="56">
        <v>2.2014763650873368E-4</v>
      </c>
      <c r="J27" s="57"/>
    </row>
    <row r="28" spans="1:15">
      <c r="A28">
        <v>2002</v>
      </c>
      <c r="B28" s="156">
        <v>0.4784962860887978</v>
      </c>
      <c r="C28" s="55">
        <v>0.25017645279467615</v>
      </c>
      <c r="D28" s="55">
        <v>0.10325345343326724</v>
      </c>
      <c r="E28" s="55">
        <v>6.0857728632406814E-2</v>
      </c>
      <c r="F28" s="55">
        <v>5.8928511410614053E-2</v>
      </c>
      <c r="G28" s="55">
        <v>2.1093671226430948E-2</v>
      </c>
      <c r="H28" s="55">
        <v>2.6911571942325144E-2</v>
      </c>
      <c r="I28" s="56">
        <v>2.8232447148186736E-4</v>
      </c>
      <c r="J28" s="57"/>
    </row>
    <row r="29" spans="1:15">
      <c r="A29">
        <v>2003</v>
      </c>
      <c r="B29" s="156">
        <v>0.47492478444939523</v>
      </c>
      <c r="C29" s="55">
        <v>0.2517045492788057</v>
      </c>
      <c r="D29" s="55">
        <v>0.1033061188775888</v>
      </c>
      <c r="E29" s="55">
        <v>5.5211916027811246E-2</v>
      </c>
      <c r="F29" s="55">
        <v>6.6438720359688508E-2</v>
      </c>
      <c r="G29" s="55">
        <v>2.1531503032179468E-2</v>
      </c>
      <c r="H29" s="55">
        <v>2.6596353307801551E-2</v>
      </c>
      <c r="I29" s="56">
        <v>2.860546667294865E-4</v>
      </c>
      <c r="J29" s="57"/>
    </row>
    <row r="30" spans="1:15">
      <c r="A30">
        <v>2004</v>
      </c>
      <c r="B30" s="156">
        <v>0.50229981372413091</v>
      </c>
      <c r="C30" s="55">
        <v>0.24614939445271666</v>
      </c>
      <c r="D30" s="55">
        <v>9.823490050216116E-2</v>
      </c>
      <c r="E30" s="55">
        <v>5.1463983651127601E-2</v>
      </c>
      <c r="F30" s="55">
        <v>5.7413960441998278E-2</v>
      </c>
      <c r="G30" s="55">
        <v>2.0122616542985115E-2</v>
      </c>
      <c r="H30" s="55">
        <v>2.4104338600097659E-2</v>
      </c>
      <c r="I30" s="56">
        <v>2.1099208478264801E-4</v>
      </c>
      <c r="J30" s="57"/>
    </row>
    <row r="31" spans="1:15">
      <c r="A31">
        <v>2005</v>
      </c>
      <c r="B31" s="156">
        <v>0.58484737450322721</v>
      </c>
      <c r="C31" s="55">
        <v>0.14651483976436766</v>
      </c>
      <c r="D31" s="55">
        <v>0.10911243270667155</v>
      </c>
      <c r="E31" s="55">
        <v>5.4967727388032357E-2</v>
      </c>
      <c r="F31" s="55">
        <v>5.9170213365652924E-2</v>
      </c>
      <c r="G31" s="55">
        <v>1.9885002395783422E-2</v>
      </c>
      <c r="H31" s="55">
        <v>2.5291017221454944E-2</v>
      </c>
      <c r="I31" s="56">
        <v>2.1139265480988754E-4</v>
      </c>
      <c r="J31" s="57"/>
    </row>
    <row r="32" spans="1:15">
      <c r="A32">
        <v>2006</v>
      </c>
      <c r="B32" s="156">
        <v>0.59901718363642054</v>
      </c>
      <c r="C32" s="55">
        <v>0.1446546504920789</v>
      </c>
      <c r="D32" s="55">
        <v>9.9797445035167659E-2</v>
      </c>
      <c r="E32" s="55">
        <v>5.0551548673555623E-2</v>
      </c>
      <c r="F32" s="55">
        <v>5.9246209360453939E-2</v>
      </c>
      <c r="G32" s="55">
        <v>1.7286478897170939E-2</v>
      </c>
      <c r="H32" s="55">
        <v>2.9187142007574572E-2</v>
      </c>
      <c r="I32" s="56">
        <v>2.5934189757783612E-4</v>
      </c>
      <c r="J32" s="57"/>
      <c r="O32" s="58"/>
    </row>
    <row r="33" spans="1:15">
      <c r="A33">
        <v>2007</v>
      </c>
      <c r="B33" s="156">
        <v>0.62632696390658171</v>
      </c>
      <c r="C33" s="55">
        <v>0.14760049832429681</v>
      </c>
      <c r="D33" s="55">
        <v>8.6713691635521395E-2</v>
      </c>
      <c r="E33" s="55">
        <v>4.6856521205102558E-2</v>
      </c>
      <c r="F33" s="55">
        <v>5.1260725377691212E-2</v>
      </c>
      <c r="G33" s="55">
        <v>1.6397325893562142E-2</v>
      </c>
      <c r="H33" s="55">
        <v>2.4547735607376605E-2</v>
      </c>
      <c r="I33" s="56">
        <v>2.9653804986752292E-4</v>
      </c>
      <c r="J33" s="57"/>
      <c r="N33" s="58"/>
      <c r="O33" s="58"/>
    </row>
    <row r="34" spans="1:15">
      <c r="A34">
        <v>2008</v>
      </c>
      <c r="B34" s="156">
        <v>0.61401598968353488</v>
      </c>
      <c r="C34" s="55">
        <v>0.15679435943920969</v>
      </c>
      <c r="D34" s="55">
        <v>7.8365778141570877E-2</v>
      </c>
      <c r="E34" s="55">
        <v>4.5494606255613031E-2</v>
      </c>
      <c r="F34" s="55">
        <v>6.2434710885671041E-2</v>
      </c>
      <c r="G34" s="55">
        <v>1.7455090509815085E-2</v>
      </c>
      <c r="H34" s="55">
        <v>2.5014497061859015E-2</v>
      </c>
      <c r="I34" s="56">
        <v>4.2496802272636876E-4</v>
      </c>
      <c r="J34" s="57"/>
      <c r="K34" s="59"/>
      <c r="M34" s="2"/>
      <c r="N34" s="58"/>
      <c r="O34" s="58"/>
    </row>
    <row r="35" spans="1:15">
      <c r="A35">
        <v>2009</v>
      </c>
      <c r="B35" s="157">
        <f>DataTab1!M29</f>
        <v>0.63118161874186618</v>
      </c>
      <c r="C35" s="55">
        <f>DataTab1!M30/DataTab1!N30*C34</f>
        <v>0.12727507747676389</v>
      </c>
      <c r="M35" s="2"/>
      <c r="N35" s="58"/>
      <c r="O35" s="58"/>
    </row>
    <row r="36" spans="1:15">
      <c r="A36">
        <v>2010</v>
      </c>
      <c r="B36" s="192">
        <f>DataTab1!L29</f>
        <v>0.63087675548927147</v>
      </c>
      <c r="C36" s="58">
        <f>C35*DataTab1!L30/DataTab1!M30</f>
        <v>0.12551943884289846</v>
      </c>
      <c r="M36" s="2"/>
      <c r="N36" s="58"/>
      <c r="O36" s="58"/>
    </row>
    <row r="37" spans="1:15">
      <c r="A37">
        <v>2011</v>
      </c>
      <c r="B37" s="192">
        <f>DataTab1!K29</f>
        <v>0.59706353631610865</v>
      </c>
      <c r="C37" s="58">
        <f>C36*DataTab1!K30/DataTab1!L30</f>
        <v>0.13031763019654183</v>
      </c>
      <c r="M37" s="2"/>
      <c r="N37" s="58"/>
      <c r="O37" s="58"/>
    </row>
    <row r="38" spans="1:15">
      <c r="A38">
        <v>2012</v>
      </c>
      <c r="B38" s="192">
        <f>DataTab1!J29</f>
        <v>0.62276265337736503</v>
      </c>
      <c r="C38" s="58">
        <f>C37*DataTab1!J30/DataTab1!K30</f>
        <v>0.10580759351539211</v>
      </c>
      <c r="M38" s="2"/>
      <c r="N38" s="58"/>
      <c r="O38" s="58"/>
    </row>
    <row r="39" spans="1:15">
      <c r="A39">
        <v>2013</v>
      </c>
      <c r="B39" s="193">
        <f>DataTab1!I29</f>
        <v>0.61830016993452308</v>
      </c>
      <c r="C39" s="58">
        <f>C38*DataTab1!I30/DataTab1!J30</f>
        <v>0.11631391349630664</v>
      </c>
    </row>
    <row r="40" spans="1:15">
      <c r="A40">
        <v>2014</v>
      </c>
      <c r="B40" s="194">
        <f>B39</f>
        <v>0.61830016993452308</v>
      </c>
      <c r="C40" s="195">
        <f>C39</f>
        <v>0.11631391349630664</v>
      </c>
    </row>
    <row r="41" spans="1:15">
      <c r="A41">
        <v>2015</v>
      </c>
      <c r="B41" s="194">
        <f>B40</f>
        <v>0.61830016993452308</v>
      </c>
      <c r="C41" s="196">
        <f>C40</f>
        <v>0.11631391349630664</v>
      </c>
    </row>
    <row r="43" spans="1:15">
      <c r="B43" t="s">
        <v>95</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pane xSplit="1" ySplit="1" topLeftCell="B22" activePane="bottomRight" state="frozen"/>
      <selection pane="topRight" activeCell="B1" sqref="B1"/>
      <selection pane="bottomLeft" activeCell="A2" sqref="A2"/>
      <selection pane="bottomRight" activeCell="C46" sqref="C46:C47"/>
    </sheetView>
  </sheetViews>
  <sheetFormatPr baseColWidth="10" defaultRowHeight="15" x14ac:dyDescent="0"/>
  <cols>
    <col min="1" max="16384" width="10.83203125" style="72"/>
  </cols>
  <sheetData>
    <row r="1" spans="1:3">
      <c r="B1" s="72" t="s">
        <v>30</v>
      </c>
      <c r="C1" s="102" t="s">
        <v>86</v>
      </c>
    </row>
    <row r="2" spans="1:3">
      <c r="A2" s="72">
        <v>1970</v>
      </c>
      <c r="B2" s="94">
        <v>1.8088810694264948E-2</v>
      </c>
      <c r="C2" s="94">
        <v>0.4501281765954856</v>
      </c>
    </row>
    <row r="3" spans="1:3" ht="15" customHeight="1">
      <c r="A3" s="72">
        <v>1971</v>
      </c>
      <c r="B3" s="94">
        <v>4.142795814542459E-2</v>
      </c>
      <c r="C3" s="94">
        <v>0.3905309971975392</v>
      </c>
    </row>
    <row r="4" spans="1:3">
      <c r="A4" s="72">
        <v>1972</v>
      </c>
      <c r="B4" s="94">
        <v>7.3390782418514322E-2</v>
      </c>
      <c r="C4" s="94">
        <v>0.36250888539773279</v>
      </c>
    </row>
    <row r="5" spans="1:3">
      <c r="A5" s="72">
        <v>1973</v>
      </c>
      <c r="B5" s="94">
        <v>6.3235995744883186E-2</v>
      </c>
      <c r="C5" s="94">
        <v>0.39211404201147315</v>
      </c>
    </row>
    <row r="6" spans="1:3">
      <c r="A6" s="72">
        <v>1974</v>
      </c>
      <c r="B6" s="94">
        <v>6.0347297604539746E-2</v>
      </c>
      <c r="C6" s="94">
        <v>0.41294521991809602</v>
      </c>
    </row>
    <row r="7" spans="1:3">
      <c r="A7" s="72">
        <v>1975</v>
      </c>
      <c r="B7" s="94">
        <v>0.15858148517669662</v>
      </c>
      <c r="C7" s="94">
        <v>0.2783343389317573</v>
      </c>
    </row>
    <row r="8" spans="1:3">
      <c r="A8" s="72">
        <v>1976</v>
      </c>
      <c r="B8" s="94">
        <v>0.17454679743415494</v>
      </c>
      <c r="C8" s="94">
        <v>0.29064718741234047</v>
      </c>
    </row>
    <row r="9" spans="1:3">
      <c r="A9" s="72">
        <v>1977</v>
      </c>
      <c r="B9" s="94">
        <v>0.19524552331394593</v>
      </c>
      <c r="C9" s="94">
        <v>0.25920674627773438</v>
      </c>
    </row>
    <row r="10" spans="1:3">
      <c r="A10" s="72">
        <v>1978</v>
      </c>
      <c r="B10" s="94">
        <v>0.18482959501195032</v>
      </c>
      <c r="C10" s="94">
        <v>0.26856303851948898</v>
      </c>
    </row>
    <row r="11" spans="1:3">
      <c r="A11" s="72">
        <v>1979</v>
      </c>
      <c r="B11" s="94">
        <v>0.14042651177288545</v>
      </c>
      <c r="C11" s="94">
        <v>0.28289279754717983</v>
      </c>
    </row>
    <row r="12" spans="1:3">
      <c r="A12" s="72">
        <v>1980</v>
      </c>
      <c r="B12" s="94">
        <v>0.11177974899383951</v>
      </c>
      <c r="C12" s="94">
        <v>0.27925049524945472</v>
      </c>
    </row>
    <row r="13" spans="1:3">
      <c r="A13" s="72">
        <v>1981</v>
      </c>
      <c r="B13" s="94">
        <v>0.13803882544276927</v>
      </c>
      <c r="C13" s="94">
        <v>0.26420699276414378</v>
      </c>
    </row>
    <row r="14" spans="1:3">
      <c r="A14" s="72">
        <v>1982</v>
      </c>
      <c r="B14" s="94">
        <v>0.24799876209308336</v>
      </c>
      <c r="C14" s="94">
        <v>0.2398964287271485</v>
      </c>
    </row>
    <row r="15" spans="1:3">
      <c r="A15" s="72">
        <v>1983</v>
      </c>
      <c r="B15" s="94">
        <v>0.29805198988466047</v>
      </c>
      <c r="C15" s="94">
        <v>0.21848151167627147</v>
      </c>
    </row>
    <row r="16" spans="1:3">
      <c r="A16" s="72">
        <v>1984</v>
      </c>
      <c r="B16" s="94">
        <v>0.26489531623047047</v>
      </c>
      <c r="C16" s="94">
        <v>0.237873228866501</v>
      </c>
    </row>
    <row r="17" spans="1:3">
      <c r="A17" s="72">
        <v>1985</v>
      </c>
      <c r="B17" s="94">
        <v>0.26145909168646453</v>
      </c>
      <c r="C17" s="94">
        <v>0.24214290578095105</v>
      </c>
    </row>
    <row r="18" spans="1:3">
      <c r="A18" s="72">
        <v>1986</v>
      </c>
      <c r="B18" s="94">
        <v>0.25223737741729912</v>
      </c>
      <c r="C18" s="94">
        <v>0.24536283524159438</v>
      </c>
    </row>
    <row r="19" spans="1:3">
      <c r="A19" s="72">
        <v>1987</v>
      </c>
      <c r="B19" s="94">
        <v>0.24499974695108018</v>
      </c>
      <c r="C19" s="94">
        <v>0.22181087212122438</v>
      </c>
    </row>
    <row r="20" spans="1:3">
      <c r="A20" s="72">
        <v>1988</v>
      </c>
      <c r="B20" s="94">
        <v>0.2358332037928704</v>
      </c>
      <c r="C20" s="94">
        <v>0.22655664910315215</v>
      </c>
    </row>
    <row r="21" spans="1:3">
      <c r="A21" s="72">
        <v>1989</v>
      </c>
      <c r="B21" s="94">
        <v>0.20877019468400854</v>
      </c>
      <c r="C21" s="94">
        <v>0.24344312892237768</v>
      </c>
    </row>
    <row r="22" spans="1:3">
      <c r="A22" s="72">
        <v>1990</v>
      </c>
      <c r="B22" s="94">
        <v>0.21470665341310718</v>
      </c>
      <c r="C22" s="94">
        <v>0.22227828901152349</v>
      </c>
    </row>
    <row r="23" spans="1:3">
      <c r="A23" s="72">
        <v>1991</v>
      </c>
      <c r="B23" s="94">
        <v>0.24069849481941821</v>
      </c>
      <c r="C23" s="94">
        <v>0.19186689125642009</v>
      </c>
    </row>
    <row r="24" spans="1:3">
      <c r="A24" s="72">
        <v>1992</v>
      </c>
      <c r="B24" s="94">
        <v>0.24666613651773098</v>
      </c>
      <c r="C24" s="94">
        <v>0.18102710864760582</v>
      </c>
    </row>
    <row r="25" spans="1:3">
      <c r="A25" s="72">
        <v>1993</v>
      </c>
      <c r="B25" s="94">
        <v>0.23963026405713489</v>
      </c>
      <c r="C25" s="94">
        <v>0.17392705549881154</v>
      </c>
    </row>
    <row r="26" spans="1:3">
      <c r="A26" s="72">
        <v>1994</v>
      </c>
      <c r="B26" s="94">
        <v>0.29767833123160053</v>
      </c>
      <c r="C26" s="94">
        <v>0.15700687180597195</v>
      </c>
    </row>
    <row r="27" spans="1:3">
      <c r="A27" s="72">
        <v>1995</v>
      </c>
      <c r="B27" s="94">
        <v>0.30950279391091551</v>
      </c>
      <c r="C27" s="94">
        <v>0.15273237829892722</v>
      </c>
    </row>
    <row r="28" spans="1:3">
      <c r="A28" s="72">
        <v>1996</v>
      </c>
      <c r="B28" s="94">
        <v>0.31973753173687292</v>
      </c>
      <c r="C28" s="94">
        <v>0.14069443766176687</v>
      </c>
    </row>
    <row r="29" spans="1:3">
      <c r="A29" s="72">
        <v>1997</v>
      </c>
      <c r="B29" s="94">
        <v>0.2921764722786146</v>
      </c>
      <c r="C29" s="94">
        <v>0.14703750618103489</v>
      </c>
    </row>
    <row r="30" spans="1:3">
      <c r="A30" s="72">
        <v>1998</v>
      </c>
      <c r="B30" s="94">
        <v>0.29787345974550261</v>
      </c>
      <c r="C30" s="94">
        <v>0.14623818235316691</v>
      </c>
    </row>
    <row r="31" spans="1:3">
      <c r="A31" s="72">
        <v>1999</v>
      </c>
      <c r="B31" s="94">
        <v>0.33338294665777085</v>
      </c>
      <c r="C31" s="94">
        <v>0.1287063733354275</v>
      </c>
    </row>
    <row r="32" spans="1:3">
      <c r="A32" s="72">
        <v>2000</v>
      </c>
      <c r="B32" s="94">
        <v>0.35342619548606485</v>
      </c>
      <c r="C32" s="94">
        <v>0.12613002843543933</v>
      </c>
    </row>
    <row r="33" spans="1:3">
      <c r="A33" s="72">
        <v>2001</v>
      </c>
      <c r="B33" s="94">
        <v>0.32718071378555852</v>
      </c>
      <c r="C33" s="94">
        <v>0.12429339515611898</v>
      </c>
    </row>
    <row r="34" spans="1:3">
      <c r="A34" s="72">
        <v>2002</v>
      </c>
      <c r="B34" s="94">
        <v>0.33196906383721297</v>
      </c>
      <c r="C34" s="94">
        <v>0.11716073567230831</v>
      </c>
    </row>
    <row r="35" spans="1:3">
      <c r="A35" s="72">
        <v>2003</v>
      </c>
      <c r="B35" s="94">
        <v>0.34382027034740031</v>
      </c>
      <c r="C35" s="94">
        <v>0.11546175232619194</v>
      </c>
    </row>
    <row r="36" spans="1:3">
      <c r="A36" s="72">
        <v>2004</v>
      </c>
      <c r="B36" s="94">
        <v>0.33950227099823183</v>
      </c>
      <c r="C36" s="94">
        <v>0.11392405063291139</v>
      </c>
    </row>
    <row r="37" spans="1:3">
      <c r="A37" s="72">
        <v>2005</v>
      </c>
      <c r="B37" s="94">
        <v>0.36719102258222469</v>
      </c>
      <c r="C37" s="94">
        <v>0.10552463127878758</v>
      </c>
    </row>
    <row r="38" spans="1:3">
      <c r="A38" s="72">
        <v>2006</v>
      </c>
      <c r="B38" s="94">
        <v>0.40077527399992957</v>
      </c>
      <c r="C38" s="94">
        <v>9.7869402765326768E-2</v>
      </c>
    </row>
    <row r="39" spans="1:3">
      <c r="A39" s="72">
        <v>2007</v>
      </c>
      <c r="B39" s="94">
        <v>0.39638010103410887</v>
      </c>
      <c r="C39" s="94">
        <v>0.10611972041375924</v>
      </c>
    </row>
    <row r="40" spans="1:3">
      <c r="A40" s="72">
        <v>2008</v>
      </c>
      <c r="B40" s="94">
        <v>0.39913957715204207</v>
      </c>
      <c r="C40" s="94">
        <v>8.8367100421236133E-2</v>
      </c>
    </row>
    <row r="41" spans="1:3">
      <c r="A41" s="72">
        <v>2009</v>
      </c>
      <c r="B41" s="94">
        <v>0.41350205560902464</v>
      </c>
      <c r="C41" s="94">
        <v>6.6464532923149744E-2</v>
      </c>
    </row>
    <row r="42" spans="1:3">
      <c r="A42" s="72">
        <v>2010</v>
      </c>
      <c r="B42" s="94">
        <v>0.41832831253370034</v>
      </c>
      <c r="C42" s="94">
        <v>7.2844983206240485E-2</v>
      </c>
    </row>
    <row r="43" spans="1:3">
      <c r="A43" s="72">
        <v>2011</v>
      </c>
      <c r="B43" s="94">
        <v>0.40805416844911302</v>
      </c>
      <c r="C43" s="94">
        <v>7.7748390509489215E-2</v>
      </c>
    </row>
    <row r="44" spans="1:3">
      <c r="A44" s="72">
        <v>2012</v>
      </c>
      <c r="B44" s="94">
        <v>0.40805416844911291</v>
      </c>
      <c r="C44" s="94">
        <v>7.7748390509489201E-2</v>
      </c>
    </row>
    <row r="45" spans="1:3">
      <c r="A45" s="72">
        <v>2013</v>
      </c>
      <c r="B45" s="94">
        <v>0.40805416844911302</v>
      </c>
      <c r="C45" s="94">
        <v>7.7748390509489215E-2</v>
      </c>
    </row>
    <row r="46" spans="1:3">
      <c r="A46" s="72">
        <v>2014</v>
      </c>
      <c r="B46" s="197">
        <f>B45+0.005</f>
        <v>0.41305416844911302</v>
      </c>
      <c r="C46" s="197">
        <f>C45-0.005</f>
        <v>7.2748390509489211E-2</v>
      </c>
    </row>
    <row r="47" spans="1:3">
      <c r="A47" s="72">
        <v>2015</v>
      </c>
      <c r="B47" s="197">
        <f>B46+0.005</f>
        <v>0.41805416844911303</v>
      </c>
      <c r="C47" s="197">
        <f>C46-0.005</f>
        <v>6.7748390509489206E-2</v>
      </c>
    </row>
  </sheetData>
  <pageMargins left="0.75" right="0.75"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C6" sqref="C6:G9"/>
    </sheetView>
  </sheetViews>
  <sheetFormatPr baseColWidth="10" defaultRowHeight="12" x14ac:dyDescent="0"/>
  <cols>
    <col min="1" max="1" width="18.83203125" style="40" customWidth="1"/>
    <col min="2" max="2" width="5.5" style="40" customWidth="1"/>
    <col min="3" max="3" width="28.6640625" style="40" customWidth="1"/>
    <col min="4" max="4" width="13.83203125" style="40" customWidth="1"/>
    <col min="5" max="5" width="22.6640625" style="40" customWidth="1"/>
    <col min="6" max="6" width="13.83203125" style="40" customWidth="1"/>
    <col min="7" max="7" width="28.6640625" style="40" customWidth="1"/>
    <col min="8" max="8" width="5.6640625" style="40" customWidth="1"/>
    <col min="9" max="10" width="20.6640625" style="40" customWidth="1"/>
    <col min="11" max="16384" width="10.83203125" style="40"/>
  </cols>
  <sheetData>
    <row r="1" spans="1:10" ht="13" thickBot="1">
      <c r="B1" s="61"/>
      <c r="C1" s="69"/>
      <c r="D1" s="69"/>
      <c r="E1" s="69"/>
      <c r="F1" s="69"/>
      <c r="G1" s="69"/>
      <c r="H1" s="61"/>
    </row>
    <row r="2" spans="1:10" ht="13" thickTop="1">
      <c r="B2" s="61"/>
      <c r="C2" s="267" t="s">
        <v>96</v>
      </c>
      <c r="D2" s="267"/>
      <c r="E2" s="267"/>
      <c r="F2" s="267"/>
      <c r="G2" s="267"/>
      <c r="H2" s="61"/>
    </row>
    <row r="3" spans="1:10">
      <c r="B3" s="61"/>
      <c r="C3" s="268"/>
      <c r="D3" s="268"/>
      <c r="E3" s="268"/>
      <c r="F3" s="268"/>
      <c r="G3" s="268"/>
      <c r="H3" s="61"/>
    </row>
    <row r="4" spans="1:10">
      <c r="B4" s="61"/>
      <c r="C4" s="268"/>
      <c r="D4" s="268"/>
      <c r="E4" s="268"/>
      <c r="F4" s="268"/>
      <c r="G4" s="268"/>
      <c r="H4" s="61"/>
    </row>
    <row r="5" spans="1:10">
      <c r="B5" s="61"/>
      <c r="C5" s="269"/>
      <c r="D5" s="269"/>
      <c r="E5" s="269"/>
      <c r="F5" s="269"/>
      <c r="G5" s="269"/>
      <c r="H5" s="61"/>
    </row>
    <row r="6" spans="1:10" ht="18" customHeight="1">
      <c r="B6" s="61"/>
      <c r="C6" s="273" t="s">
        <v>116</v>
      </c>
      <c r="D6" s="273"/>
      <c r="E6" s="273"/>
      <c r="F6" s="273"/>
      <c r="G6" s="273"/>
      <c r="H6" s="61"/>
    </row>
    <row r="7" spans="1:10" ht="18" customHeight="1">
      <c r="B7" s="61"/>
      <c r="C7" s="274"/>
      <c r="D7" s="274"/>
      <c r="E7" s="274"/>
      <c r="F7" s="274"/>
      <c r="G7" s="274"/>
      <c r="H7" s="61"/>
    </row>
    <row r="8" spans="1:10" ht="18" customHeight="1">
      <c r="B8" s="61"/>
      <c r="C8" s="274"/>
      <c r="D8" s="274"/>
      <c r="E8" s="274"/>
      <c r="F8" s="274"/>
      <c r="G8" s="274"/>
      <c r="H8" s="61"/>
    </row>
    <row r="9" spans="1:10" ht="18" customHeight="1">
      <c r="B9" s="61"/>
      <c r="C9" s="275"/>
      <c r="D9" s="275"/>
      <c r="E9" s="275"/>
      <c r="F9" s="275"/>
      <c r="G9" s="275"/>
      <c r="H9" s="61"/>
    </row>
    <row r="10" spans="1:10" ht="18">
      <c r="B10" s="61"/>
      <c r="C10" s="95"/>
      <c r="D10" s="95"/>
      <c r="E10" s="95"/>
      <c r="F10" s="95"/>
      <c r="G10" s="95"/>
      <c r="H10" s="61"/>
    </row>
    <row r="11" spans="1:10" ht="36">
      <c r="B11" s="61"/>
      <c r="C11" s="104" t="s">
        <v>31</v>
      </c>
      <c r="D11" s="105"/>
      <c r="E11" s="105"/>
      <c r="F11" s="105"/>
      <c r="G11" s="104" t="s">
        <v>43</v>
      </c>
      <c r="H11" s="61"/>
    </row>
    <row r="12" spans="1:10" ht="18" customHeight="1">
      <c r="A12" s="40">
        <f>210+190+120+110+90+60+60+40+180</f>
        <v>1060</v>
      </c>
      <c r="B12" s="61"/>
      <c r="C12" s="106"/>
      <c r="D12" s="106"/>
      <c r="E12" s="106"/>
      <c r="F12" s="106"/>
      <c r="G12" s="106"/>
      <c r="H12" s="61"/>
    </row>
    <row r="13" spans="1:10" ht="16" customHeight="1">
      <c r="B13" s="61"/>
      <c r="C13" s="262" t="s">
        <v>134</v>
      </c>
      <c r="D13" s="106"/>
      <c r="E13" s="106"/>
      <c r="F13" s="106"/>
      <c r="G13" s="262" t="s">
        <v>68</v>
      </c>
      <c r="H13" s="61"/>
    </row>
    <row r="14" spans="1:10" ht="16" customHeight="1">
      <c r="B14" s="61"/>
      <c r="C14" s="264"/>
      <c r="D14" s="106"/>
      <c r="E14" s="106"/>
      <c r="F14" s="106"/>
      <c r="G14" s="264"/>
      <c r="H14" s="61"/>
      <c r="J14" s="111">
        <f>600/1800*2300</f>
        <v>766.66666666666663</v>
      </c>
    </row>
    <row r="15" spans="1:10" ht="16" customHeight="1">
      <c r="B15" s="61"/>
      <c r="C15" s="264"/>
      <c r="D15" s="106"/>
      <c r="E15" s="106"/>
      <c r="F15" s="106"/>
      <c r="G15" s="264"/>
      <c r="H15" s="61"/>
      <c r="J15" s="111"/>
    </row>
    <row r="16" spans="1:10" ht="16" customHeight="1" thickBot="1">
      <c r="B16" s="61"/>
      <c r="C16" s="264"/>
      <c r="D16" s="106"/>
      <c r="E16" s="106"/>
      <c r="F16" s="106"/>
      <c r="G16" s="264"/>
      <c r="H16" s="61"/>
      <c r="J16" s="111"/>
    </row>
    <row r="17" spans="2:10" ht="16" customHeight="1">
      <c r="B17" s="61"/>
      <c r="C17" s="264"/>
      <c r="D17" s="106"/>
      <c r="E17" s="270" t="s">
        <v>67</v>
      </c>
      <c r="F17" s="106"/>
      <c r="G17" s="264"/>
      <c r="H17" s="61"/>
      <c r="J17" s="111"/>
    </row>
    <row r="18" spans="2:10" ht="16" customHeight="1">
      <c r="B18" s="61"/>
      <c r="C18" s="264"/>
      <c r="D18" s="106"/>
      <c r="E18" s="271"/>
      <c r="F18" s="106"/>
      <c r="G18" s="264"/>
      <c r="H18" s="61"/>
      <c r="J18" s="111"/>
    </row>
    <row r="19" spans="2:10" ht="16" customHeight="1">
      <c r="B19" s="61"/>
      <c r="C19" s="264"/>
      <c r="D19" s="106"/>
      <c r="E19" s="271"/>
      <c r="F19" s="106"/>
      <c r="G19" s="264"/>
      <c r="H19" s="61"/>
      <c r="J19" s="111"/>
    </row>
    <row r="20" spans="2:10" ht="16" customHeight="1">
      <c r="B20" s="61"/>
      <c r="C20" s="264"/>
      <c r="D20" s="106"/>
      <c r="E20" s="271"/>
      <c r="F20" s="106"/>
      <c r="G20" s="264"/>
      <c r="H20" s="61"/>
      <c r="J20" s="111"/>
    </row>
    <row r="21" spans="2:10" ht="16" customHeight="1">
      <c r="B21" s="61"/>
      <c r="C21" s="264"/>
      <c r="D21" s="106"/>
      <c r="E21" s="271"/>
      <c r="F21" s="106"/>
      <c r="G21" s="264"/>
      <c r="H21" s="61"/>
      <c r="J21" s="111"/>
    </row>
    <row r="22" spans="2:10" ht="16" customHeight="1">
      <c r="B22" s="61"/>
      <c r="C22" s="264"/>
      <c r="D22" s="106"/>
      <c r="E22" s="271"/>
      <c r="F22" s="106"/>
      <c r="G22" s="265"/>
      <c r="H22" s="61"/>
      <c r="J22" s="111"/>
    </row>
    <row r="23" spans="2:10" ht="16" customHeight="1">
      <c r="B23" s="61"/>
      <c r="C23" s="264"/>
      <c r="D23" s="106"/>
      <c r="E23" s="271"/>
      <c r="F23" s="106"/>
      <c r="G23" s="107"/>
      <c r="H23" s="61"/>
      <c r="J23" s="111"/>
    </row>
    <row r="24" spans="2:10" ht="16" customHeight="1">
      <c r="B24" s="61"/>
      <c r="C24" s="264"/>
      <c r="D24" s="106"/>
      <c r="E24" s="271"/>
      <c r="F24" s="106"/>
      <c r="G24" s="262" t="s">
        <v>69</v>
      </c>
      <c r="H24" s="61"/>
      <c r="J24" s="111">
        <f>150/1800*2300</f>
        <v>191.66666666666666</v>
      </c>
    </row>
    <row r="25" spans="2:10" ht="16" customHeight="1">
      <c r="B25" s="61"/>
      <c r="C25" s="264"/>
      <c r="D25" s="106"/>
      <c r="E25" s="271"/>
      <c r="F25" s="106"/>
      <c r="G25" s="265"/>
      <c r="H25" s="61"/>
      <c r="J25" s="111"/>
    </row>
    <row r="26" spans="2:10" ht="16" customHeight="1">
      <c r="B26" s="61"/>
      <c r="C26" s="264"/>
      <c r="D26" s="106"/>
      <c r="E26" s="271"/>
      <c r="F26" s="106"/>
      <c r="G26" s="107"/>
      <c r="H26" s="61"/>
      <c r="J26" s="111"/>
    </row>
    <row r="27" spans="2:10" ht="16" customHeight="1">
      <c r="B27" s="61"/>
      <c r="C27" s="265"/>
      <c r="D27" s="106"/>
      <c r="E27" s="271"/>
      <c r="F27" s="106"/>
      <c r="G27" s="262" t="s">
        <v>70</v>
      </c>
      <c r="H27" s="61"/>
      <c r="J27" s="111"/>
    </row>
    <row r="28" spans="2:10" ht="16" customHeight="1">
      <c r="B28" s="61"/>
      <c r="C28" s="108"/>
      <c r="D28" s="106"/>
      <c r="E28" s="271"/>
      <c r="F28" s="106"/>
      <c r="G28" s="264"/>
      <c r="H28" s="61"/>
      <c r="J28" s="111">
        <f>400/1800*2300</f>
        <v>511.11111111111109</v>
      </c>
    </row>
    <row r="29" spans="2:10" ht="16" customHeight="1">
      <c r="B29" s="61"/>
      <c r="C29" s="262" t="s">
        <v>105</v>
      </c>
      <c r="D29" s="106"/>
      <c r="E29" s="271"/>
      <c r="F29" s="106"/>
      <c r="G29" s="264"/>
      <c r="H29" s="61"/>
      <c r="J29" s="111"/>
    </row>
    <row r="30" spans="2:10" ht="16" customHeight="1">
      <c r="B30" s="61"/>
      <c r="C30" s="263"/>
      <c r="D30" s="106"/>
      <c r="E30" s="271"/>
      <c r="F30" s="106"/>
      <c r="G30" s="264"/>
      <c r="H30" s="61"/>
      <c r="J30" s="111"/>
    </row>
    <row r="31" spans="2:10" ht="16" customHeight="1">
      <c r="B31" s="61"/>
      <c r="C31" s="108"/>
      <c r="D31" s="106"/>
      <c r="E31" s="271"/>
      <c r="F31" s="106"/>
      <c r="G31" s="264"/>
      <c r="H31" s="61"/>
      <c r="J31" s="111"/>
    </row>
    <row r="32" spans="2:10" ht="16" customHeight="1">
      <c r="B32" s="61"/>
      <c r="C32" s="262" t="s">
        <v>117</v>
      </c>
      <c r="D32" s="106"/>
      <c r="E32" s="271"/>
      <c r="F32" s="106"/>
      <c r="G32" s="265"/>
      <c r="H32" s="61"/>
      <c r="J32" s="111"/>
    </row>
    <row r="33" spans="2:10" ht="16" customHeight="1">
      <c r="B33" s="61"/>
      <c r="C33" s="263"/>
      <c r="D33" s="106"/>
      <c r="E33" s="271"/>
      <c r="F33" s="106"/>
      <c r="G33" s="107"/>
      <c r="H33" s="61"/>
      <c r="J33" s="111"/>
    </row>
    <row r="34" spans="2:10" ht="16" customHeight="1">
      <c r="B34" s="61"/>
      <c r="C34" s="108"/>
      <c r="D34" s="106"/>
      <c r="E34" s="271"/>
      <c r="F34" s="106"/>
      <c r="G34" s="262" t="s">
        <v>71</v>
      </c>
      <c r="H34" s="61"/>
      <c r="J34" s="111"/>
    </row>
    <row r="35" spans="2:10" ht="16" customHeight="1">
      <c r="B35" s="61"/>
      <c r="C35" s="262" t="s">
        <v>106</v>
      </c>
      <c r="D35" s="106"/>
      <c r="E35" s="271"/>
      <c r="F35" s="106"/>
      <c r="G35" s="264"/>
      <c r="H35" s="61"/>
      <c r="J35" s="111">
        <f>450/1800*2300</f>
        <v>575</v>
      </c>
    </row>
    <row r="36" spans="2:10" ht="16" customHeight="1">
      <c r="B36" s="61"/>
      <c r="C36" s="263"/>
      <c r="D36" s="106"/>
      <c r="E36" s="271"/>
      <c r="F36" s="106"/>
      <c r="G36" s="264"/>
      <c r="H36" s="61"/>
      <c r="J36" s="111"/>
    </row>
    <row r="37" spans="2:10" ht="16" customHeight="1">
      <c r="B37" s="61"/>
      <c r="C37" s="108"/>
      <c r="D37" s="106"/>
      <c r="E37" s="271"/>
      <c r="F37" s="106"/>
      <c r="G37" s="264"/>
      <c r="H37" s="61"/>
      <c r="J37" s="111"/>
    </row>
    <row r="38" spans="2:10" ht="28" customHeight="1" thickBot="1">
      <c r="B38" s="61"/>
      <c r="C38" s="109" t="s">
        <v>118</v>
      </c>
      <c r="D38" s="106"/>
      <c r="E38" s="272"/>
      <c r="F38" s="106"/>
      <c r="G38" s="264"/>
      <c r="H38" s="61"/>
      <c r="J38" s="111"/>
    </row>
    <row r="39" spans="2:10" ht="16" customHeight="1">
      <c r="B39" s="61"/>
      <c r="C39" s="108"/>
      <c r="D39" s="106"/>
      <c r="E39" s="106"/>
      <c r="F39" s="106"/>
      <c r="G39" s="110"/>
      <c r="H39" s="61"/>
      <c r="J39" s="111"/>
    </row>
    <row r="40" spans="2:10" ht="34" customHeight="1">
      <c r="B40" s="61"/>
      <c r="C40" s="109" t="s">
        <v>66</v>
      </c>
      <c r="D40" s="106"/>
      <c r="E40" s="106"/>
      <c r="F40" s="106"/>
      <c r="G40" s="262" t="s">
        <v>72</v>
      </c>
      <c r="H40" s="61"/>
      <c r="J40" s="111">
        <f>200/1800*2300</f>
        <v>255.55555555555554</v>
      </c>
    </row>
    <row r="41" spans="2:10" ht="16" customHeight="1">
      <c r="B41" s="61"/>
      <c r="C41" s="108"/>
      <c r="D41" s="106"/>
      <c r="E41" s="106"/>
      <c r="F41" s="106"/>
      <c r="G41" s="264"/>
      <c r="H41" s="61"/>
    </row>
    <row r="42" spans="2:10" ht="16" customHeight="1">
      <c r="B42" s="61"/>
      <c r="C42" s="109" t="s">
        <v>119</v>
      </c>
      <c r="D42" s="106"/>
      <c r="E42" s="106"/>
      <c r="F42" s="106"/>
      <c r="G42" s="265"/>
      <c r="H42" s="61"/>
    </row>
    <row r="43" spans="2:10" ht="16" customHeight="1" thickBot="1">
      <c r="B43" s="61"/>
      <c r="C43" s="108"/>
      <c r="D43" s="106"/>
      <c r="E43" s="106"/>
      <c r="F43" s="106"/>
      <c r="G43" s="107"/>
      <c r="H43" s="61"/>
    </row>
    <row r="44" spans="2:10" s="66" customFormat="1" ht="17" customHeight="1" thickTop="1">
      <c r="B44" s="70"/>
      <c r="C44" s="266"/>
      <c r="D44" s="266"/>
      <c r="E44" s="266"/>
      <c r="F44" s="266"/>
      <c r="G44" s="266"/>
      <c r="H44" s="70"/>
    </row>
    <row r="47" spans="2:10">
      <c r="C47" s="40">
        <f>1060+180+310+260+230+120+140</f>
        <v>2300</v>
      </c>
      <c r="G47" s="40">
        <f>250+600+500+200+750</f>
        <v>2300</v>
      </c>
    </row>
  </sheetData>
  <mergeCells count="13">
    <mergeCell ref="C35:C36"/>
    <mergeCell ref="G40:G42"/>
    <mergeCell ref="C44:G44"/>
    <mergeCell ref="C2:G5"/>
    <mergeCell ref="C13:C27"/>
    <mergeCell ref="G13:G22"/>
    <mergeCell ref="E17:E38"/>
    <mergeCell ref="G24:G25"/>
    <mergeCell ref="G27:G32"/>
    <mergeCell ref="C29:C30"/>
    <mergeCell ref="C32:C33"/>
    <mergeCell ref="G34:G38"/>
    <mergeCell ref="C6:G9"/>
  </mergeCells>
  <printOptions horizontalCentered="1" verticalCentered="1"/>
  <pageMargins left="0.78740157480314965" right="0.78740157480314965" top="0.98425196850393704" bottom="0.98425196850393704" header="0.51181102362204722" footer="0.51181102362204722"/>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13" workbookViewId="0">
      <selection activeCell="O33" sqref="O33"/>
    </sheetView>
  </sheetViews>
  <sheetFormatPr baseColWidth="10" defaultRowHeight="12" x14ac:dyDescent="0"/>
  <cols>
    <col min="1" max="1" width="18.83203125" style="40" customWidth="1"/>
    <col min="2" max="2" width="5.5" style="40" customWidth="1"/>
    <col min="3" max="3" width="28.6640625" style="40" customWidth="1"/>
    <col min="4" max="4" width="13.83203125" style="40" customWidth="1"/>
    <col min="5" max="5" width="22.6640625" style="40" customWidth="1"/>
    <col min="6" max="6" width="13.83203125" style="40" customWidth="1"/>
    <col min="7" max="7" width="28.6640625" style="40" customWidth="1"/>
    <col min="8" max="8" width="5.6640625" style="40" customWidth="1"/>
    <col min="9" max="10" width="20.6640625" style="40" customWidth="1"/>
    <col min="11" max="16384" width="10.83203125" style="40"/>
  </cols>
  <sheetData>
    <row r="1" spans="1:10" ht="13" thickBot="1">
      <c r="B1" s="61"/>
      <c r="C1" s="69"/>
      <c r="D1" s="69"/>
      <c r="E1" s="69"/>
      <c r="F1" s="69"/>
      <c r="G1" s="69"/>
      <c r="H1" s="61"/>
    </row>
    <row r="2" spans="1:10" ht="13" thickTop="1">
      <c r="B2" s="61"/>
      <c r="C2" s="267" t="s">
        <v>135</v>
      </c>
      <c r="D2" s="267"/>
      <c r="E2" s="267"/>
      <c r="F2" s="267"/>
      <c r="G2" s="267"/>
      <c r="H2" s="61"/>
    </row>
    <row r="3" spans="1:10">
      <c r="B3" s="61"/>
      <c r="C3" s="268"/>
      <c r="D3" s="268"/>
      <c r="E3" s="268"/>
      <c r="F3" s="268"/>
      <c r="G3" s="268"/>
      <c r="H3" s="61"/>
    </row>
    <row r="4" spans="1:10">
      <c r="B4" s="61"/>
      <c r="C4" s="268"/>
      <c r="D4" s="268"/>
      <c r="E4" s="268"/>
      <c r="F4" s="268"/>
      <c r="G4" s="268"/>
      <c r="H4" s="61"/>
    </row>
    <row r="5" spans="1:10">
      <c r="B5" s="61"/>
      <c r="C5" s="269"/>
      <c r="D5" s="269"/>
      <c r="E5" s="269"/>
      <c r="F5" s="269"/>
      <c r="G5" s="269"/>
      <c r="H5" s="61"/>
    </row>
    <row r="6" spans="1:10" ht="18" customHeight="1">
      <c r="B6" s="61"/>
      <c r="C6" s="273" t="s">
        <v>139</v>
      </c>
      <c r="D6" s="273"/>
      <c r="E6" s="273"/>
      <c r="F6" s="273"/>
      <c r="G6" s="273"/>
      <c r="H6" s="61"/>
    </row>
    <row r="7" spans="1:10" ht="18" customHeight="1">
      <c r="B7" s="61"/>
      <c r="C7" s="274"/>
      <c r="D7" s="274"/>
      <c r="E7" s="274"/>
      <c r="F7" s="274"/>
      <c r="G7" s="274"/>
      <c r="H7" s="61"/>
    </row>
    <row r="8" spans="1:10" ht="18" customHeight="1">
      <c r="B8" s="61"/>
      <c r="C8" s="274"/>
      <c r="D8" s="274"/>
      <c r="E8" s="274"/>
      <c r="F8" s="274"/>
      <c r="G8" s="274"/>
      <c r="H8" s="61"/>
    </row>
    <row r="9" spans="1:10" ht="18" customHeight="1">
      <c r="B9" s="61"/>
      <c r="C9" s="275"/>
      <c r="D9" s="275"/>
      <c r="E9" s="275"/>
      <c r="F9" s="275"/>
      <c r="G9" s="275"/>
      <c r="H9" s="61"/>
    </row>
    <row r="10" spans="1:10" ht="18">
      <c r="B10" s="61"/>
      <c r="C10" s="160"/>
      <c r="D10" s="160"/>
      <c r="E10" s="160"/>
      <c r="F10" s="160"/>
      <c r="G10" s="160"/>
      <c r="H10" s="61"/>
    </row>
    <row r="11" spans="1:10" ht="36">
      <c r="B11" s="61"/>
      <c r="C11" s="198" t="s">
        <v>136</v>
      </c>
      <c r="D11" s="160"/>
      <c r="E11" s="160"/>
      <c r="F11" s="160"/>
      <c r="G11" s="198" t="s">
        <v>137</v>
      </c>
      <c r="H11" s="61"/>
    </row>
    <row r="12" spans="1:10" ht="18" customHeight="1">
      <c r="A12" s="40">
        <f>190+170+110+100+80+50+50+40+170</f>
        <v>960</v>
      </c>
      <c r="B12" s="61"/>
      <c r="C12" s="61"/>
      <c r="D12" s="61"/>
      <c r="E12" s="61"/>
      <c r="F12" s="61"/>
      <c r="G12" s="61"/>
      <c r="H12" s="61"/>
    </row>
    <row r="13" spans="1:10" ht="16" customHeight="1">
      <c r="B13" s="61"/>
      <c r="C13" s="276" t="s">
        <v>140</v>
      </c>
      <c r="D13" s="61"/>
      <c r="E13" s="61"/>
      <c r="F13" s="61"/>
      <c r="G13" s="276" t="s">
        <v>148</v>
      </c>
      <c r="H13" s="61"/>
    </row>
    <row r="14" spans="1:10" ht="16" customHeight="1">
      <c r="B14" s="61"/>
      <c r="C14" s="278"/>
      <c r="D14" s="61"/>
      <c r="E14" s="61"/>
      <c r="F14" s="61"/>
      <c r="G14" s="278"/>
      <c r="H14" s="61"/>
      <c r="J14" s="111">
        <f>600/1800*2300</f>
        <v>766.66666666666663</v>
      </c>
    </row>
    <row r="15" spans="1:10" ht="16" customHeight="1">
      <c r="B15" s="61"/>
      <c r="C15" s="278"/>
      <c r="D15" s="61"/>
      <c r="E15" s="61"/>
      <c r="F15" s="61"/>
      <c r="G15" s="278"/>
      <c r="H15" s="61"/>
      <c r="J15" s="111"/>
    </row>
    <row r="16" spans="1:10" ht="16" customHeight="1" thickBot="1">
      <c r="B16" s="61"/>
      <c r="C16" s="278"/>
      <c r="D16" s="61"/>
      <c r="E16" s="61"/>
      <c r="F16" s="61"/>
      <c r="G16" s="278"/>
      <c r="H16" s="61"/>
      <c r="J16" s="111"/>
    </row>
    <row r="17" spans="2:10" ht="16" customHeight="1">
      <c r="B17" s="61"/>
      <c r="C17" s="278"/>
      <c r="D17" s="61"/>
      <c r="E17" s="280" t="s">
        <v>147</v>
      </c>
      <c r="F17" s="61"/>
      <c r="G17" s="278"/>
      <c r="H17" s="61"/>
      <c r="J17" s="111"/>
    </row>
    <row r="18" spans="2:10" ht="16" customHeight="1">
      <c r="B18" s="61"/>
      <c r="C18" s="278"/>
      <c r="D18" s="61"/>
      <c r="E18" s="281"/>
      <c r="F18" s="61"/>
      <c r="G18" s="278"/>
      <c r="H18" s="61"/>
      <c r="J18" s="111"/>
    </row>
    <row r="19" spans="2:10" ht="16" customHeight="1">
      <c r="B19" s="61"/>
      <c r="C19" s="278"/>
      <c r="D19" s="61"/>
      <c r="E19" s="281"/>
      <c r="F19" s="61"/>
      <c r="G19" s="278"/>
      <c r="H19" s="61"/>
      <c r="J19" s="111"/>
    </row>
    <row r="20" spans="2:10" ht="16" customHeight="1">
      <c r="B20" s="61"/>
      <c r="C20" s="278"/>
      <c r="D20" s="61"/>
      <c r="E20" s="281"/>
      <c r="F20" s="61"/>
      <c r="G20" s="278"/>
      <c r="H20" s="61"/>
      <c r="J20" s="111"/>
    </row>
    <row r="21" spans="2:10" ht="16" customHeight="1">
      <c r="B21" s="61"/>
      <c r="C21" s="278"/>
      <c r="D21" s="61"/>
      <c r="E21" s="281"/>
      <c r="F21" s="61"/>
      <c r="G21" s="278"/>
      <c r="H21" s="61"/>
      <c r="J21" s="111"/>
    </row>
    <row r="22" spans="2:10" ht="16" customHeight="1">
      <c r="B22" s="61"/>
      <c r="C22" s="278"/>
      <c r="D22" s="61"/>
      <c r="E22" s="281"/>
      <c r="F22" s="61"/>
      <c r="G22" s="279"/>
      <c r="H22" s="61"/>
      <c r="J22" s="111"/>
    </row>
    <row r="23" spans="2:10" ht="16" customHeight="1">
      <c r="B23" s="61"/>
      <c r="C23" s="278"/>
      <c r="D23" s="61"/>
      <c r="E23" s="281"/>
      <c r="F23" s="61"/>
      <c r="G23" s="199"/>
      <c r="H23" s="61"/>
      <c r="J23" s="111"/>
    </row>
    <row r="24" spans="2:10" ht="16" customHeight="1">
      <c r="B24" s="61"/>
      <c r="C24" s="278"/>
      <c r="D24" s="61"/>
      <c r="E24" s="281"/>
      <c r="F24" s="61"/>
      <c r="G24" s="276" t="s">
        <v>149</v>
      </c>
      <c r="H24" s="61"/>
      <c r="J24" s="111">
        <f>150/1800*2300</f>
        <v>191.66666666666666</v>
      </c>
    </row>
    <row r="25" spans="2:10" ht="16" customHeight="1">
      <c r="B25" s="61"/>
      <c r="C25" s="278"/>
      <c r="D25" s="61"/>
      <c r="E25" s="281"/>
      <c r="F25" s="61"/>
      <c r="G25" s="279"/>
      <c r="H25" s="61"/>
      <c r="J25" s="111"/>
    </row>
    <row r="26" spans="2:10" ht="16" customHeight="1">
      <c r="B26" s="61"/>
      <c r="C26" s="278"/>
      <c r="D26" s="61"/>
      <c r="E26" s="281"/>
      <c r="F26" s="61"/>
      <c r="G26" s="199"/>
      <c r="H26" s="61"/>
      <c r="J26" s="111"/>
    </row>
    <row r="27" spans="2:10" ht="16" customHeight="1">
      <c r="B27" s="61"/>
      <c r="C27" s="279"/>
      <c r="D27" s="61"/>
      <c r="E27" s="281"/>
      <c r="F27" s="61"/>
      <c r="G27" s="276" t="s">
        <v>150</v>
      </c>
      <c r="H27" s="61"/>
      <c r="J27" s="111"/>
    </row>
    <row r="28" spans="2:10" ht="16" customHeight="1">
      <c r="B28" s="61"/>
      <c r="C28" s="200"/>
      <c r="D28" s="61"/>
      <c r="E28" s="281"/>
      <c r="F28" s="61"/>
      <c r="G28" s="278"/>
      <c r="H28" s="61"/>
      <c r="J28" s="111">
        <f>400/1800*2300</f>
        <v>511.11111111111109</v>
      </c>
    </row>
    <row r="29" spans="2:10" ht="16" customHeight="1">
      <c r="B29" s="61"/>
      <c r="C29" s="276" t="s">
        <v>141</v>
      </c>
      <c r="D29" s="61"/>
      <c r="E29" s="281"/>
      <c r="F29" s="61"/>
      <c r="G29" s="278"/>
      <c r="H29" s="61"/>
      <c r="J29" s="111"/>
    </row>
    <row r="30" spans="2:10" ht="16" customHeight="1">
      <c r="B30" s="61"/>
      <c r="C30" s="277"/>
      <c r="D30" s="61"/>
      <c r="E30" s="281"/>
      <c r="F30" s="61"/>
      <c r="G30" s="278"/>
      <c r="H30" s="61"/>
      <c r="J30" s="111"/>
    </row>
    <row r="31" spans="2:10" ht="16" customHeight="1">
      <c r="B31" s="61"/>
      <c r="C31" s="200"/>
      <c r="D31" s="61"/>
      <c r="E31" s="281"/>
      <c r="F31" s="61"/>
      <c r="G31" s="278"/>
      <c r="H31" s="61"/>
      <c r="J31" s="111"/>
    </row>
    <row r="32" spans="2:10" ht="16" customHeight="1">
      <c r="B32" s="61"/>
      <c r="C32" s="276" t="s">
        <v>142</v>
      </c>
      <c r="D32" s="61"/>
      <c r="E32" s="281"/>
      <c r="F32" s="61"/>
      <c r="G32" s="279"/>
      <c r="H32" s="61"/>
      <c r="J32" s="111"/>
    </row>
    <row r="33" spans="2:10" ht="16" customHeight="1">
      <c r="B33" s="61"/>
      <c r="C33" s="277"/>
      <c r="D33" s="61"/>
      <c r="E33" s="281"/>
      <c r="F33" s="61"/>
      <c r="G33" s="199"/>
      <c r="H33" s="61"/>
      <c r="J33" s="111"/>
    </row>
    <row r="34" spans="2:10" ht="16" customHeight="1">
      <c r="B34" s="61"/>
      <c r="C34" s="200"/>
      <c r="D34" s="61"/>
      <c r="E34" s="281"/>
      <c r="F34" s="61"/>
      <c r="G34" s="276" t="s">
        <v>151</v>
      </c>
      <c r="H34" s="61"/>
      <c r="J34" s="111"/>
    </row>
    <row r="35" spans="2:10" ht="16" customHeight="1">
      <c r="B35" s="61"/>
      <c r="C35" s="276" t="s">
        <v>143</v>
      </c>
      <c r="D35" s="61"/>
      <c r="E35" s="281"/>
      <c r="F35" s="61"/>
      <c r="G35" s="278"/>
      <c r="H35" s="61"/>
      <c r="J35" s="111">
        <f>450/1800*2300</f>
        <v>575</v>
      </c>
    </row>
    <row r="36" spans="2:10" ht="16" customHeight="1">
      <c r="B36" s="61"/>
      <c r="C36" s="277"/>
      <c r="D36" s="61"/>
      <c r="E36" s="281"/>
      <c r="F36" s="61"/>
      <c r="G36" s="278"/>
      <c r="H36" s="61"/>
      <c r="J36" s="111"/>
    </row>
    <row r="37" spans="2:10" ht="16" customHeight="1">
      <c r="B37" s="61"/>
      <c r="C37" s="200"/>
      <c r="D37" s="61"/>
      <c r="E37" s="281"/>
      <c r="F37" s="61"/>
      <c r="G37" s="278"/>
      <c r="H37" s="61"/>
      <c r="J37" s="111"/>
    </row>
    <row r="38" spans="2:10" ht="28" customHeight="1" thickBot="1">
      <c r="B38" s="61"/>
      <c r="C38" s="203" t="s">
        <v>144</v>
      </c>
      <c r="D38" s="61"/>
      <c r="E38" s="282"/>
      <c r="F38" s="61"/>
      <c r="G38" s="278"/>
      <c r="H38" s="61"/>
      <c r="J38" s="111"/>
    </row>
    <row r="39" spans="2:10" ht="16" customHeight="1">
      <c r="B39" s="61"/>
      <c r="C39" s="200"/>
      <c r="D39" s="61"/>
      <c r="E39" s="61"/>
      <c r="F39" s="61"/>
      <c r="G39" s="201"/>
      <c r="H39" s="61"/>
      <c r="J39" s="111"/>
    </row>
    <row r="40" spans="2:10" ht="34" customHeight="1">
      <c r="B40" s="61"/>
      <c r="C40" s="203" t="s">
        <v>145</v>
      </c>
      <c r="D40" s="61"/>
      <c r="E40" s="61"/>
      <c r="F40" s="61"/>
      <c r="G40" s="276" t="s">
        <v>152</v>
      </c>
      <c r="H40" s="61"/>
      <c r="J40" s="111">
        <f>200/1800*2300</f>
        <v>255.55555555555554</v>
      </c>
    </row>
    <row r="41" spans="2:10" ht="16" customHeight="1">
      <c r="B41" s="61"/>
      <c r="C41" s="200"/>
      <c r="D41" s="61"/>
      <c r="E41" s="61"/>
      <c r="F41" s="61"/>
      <c r="G41" s="278"/>
      <c r="H41" s="61"/>
    </row>
    <row r="42" spans="2:10" ht="16" customHeight="1">
      <c r="B42" s="61"/>
      <c r="C42" s="203" t="s">
        <v>146</v>
      </c>
      <c r="D42" s="61"/>
      <c r="E42" s="61"/>
      <c r="F42" s="61"/>
      <c r="G42" s="279"/>
      <c r="H42" s="61"/>
    </row>
    <row r="43" spans="2:10" ht="16" customHeight="1" thickBot="1">
      <c r="B43" s="61"/>
      <c r="C43" s="200"/>
      <c r="D43" s="61"/>
      <c r="E43" s="61"/>
      <c r="F43" s="61"/>
      <c r="G43" s="199"/>
      <c r="H43" s="61"/>
    </row>
    <row r="44" spans="2:10" s="66" customFormat="1" ht="17" customHeight="1" thickTop="1">
      <c r="B44" s="70"/>
      <c r="C44" s="266"/>
      <c r="D44" s="266"/>
      <c r="E44" s="266"/>
      <c r="F44" s="266"/>
      <c r="G44" s="266"/>
      <c r="H44" s="70"/>
    </row>
    <row r="47" spans="2:10">
      <c r="C47" s="40">
        <f>960+170+280+240+210+110+130</f>
        <v>2100</v>
      </c>
      <c r="G47" s="40">
        <f>250+600+500+200+750</f>
        <v>2300</v>
      </c>
    </row>
  </sheetData>
  <mergeCells count="13">
    <mergeCell ref="C35:C36"/>
    <mergeCell ref="G40:G42"/>
    <mergeCell ref="C44:G44"/>
    <mergeCell ref="C2:G5"/>
    <mergeCell ref="C6:G9"/>
    <mergeCell ref="C13:C27"/>
    <mergeCell ref="G13:G22"/>
    <mergeCell ref="E17:E38"/>
    <mergeCell ref="G24:G25"/>
    <mergeCell ref="G27:G32"/>
    <mergeCell ref="C29:C30"/>
    <mergeCell ref="C32:C33"/>
    <mergeCell ref="G34:G38"/>
  </mergeCells>
  <printOptions horizontalCentered="1" verticalCentered="1"/>
  <pageMargins left="0.78740157480314965" right="0.78740157480314965" top="0.98425196850393704" bottom="0.98425196850393704" header="0.51181102362204722" footer="0.51181102362204722"/>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9"/>
  <sheetViews>
    <sheetView workbookViewId="0">
      <pane xSplit="1" ySplit="3" topLeftCell="B4" activePane="bottomRight" state="frozen"/>
      <selection pane="topRight" activeCell="B1" sqref="B1"/>
      <selection pane="bottomLeft" activeCell="A3" sqref="A3"/>
      <selection pane="bottomRight" activeCell="B5" sqref="B5:B7"/>
    </sheetView>
  </sheetViews>
  <sheetFormatPr baseColWidth="10" defaultRowHeight="15" x14ac:dyDescent="0"/>
  <cols>
    <col min="1" max="1" width="29.5" style="72" customWidth="1"/>
    <col min="2" max="6" width="10.83203125" style="72" customWidth="1"/>
    <col min="7" max="7" width="18.33203125" style="72" customWidth="1"/>
    <col min="8" max="16384" width="10.83203125" style="72"/>
  </cols>
  <sheetData>
    <row r="2" spans="1:20" ht="16" thickBot="1">
      <c r="H2" s="100" t="s">
        <v>60</v>
      </c>
    </row>
    <row r="3" spans="1:20" s="73" customFormat="1" ht="45">
      <c r="A3" s="83"/>
      <c r="B3" s="96" t="s">
        <v>40</v>
      </c>
      <c r="C3" s="96" t="s">
        <v>41</v>
      </c>
      <c r="D3" s="97" t="s">
        <v>42</v>
      </c>
      <c r="E3" s="202" t="s">
        <v>138</v>
      </c>
      <c r="F3" s="149"/>
      <c r="H3" s="101" t="s">
        <v>61</v>
      </c>
      <c r="I3" s="73">
        <v>2013</v>
      </c>
      <c r="J3" s="73">
        <v>2012</v>
      </c>
      <c r="K3" s="73">
        <v>2011</v>
      </c>
      <c r="L3" s="73">
        <v>2010</v>
      </c>
      <c r="M3" s="73">
        <v>2009</v>
      </c>
      <c r="N3" s="73">
        <v>2008</v>
      </c>
    </row>
    <row r="4" spans="1:20">
      <c r="A4" s="78" t="s">
        <v>16</v>
      </c>
      <c r="B4" s="84">
        <f>ROUND(C4*B$24,-1)</f>
        <v>1060</v>
      </c>
      <c r="C4" s="90">
        <f>56%-10%</f>
        <v>0.46000000000000008</v>
      </c>
      <c r="D4" s="86">
        <f>SUM(D5:D16)</f>
        <v>25.725017045454539</v>
      </c>
      <c r="E4" s="84">
        <f>SUM(E5:E16)</f>
        <v>960</v>
      </c>
      <c r="F4" s="150"/>
      <c r="H4" s="74">
        <f>AVERAGE(I4:N4)</f>
        <v>17427.220833333329</v>
      </c>
      <c r="I4" s="74">
        <v>8980.067500000001</v>
      </c>
      <c r="J4" s="74">
        <v>8933.8829999999962</v>
      </c>
      <c r="K4" s="74">
        <v>14220.773999999998</v>
      </c>
      <c r="L4" s="74">
        <v>15565.084750000004</v>
      </c>
      <c r="M4" s="74">
        <v>19608.090749999996</v>
      </c>
      <c r="N4" s="74">
        <v>37255.424999999988</v>
      </c>
      <c r="O4" s="74"/>
      <c r="P4" s="74"/>
      <c r="Q4" s="74"/>
      <c r="R4" s="74"/>
      <c r="S4" s="74"/>
      <c r="T4" s="74"/>
    </row>
    <row r="5" spans="1:20">
      <c r="A5" s="87" t="s">
        <v>48</v>
      </c>
      <c r="B5" s="88">
        <f t="shared" ref="B5:B16" si="0">ROUND(B$4*H5/H$4,-1)</f>
        <v>210</v>
      </c>
      <c r="C5" s="190">
        <f t="shared" ref="C5:C16" si="1">B5/B$24</f>
        <v>9.1304347826086957E-2</v>
      </c>
      <c r="D5" s="86">
        <f>DataTab4!B6*(1-DataTab4!H6)*(DataTab4!O$3*DataTab4!J6+DataTab4!P$3*DataTab4!K6+DataTab4!L6)</f>
        <v>4.1202000000000005</v>
      </c>
      <c r="E5" s="84">
        <f>ROUND(C5*E$24-5,-1)</f>
        <v>190</v>
      </c>
      <c r="F5" s="150"/>
      <c r="H5" s="74">
        <f t="shared" ref="H5:H16" si="2">AVERAGE(I5:N5)</f>
        <v>3421.8634999999999</v>
      </c>
      <c r="I5" s="74">
        <v>1514.2049999999999</v>
      </c>
      <c r="J5" s="74">
        <v>1733.569</v>
      </c>
      <c r="K5" s="74">
        <v>2663.0279999999998</v>
      </c>
      <c r="L5" s="74">
        <v>2624.386</v>
      </c>
      <c r="M5" s="74">
        <v>4133.2389999999996</v>
      </c>
      <c r="N5" s="74">
        <v>7862.7539999999999</v>
      </c>
      <c r="O5" s="74"/>
      <c r="P5" s="74"/>
      <c r="Q5" s="74"/>
      <c r="R5" s="74"/>
      <c r="S5" s="74"/>
      <c r="T5" s="74"/>
    </row>
    <row r="6" spans="1:20">
      <c r="A6" s="87" t="s">
        <v>49</v>
      </c>
      <c r="B6" s="88">
        <f t="shared" si="0"/>
        <v>190</v>
      </c>
      <c r="C6" s="190">
        <f t="shared" si="1"/>
        <v>8.2608695652173908E-2</v>
      </c>
      <c r="D6" s="86">
        <f>DataTab4!B7*(1-DataTab4!H7)*(DataTab4!O$3*DataTab4!J7+DataTab4!P$3*DataTab4!K7+DataTab4!L7)</f>
        <v>8.1367499999999993</v>
      </c>
      <c r="E6" s="84">
        <f t="shared" ref="E6:E23" si="3">ROUND(C6*E$24,-1)</f>
        <v>170</v>
      </c>
      <c r="F6" s="150"/>
      <c r="H6" s="74">
        <f t="shared" si="2"/>
        <v>3188.6756666666665</v>
      </c>
      <c r="I6" s="74">
        <v>1641.261</v>
      </c>
      <c r="J6" s="74">
        <v>1659.261</v>
      </c>
      <c r="K6" s="74">
        <v>2573.71</v>
      </c>
      <c r="L6" s="74">
        <v>2868.6219999999998</v>
      </c>
      <c r="M6" s="74">
        <v>3794.5050000000001</v>
      </c>
      <c r="N6" s="74">
        <v>6594.6949999999997</v>
      </c>
      <c r="O6" s="74"/>
      <c r="P6" s="74"/>
      <c r="Q6" s="74"/>
      <c r="R6" s="74"/>
      <c r="S6" s="74"/>
      <c r="T6" s="74"/>
    </row>
    <row r="7" spans="1:20">
      <c r="A7" s="89" t="s">
        <v>50</v>
      </c>
      <c r="B7" s="88">
        <f t="shared" si="0"/>
        <v>120</v>
      </c>
      <c r="C7" s="191">
        <f t="shared" si="1"/>
        <v>5.2173913043478258E-2</v>
      </c>
      <c r="D7" s="86">
        <f>DataTab4!B8*(1-DataTab4!H8)*(DataTab4!O$3*DataTab4!J8+DataTab4!P$3*DataTab4!K8+DataTab4!L8)</f>
        <v>1.6290000000000002</v>
      </c>
      <c r="E7" s="84">
        <f t="shared" si="3"/>
        <v>110</v>
      </c>
      <c r="F7" s="150"/>
      <c r="H7" s="74">
        <f t="shared" si="2"/>
        <v>1920.62</v>
      </c>
      <c r="I7" s="75">
        <v>452.88200000000001</v>
      </c>
      <c r="J7" s="75">
        <v>575.78300000000002</v>
      </c>
      <c r="K7" s="75">
        <v>1148.6780000000001</v>
      </c>
      <c r="L7" s="75">
        <v>1275.5029999999999</v>
      </c>
      <c r="M7" s="75">
        <v>2004.6479999999999</v>
      </c>
      <c r="N7" s="75">
        <v>6066.2259999999997</v>
      </c>
      <c r="O7" s="75"/>
      <c r="P7" s="75"/>
      <c r="Q7" s="75"/>
      <c r="R7" s="75"/>
      <c r="S7" s="75"/>
      <c r="T7" s="75"/>
    </row>
    <row r="8" spans="1:20">
      <c r="A8" s="87" t="s">
        <v>51</v>
      </c>
      <c r="B8" s="88">
        <f t="shared" si="0"/>
        <v>110</v>
      </c>
      <c r="C8" s="190">
        <f t="shared" si="1"/>
        <v>4.7826086956521741E-2</v>
      </c>
      <c r="D8" s="86">
        <f>DataTab4!B9*(1-DataTab4!H9)*(DataTab4!O$3*DataTab4!J9+DataTab4!P$3*DataTab4!K9+DataTab4!L9)</f>
        <v>3.0331125000000005</v>
      </c>
      <c r="E8" s="84">
        <f t="shared" si="3"/>
        <v>100</v>
      </c>
      <c r="F8" s="150"/>
      <c r="H8" s="74">
        <f t="shared" si="2"/>
        <v>1886.9970000000001</v>
      </c>
      <c r="I8" s="75">
        <v>962.3365</v>
      </c>
      <c r="J8" s="75">
        <v>1010.675</v>
      </c>
      <c r="K8" s="75">
        <v>1527.7439999999999</v>
      </c>
      <c r="L8" s="75">
        <v>1884.59275</v>
      </c>
      <c r="M8" s="75">
        <v>2272.2327500000001</v>
      </c>
      <c r="N8" s="75">
        <v>3664.4009999999998</v>
      </c>
      <c r="O8" s="75"/>
      <c r="P8" s="75"/>
      <c r="Q8" s="75"/>
      <c r="R8" s="75"/>
      <c r="S8" s="75"/>
      <c r="T8" s="75"/>
    </row>
    <row r="9" spans="1:20">
      <c r="A9" s="87" t="s">
        <v>52</v>
      </c>
      <c r="B9" s="88">
        <f t="shared" si="0"/>
        <v>90</v>
      </c>
      <c r="C9" s="190">
        <f t="shared" si="1"/>
        <v>3.9130434782608699E-2</v>
      </c>
      <c r="D9" s="86">
        <f>DataTab4!B10*(1-DataTab4!H10)*(DataTab4!O$3*DataTab4!J10+DataTab4!P$3*DataTab4!K10+DataTab4!L10)</f>
        <v>3.3851249999999999</v>
      </c>
      <c r="E9" s="84">
        <f t="shared" si="3"/>
        <v>80</v>
      </c>
      <c r="F9" s="150"/>
      <c r="H9" s="74">
        <f t="shared" si="2"/>
        <v>1437.3898333333334</v>
      </c>
      <c r="I9" s="74">
        <v>666.73199999999997</v>
      </c>
      <c r="J9" s="74">
        <v>758.64200000000005</v>
      </c>
      <c r="K9" s="74">
        <v>1227.5429999999999</v>
      </c>
      <c r="L9" s="74">
        <v>1202.0540000000001</v>
      </c>
      <c r="M9" s="74">
        <v>1604.115</v>
      </c>
      <c r="N9" s="74">
        <v>3165.2530000000002</v>
      </c>
      <c r="O9" s="74"/>
      <c r="P9" s="74"/>
      <c r="Q9" s="74"/>
      <c r="R9" s="74"/>
      <c r="S9" s="74"/>
      <c r="T9" s="74"/>
    </row>
    <row r="10" spans="1:20">
      <c r="A10" s="87" t="s">
        <v>53</v>
      </c>
      <c r="B10" s="88">
        <f t="shared" si="0"/>
        <v>60</v>
      </c>
      <c r="C10" s="190">
        <f t="shared" si="1"/>
        <v>2.6086956521739129E-2</v>
      </c>
      <c r="D10" s="86">
        <f>DataTab4!B11*(1-DataTab4!H11)*(DataTab4!O$3*DataTab4!J11+DataTab4!P$3*DataTab4!K11+DataTab4!L11)</f>
        <v>0.5625</v>
      </c>
      <c r="E10" s="84">
        <f t="shared" si="3"/>
        <v>50</v>
      </c>
      <c r="F10" s="150"/>
      <c r="H10" s="74">
        <f t="shared" si="2"/>
        <v>1046.0656666666666</v>
      </c>
      <c r="I10" s="74">
        <v>658.20500000000004</v>
      </c>
      <c r="J10" s="74">
        <v>859.09699999999998</v>
      </c>
      <c r="K10" s="74">
        <v>1158.3810000000001</v>
      </c>
      <c r="L10" s="74">
        <v>1308.538</v>
      </c>
      <c r="M10" s="74">
        <v>934.84400000000005</v>
      </c>
      <c r="N10" s="74">
        <v>1357.329</v>
      </c>
      <c r="O10" s="74"/>
      <c r="P10" s="74"/>
      <c r="Q10" s="74"/>
      <c r="R10" s="74"/>
      <c r="S10" s="74"/>
      <c r="T10" s="74"/>
    </row>
    <row r="11" spans="1:20">
      <c r="A11" s="87" t="s">
        <v>54</v>
      </c>
      <c r="B11" s="88">
        <f t="shared" si="0"/>
        <v>60</v>
      </c>
      <c r="C11" s="190">
        <f t="shared" si="1"/>
        <v>2.6086956521739129E-2</v>
      </c>
      <c r="D11" s="86">
        <f>DataTab4!B12*(1-DataTab4!H12)*(DataTab4!O$3*DataTab4!J12+DataTab4!P$3*DataTab4!K12+DataTab4!L12)</f>
        <v>1.1947500000000002</v>
      </c>
      <c r="E11" s="84">
        <f t="shared" si="3"/>
        <v>50</v>
      </c>
      <c r="F11" s="150"/>
      <c r="H11" s="74">
        <f t="shared" si="2"/>
        <v>940.79683333333344</v>
      </c>
      <c r="I11" s="74">
        <v>298.88499999999999</v>
      </c>
      <c r="J11" s="74">
        <v>420.98500000000001</v>
      </c>
      <c r="K11" s="74">
        <v>624.18600000000004</v>
      </c>
      <c r="L11" s="74">
        <v>692.98800000000006</v>
      </c>
      <c r="M11" s="74">
        <v>1197.3330000000001</v>
      </c>
      <c r="N11" s="74">
        <v>2410.404</v>
      </c>
      <c r="O11" s="74"/>
      <c r="P11" s="74"/>
      <c r="Q11" s="74"/>
      <c r="R11" s="74"/>
      <c r="S11" s="74"/>
      <c r="T11" s="74"/>
    </row>
    <row r="12" spans="1:20">
      <c r="A12" s="87" t="s">
        <v>55</v>
      </c>
      <c r="B12" s="88">
        <f t="shared" si="0"/>
        <v>40</v>
      </c>
      <c r="C12" s="190">
        <f t="shared" si="1"/>
        <v>1.7391304347826087E-2</v>
      </c>
      <c r="D12" s="86">
        <f>DataTab4!B13*(1-DataTab4!H13)*(DataTab4!O$3*DataTab4!J13+DataTab4!P$3*DataTab4!K13+DataTab4!L13)</f>
        <v>0.54600000000000004</v>
      </c>
      <c r="E12" s="84">
        <f t="shared" si="3"/>
        <v>40</v>
      </c>
      <c r="F12" s="150"/>
      <c r="H12" s="74">
        <f t="shared" si="2"/>
        <v>589.43333333333339</v>
      </c>
      <c r="I12" s="74">
        <v>1065.29</v>
      </c>
      <c r="J12" s="74">
        <v>299.05500000000001</v>
      </c>
      <c r="K12" s="74">
        <v>485.327</v>
      </c>
      <c r="L12" s="74">
        <v>343.27100000000002</v>
      </c>
      <c r="M12" s="74">
        <v>436.65300000000002</v>
      </c>
      <c r="N12" s="74">
        <v>907.00400000000002</v>
      </c>
      <c r="O12" s="74"/>
      <c r="P12" s="74"/>
      <c r="Q12" s="74"/>
      <c r="R12" s="74"/>
      <c r="S12" s="74"/>
      <c r="T12" s="74"/>
    </row>
    <row r="13" spans="1:20">
      <c r="A13" s="87" t="s">
        <v>56</v>
      </c>
      <c r="B13" s="88">
        <f t="shared" si="0"/>
        <v>10</v>
      </c>
      <c r="C13" s="190">
        <f t="shared" si="1"/>
        <v>4.3478260869565218E-3</v>
      </c>
      <c r="D13" s="86">
        <f>DataTab4!B14*(1-DataTab4!H14)*(DataTab4!O$3*DataTab4!J14+DataTab4!P$3*DataTab4!K14+DataTab4!L14)</f>
        <v>0.10837500000000001</v>
      </c>
      <c r="E13" s="84">
        <f t="shared" si="3"/>
        <v>10</v>
      </c>
      <c r="F13" s="150"/>
      <c r="H13" s="74">
        <f t="shared" si="2"/>
        <v>209.23316666666668</v>
      </c>
      <c r="I13" s="74">
        <v>143.56200000000001</v>
      </c>
      <c r="J13" s="74">
        <v>207.27199999999999</v>
      </c>
      <c r="K13" s="74">
        <v>190.661</v>
      </c>
      <c r="L13" s="74">
        <v>195.089</v>
      </c>
      <c r="M13" s="74">
        <v>206.91399999999999</v>
      </c>
      <c r="N13" s="74">
        <v>311.90100000000001</v>
      </c>
      <c r="O13" s="74"/>
      <c r="P13" s="74"/>
      <c r="Q13" s="74"/>
      <c r="R13" s="74"/>
      <c r="S13" s="74"/>
      <c r="T13" s="74"/>
    </row>
    <row r="14" spans="1:20">
      <c r="A14" s="87" t="s">
        <v>57</v>
      </c>
      <c r="B14" s="88">
        <f t="shared" si="0"/>
        <v>10</v>
      </c>
      <c r="C14" s="190">
        <f t="shared" si="1"/>
        <v>4.3478260869565218E-3</v>
      </c>
      <c r="D14" s="86">
        <f>DataTab4!B15*(1-DataTab4!H15)*(DataTab4!O$3*DataTab4!J15+DataTab4!P$3*DataTab4!K15+DataTab4!L15)</f>
        <v>0.14624999999999999</v>
      </c>
      <c r="E14" s="84">
        <f t="shared" si="3"/>
        <v>10</v>
      </c>
      <c r="F14" s="150"/>
      <c r="H14" s="74">
        <f t="shared" si="2"/>
        <v>230.32866666666666</v>
      </c>
      <c r="I14" s="74">
        <v>105.161</v>
      </c>
      <c r="J14" s="74">
        <v>179.59800000000001</v>
      </c>
      <c r="K14" s="74">
        <v>195.38900000000001</v>
      </c>
      <c r="L14" s="74">
        <v>217.95599999999999</v>
      </c>
      <c r="M14" s="74">
        <v>180.98699999999999</v>
      </c>
      <c r="N14" s="74">
        <v>502.88099999999997</v>
      </c>
      <c r="O14" s="74"/>
      <c r="P14" s="74"/>
      <c r="Q14" s="74"/>
      <c r="R14" s="74"/>
      <c r="S14" s="74"/>
      <c r="T14" s="74"/>
    </row>
    <row r="15" spans="1:20">
      <c r="A15" s="87" t="s">
        <v>58</v>
      </c>
      <c r="B15" s="88">
        <f t="shared" si="0"/>
        <v>10</v>
      </c>
      <c r="C15" s="190">
        <f t="shared" si="1"/>
        <v>4.3478260869565218E-3</v>
      </c>
      <c r="D15" s="86">
        <f>DataTab4!B16*(1-DataTab4!H16)*(DataTab4!O$3*DataTab4!J16+DataTab4!P$3*DataTab4!K16+DataTab4!L16)</f>
        <v>0.22265625</v>
      </c>
      <c r="E15" s="84">
        <f t="shared" si="3"/>
        <v>10</v>
      </c>
      <c r="F15" s="150"/>
      <c r="H15" s="74">
        <f t="shared" si="2"/>
        <v>95.467166666666671</v>
      </c>
      <c r="I15" s="74">
        <v>50.685000000000002</v>
      </c>
      <c r="J15" s="74">
        <v>58.908000000000001</v>
      </c>
      <c r="K15" s="74">
        <v>65.48</v>
      </c>
      <c r="L15" s="74">
        <v>93.710999999999999</v>
      </c>
      <c r="M15" s="74">
        <v>137.815</v>
      </c>
      <c r="N15" s="74">
        <v>166.20400000000001</v>
      </c>
      <c r="O15" s="74"/>
      <c r="P15" s="74"/>
      <c r="Q15" s="74"/>
      <c r="R15" s="74"/>
      <c r="S15" s="74"/>
      <c r="T15" s="74"/>
    </row>
    <row r="16" spans="1:20">
      <c r="A16" s="87" t="s">
        <v>59</v>
      </c>
      <c r="B16" s="88">
        <f t="shared" si="0"/>
        <v>150</v>
      </c>
      <c r="C16" s="190">
        <f t="shared" si="1"/>
        <v>6.5217391304347824E-2</v>
      </c>
      <c r="D16" s="86">
        <f>DataTab4!B17*(1-DataTab4!H17)*(DataTab4!O$3*DataTab4!J17+DataTab4!P$3*DataTab4!K17+DataTab4!L17)</f>
        <v>2.6402982954545453</v>
      </c>
      <c r="E16" s="84">
        <f t="shared" si="3"/>
        <v>140</v>
      </c>
      <c r="F16" s="150"/>
      <c r="H16" s="74">
        <f t="shared" si="2"/>
        <v>2460.3499999999972</v>
      </c>
      <c r="I16" s="74">
        <f t="shared" ref="I16:N16" si="4">I4-SUM(I5:I15)</f>
        <v>1420.8630000000003</v>
      </c>
      <c r="J16" s="74">
        <f t="shared" si="4"/>
        <v>1171.0379999999968</v>
      </c>
      <c r="K16" s="74">
        <f t="shared" si="4"/>
        <v>2360.6470000000008</v>
      </c>
      <c r="L16" s="74">
        <f t="shared" si="4"/>
        <v>2858.3740000000034</v>
      </c>
      <c r="M16" s="74">
        <f t="shared" si="4"/>
        <v>2704.8049999999967</v>
      </c>
      <c r="N16" s="74">
        <f t="shared" si="4"/>
        <v>4246.372999999985</v>
      </c>
      <c r="O16" s="74"/>
      <c r="P16" s="74"/>
      <c r="Q16" s="74"/>
      <c r="R16" s="74"/>
      <c r="S16" s="74"/>
      <c r="T16" s="74"/>
    </row>
    <row r="17" spans="1:20">
      <c r="A17" s="98" t="s">
        <v>44</v>
      </c>
      <c r="B17" s="84">
        <f t="shared" ref="B17:B23" si="5">ROUND(C17*B$24,-1)</f>
        <v>180</v>
      </c>
      <c r="C17" s="85">
        <v>0.08</v>
      </c>
      <c r="D17" s="86">
        <f>DataTab4!B18*(1-DataTab4!H18)*(DataTab4!O$3*DataTab4!J18+DataTab4!P$3*DataTab4!K18+DataTab4!L18)</f>
        <v>0</v>
      </c>
      <c r="E17" s="84">
        <f t="shared" si="3"/>
        <v>170</v>
      </c>
      <c r="F17" s="150"/>
      <c r="J17" s="74"/>
      <c r="K17" s="74"/>
      <c r="L17" s="74"/>
      <c r="M17" s="74"/>
      <c r="O17" s="74"/>
      <c r="P17" s="74"/>
      <c r="Q17" s="74"/>
      <c r="R17" s="74"/>
      <c r="S17" s="74"/>
      <c r="T17" s="74"/>
    </row>
    <row r="18" spans="1:20">
      <c r="A18" s="98" t="s">
        <v>23</v>
      </c>
      <c r="B18" s="84">
        <f t="shared" si="5"/>
        <v>310</v>
      </c>
      <c r="C18" s="165">
        <f>10%+3.5%</f>
        <v>0.13500000000000001</v>
      </c>
      <c r="D18" s="86">
        <f>DataTab4!B19*(1-DataTab4!H19)*(DataTab4!O$3*DataTab4!J19+DataTab4!P$3*DataTab4!K19+DataTab4!L19)</f>
        <v>6.6369374999999993</v>
      </c>
      <c r="E18" s="84">
        <f t="shared" si="3"/>
        <v>280</v>
      </c>
      <c r="F18" s="150"/>
      <c r="J18" s="74"/>
      <c r="K18" s="74"/>
      <c r="L18" s="74"/>
      <c r="M18" s="74"/>
      <c r="N18" s="74"/>
      <c r="O18" s="74"/>
      <c r="P18" s="74"/>
      <c r="Q18" s="74"/>
      <c r="R18" s="74"/>
      <c r="S18" s="74"/>
      <c r="T18" s="74"/>
    </row>
    <row r="19" spans="1:20">
      <c r="A19" s="98" t="s">
        <v>45</v>
      </c>
      <c r="B19" s="84">
        <f t="shared" si="5"/>
        <v>260</v>
      </c>
      <c r="C19" s="164">
        <f>11.5%</f>
        <v>0.115</v>
      </c>
      <c r="D19" s="86">
        <f>DataTab4!B20*(1-DataTab4!H20)*(DataTab4!O$3*DataTab4!J20+DataTab4!P$3*DataTab4!K20+DataTab4!L20)</f>
        <v>5.6536874999999993</v>
      </c>
      <c r="E19" s="84">
        <f t="shared" si="3"/>
        <v>240</v>
      </c>
      <c r="F19" s="150"/>
      <c r="J19" s="74"/>
      <c r="K19" s="74"/>
      <c r="L19" s="74"/>
      <c r="M19" s="74"/>
      <c r="N19" s="74"/>
      <c r="O19" s="74"/>
      <c r="P19" s="74"/>
      <c r="Q19" s="74"/>
      <c r="R19" s="74"/>
      <c r="S19" s="74"/>
      <c r="T19" s="74"/>
    </row>
    <row r="20" spans="1:20">
      <c r="A20" s="98" t="s">
        <v>15</v>
      </c>
      <c r="B20" s="84">
        <f t="shared" si="5"/>
        <v>230</v>
      </c>
      <c r="C20" s="85">
        <f>6.5%+3.5%</f>
        <v>0.1</v>
      </c>
      <c r="D20" s="86">
        <f>DataTab4!B21*(1-DataTab4!H21)*(DataTab4!O$3*DataTab4!J21+DataTab4!P$3*DataTab4!K21+DataTab4!L21)</f>
        <v>4.9162499999999998</v>
      </c>
      <c r="E20" s="84">
        <f t="shared" si="3"/>
        <v>210</v>
      </c>
      <c r="F20" s="150"/>
      <c r="I20" s="102"/>
      <c r="J20" s="74"/>
      <c r="K20" s="74"/>
      <c r="L20" s="74"/>
      <c r="M20" s="74"/>
      <c r="N20" s="74"/>
      <c r="O20" s="74"/>
      <c r="P20" s="74"/>
      <c r="Q20" s="74"/>
      <c r="R20" s="74"/>
      <c r="S20" s="74"/>
      <c r="T20" s="74"/>
    </row>
    <row r="21" spans="1:20">
      <c r="A21" s="103" t="s">
        <v>63</v>
      </c>
      <c r="B21" s="84">
        <f t="shared" si="5"/>
        <v>80</v>
      </c>
      <c r="C21" s="85">
        <f>0.05*2/3</f>
        <v>3.3333333333333333E-2</v>
      </c>
      <c r="D21" s="86"/>
      <c r="E21" s="84">
        <f t="shared" si="3"/>
        <v>70</v>
      </c>
      <c r="F21" s="150"/>
      <c r="H21" s="74">
        <f t="shared" ref="H21:H24" si="6">AVERAGE(I21:N21)</f>
        <v>2680.9244999999996</v>
      </c>
      <c r="I21" s="74">
        <v>1226.0129999999999</v>
      </c>
      <c r="J21" s="74">
        <v>1411.9059999999999</v>
      </c>
      <c r="K21" s="74">
        <v>1411.9059999999999</v>
      </c>
      <c r="L21" s="74">
        <v>2990.5650000000001</v>
      </c>
      <c r="M21" s="74">
        <v>3097.0810000000001</v>
      </c>
      <c r="N21" s="74">
        <v>5948.076</v>
      </c>
      <c r="O21" s="74"/>
      <c r="P21" s="74"/>
      <c r="Q21" s="74"/>
      <c r="R21" s="74"/>
      <c r="S21" s="74"/>
      <c r="T21" s="74"/>
    </row>
    <row r="22" spans="1:20">
      <c r="A22" s="103" t="s">
        <v>64</v>
      </c>
      <c r="B22" s="84">
        <f t="shared" si="5"/>
        <v>40</v>
      </c>
      <c r="C22" s="85">
        <f>0.05*1/3</f>
        <v>1.6666666666666666E-2</v>
      </c>
      <c r="D22" s="86"/>
      <c r="E22" s="84">
        <f t="shared" si="3"/>
        <v>40</v>
      </c>
      <c r="F22" s="150"/>
      <c r="H22" s="74">
        <f t="shared" si="6"/>
        <v>1170.9031666666667</v>
      </c>
      <c r="I22" s="74">
        <v>754.84299999999996</v>
      </c>
      <c r="J22" s="74">
        <v>695.81</v>
      </c>
      <c r="K22" s="74">
        <v>921.93499999999995</v>
      </c>
      <c r="L22" s="74">
        <v>1473.971</v>
      </c>
      <c r="M22" s="74">
        <v>1356.444</v>
      </c>
      <c r="N22" s="74">
        <v>1822.4159999999999</v>
      </c>
      <c r="O22" s="74"/>
      <c r="P22" s="74"/>
      <c r="Q22" s="74"/>
      <c r="R22" s="74"/>
      <c r="S22" s="74"/>
      <c r="T22" s="74"/>
    </row>
    <row r="23" spans="1:20">
      <c r="A23" s="98" t="s">
        <v>46</v>
      </c>
      <c r="B23" s="84">
        <f t="shared" si="5"/>
        <v>140</v>
      </c>
      <c r="C23" s="90">
        <f>3%+3%</f>
        <v>0.06</v>
      </c>
      <c r="D23" s="86">
        <f>DataTab4!B24*(1-DataTab4!H24)*(DataTab4!O$3*DataTab4!J24+DataTab4!P$3*DataTab4!K24+DataTab4!L24)</f>
        <v>0.8745750000000001</v>
      </c>
      <c r="E23" s="84">
        <f t="shared" si="3"/>
        <v>130</v>
      </c>
      <c r="F23" s="150"/>
      <c r="H23" s="74">
        <f t="shared" si="6"/>
        <v>3246.8855000000003</v>
      </c>
      <c r="I23" s="74">
        <v>2534.4789999999998</v>
      </c>
      <c r="J23" s="74">
        <v>2508.1640000000002</v>
      </c>
      <c r="K23" s="74">
        <v>2802.473</v>
      </c>
      <c r="L23" s="74">
        <v>2843.6990000000001</v>
      </c>
      <c r="M23" s="74">
        <v>3518.252</v>
      </c>
      <c r="N23" s="74">
        <v>5274.2460000000001</v>
      </c>
      <c r="O23" s="74"/>
      <c r="P23" s="74"/>
      <c r="Q23" s="74"/>
      <c r="R23" s="74"/>
      <c r="S23" s="74"/>
      <c r="T23" s="74"/>
    </row>
    <row r="24" spans="1:20" ht="30">
      <c r="A24" s="98" t="s">
        <v>17</v>
      </c>
      <c r="B24" s="84">
        <v>2300</v>
      </c>
      <c r="C24" s="164">
        <f>C4+SUM(C17:C23)</f>
        <v>1</v>
      </c>
      <c r="D24" s="86">
        <f>D4+SUM(D17:D23)</f>
        <v>43.806467045454539</v>
      </c>
      <c r="E24" s="88">
        <v>2100</v>
      </c>
      <c r="F24" s="150"/>
      <c r="G24" s="152" t="s">
        <v>94</v>
      </c>
      <c r="H24" s="74">
        <f t="shared" si="6"/>
        <v>153998.21283333332</v>
      </c>
      <c r="I24" s="74">
        <v>91448.792000000001</v>
      </c>
      <c r="J24" s="74">
        <v>98892.074999999997</v>
      </c>
      <c r="K24" s="74">
        <v>129209.072</v>
      </c>
      <c r="L24" s="74">
        <v>145181.38500000001</v>
      </c>
      <c r="M24" s="74">
        <v>179027.08199999999</v>
      </c>
      <c r="N24" s="74">
        <v>280230.87099999998</v>
      </c>
      <c r="O24" s="74"/>
      <c r="P24" s="74"/>
      <c r="Q24" s="74"/>
      <c r="R24" s="74"/>
      <c r="S24" s="74"/>
      <c r="T24" s="74"/>
    </row>
    <row r="25" spans="1:20" ht="31" thickBot="1">
      <c r="A25" s="99" t="s">
        <v>47</v>
      </c>
      <c r="B25" s="91">
        <f>ROUND(C25*B24,-2)</f>
        <v>1400</v>
      </c>
      <c r="C25" s="92">
        <v>0.6</v>
      </c>
      <c r="D25" s="93"/>
      <c r="E25" s="151"/>
      <c r="F25" s="151"/>
      <c r="G25" s="152" t="s">
        <v>92</v>
      </c>
      <c r="H25" s="74">
        <f>AVERAGE(I25:N25)</f>
        <v>84962.761333333328</v>
      </c>
      <c r="I25" s="74">
        <v>50734.890500000009</v>
      </c>
      <c r="J25" s="74">
        <v>54886.173000000003</v>
      </c>
      <c r="K25" s="74">
        <v>68461.426000000007</v>
      </c>
      <c r="L25" s="74">
        <v>81942.42525</v>
      </c>
      <c r="M25" s="74">
        <v>100525.69724999998</v>
      </c>
      <c r="N25" s="74">
        <v>153225.95599999998</v>
      </c>
      <c r="O25" s="74"/>
      <c r="P25" s="74"/>
      <c r="Q25" s="74"/>
      <c r="R25" s="74"/>
      <c r="S25" s="74"/>
      <c r="T25" s="74"/>
    </row>
    <row r="26" spans="1:20">
      <c r="A26" s="153"/>
      <c r="B26" s="154"/>
      <c r="C26" s="151"/>
      <c r="D26" s="151"/>
      <c r="E26" s="151"/>
      <c r="F26" s="151"/>
      <c r="G26" s="147" t="s">
        <v>88</v>
      </c>
      <c r="H26" s="74">
        <f>AVERAGE(I26:N26)</f>
        <v>27088.186851443515</v>
      </c>
      <c r="I26" s="74">
        <v>15215.917525848925</v>
      </c>
      <c r="J26" s="74">
        <v>17761.014610506641</v>
      </c>
      <c r="K26" s="74">
        <v>21553.272625273938</v>
      </c>
      <c r="L26" s="74">
        <v>26140.688834236611</v>
      </c>
      <c r="M26" s="74">
        <v>33818.558941787407</v>
      </c>
      <c r="N26" s="74">
        <v>48039.668571007547</v>
      </c>
      <c r="O26" s="74"/>
      <c r="P26" s="74"/>
      <c r="Q26" s="74"/>
      <c r="R26" s="74"/>
      <c r="S26" s="74"/>
      <c r="T26" s="74"/>
    </row>
    <row r="27" spans="1:20" ht="30">
      <c r="G27" s="152" t="s">
        <v>89</v>
      </c>
      <c r="H27" s="74">
        <f t="shared" ref="H27:H30" si="7">AVERAGE(I27:N27)</f>
        <v>181086.39968477687</v>
      </c>
      <c r="I27" s="74">
        <f t="shared" ref="I27:N27" si="8">I24+I26</f>
        <v>106664.70952584893</v>
      </c>
      <c r="J27" s="74">
        <f t="shared" si="8"/>
        <v>116653.08961050663</v>
      </c>
      <c r="K27" s="74">
        <f t="shared" si="8"/>
        <v>150762.34462527395</v>
      </c>
      <c r="L27" s="74">
        <f t="shared" si="8"/>
        <v>171322.07383423662</v>
      </c>
      <c r="M27" s="74">
        <f t="shared" si="8"/>
        <v>212845.64094178739</v>
      </c>
      <c r="N27" s="74">
        <f t="shared" si="8"/>
        <v>328270.53957100754</v>
      </c>
      <c r="O27" s="74"/>
      <c r="P27" s="74"/>
      <c r="Q27" s="74"/>
      <c r="R27" s="74"/>
      <c r="S27" s="74"/>
      <c r="T27" s="74"/>
    </row>
    <row r="28" spans="1:20" ht="30">
      <c r="G28" s="152" t="s">
        <v>93</v>
      </c>
      <c r="H28" s="74">
        <f t="shared" si="7"/>
        <v>112050.94818477686</v>
      </c>
      <c r="I28" s="74">
        <f t="shared" ref="I28:N28" si="9">I26+I25</f>
        <v>65950.808025848935</v>
      </c>
      <c r="J28" s="74">
        <f t="shared" si="9"/>
        <v>72647.187610506648</v>
      </c>
      <c r="K28" s="74">
        <f t="shared" si="9"/>
        <v>90014.698625273944</v>
      </c>
      <c r="L28" s="74">
        <f t="shared" si="9"/>
        <v>108083.11408423661</v>
      </c>
      <c r="M28" s="74">
        <f t="shared" si="9"/>
        <v>134344.2561917874</v>
      </c>
      <c r="N28" s="74">
        <f t="shared" si="9"/>
        <v>201265.62457100753</v>
      </c>
      <c r="O28" s="74"/>
      <c r="P28" s="74"/>
      <c r="Q28" s="74"/>
      <c r="R28" s="74"/>
      <c r="S28" s="74"/>
      <c r="T28" s="74"/>
    </row>
    <row r="29" spans="1:20">
      <c r="G29" s="147" t="s">
        <v>90</v>
      </c>
      <c r="H29" s="148">
        <f t="shared" si="7"/>
        <v>0.61888229015703577</v>
      </c>
      <c r="I29" s="148">
        <f t="shared" ref="I29:N29" si="10">I28/I27</f>
        <v>0.61830016993452308</v>
      </c>
      <c r="J29" s="148">
        <f t="shared" si="10"/>
        <v>0.62276265337736503</v>
      </c>
      <c r="K29" s="148">
        <f t="shared" si="10"/>
        <v>0.59706353631610865</v>
      </c>
      <c r="L29" s="148">
        <f t="shared" si="10"/>
        <v>0.63087675548927147</v>
      </c>
      <c r="M29" s="148">
        <f t="shared" si="10"/>
        <v>0.63118161874186618</v>
      </c>
      <c r="N29" s="148">
        <f t="shared" si="10"/>
        <v>0.61310900708308058</v>
      </c>
      <c r="O29" s="74"/>
      <c r="P29" s="74"/>
      <c r="Q29" s="74"/>
      <c r="R29" s="74"/>
      <c r="S29" s="74"/>
      <c r="T29" s="74"/>
    </row>
    <row r="30" spans="1:20">
      <c r="G30" s="147" t="s">
        <v>91</v>
      </c>
      <c r="H30" s="148">
        <f t="shared" si="7"/>
        <v>9.1927799464635571E-2</v>
      </c>
      <c r="I30" s="148">
        <f>I4/I27</f>
        <v>8.4189677541134517E-2</v>
      </c>
      <c r="J30" s="148">
        <f t="shared" ref="J30:N30" si="11">J4/J27</f>
        <v>7.6585052567654799E-2</v>
      </c>
      <c r="K30" s="148">
        <f t="shared" si="11"/>
        <v>9.432576838298927E-2</v>
      </c>
      <c r="L30" s="148">
        <f t="shared" si="11"/>
        <v>9.0852768715956975E-2</v>
      </c>
      <c r="M30" s="148">
        <f t="shared" si="11"/>
        <v>9.2123525120078667E-2</v>
      </c>
      <c r="N30" s="155">
        <f t="shared" si="11"/>
        <v>0.1134900044599992</v>
      </c>
      <c r="O30" s="74"/>
      <c r="P30" s="74"/>
      <c r="Q30" s="74"/>
      <c r="R30" s="74"/>
      <c r="S30" s="74"/>
      <c r="T30" s="74"/>
    </row>
    <row r="31" spans="1:20" ht="16" thickBot="1">
      <c r="I31" s="148"/>
      <c r="J31" s="148"/>
      <c r="K31" s="148"/>
      <c r="L31" s="148"/>
      <c r="M31" s="148"/>
      <c r="N31" s="148"/>
      <c r="O31" s="74"/>
      <c r="P31" s="74"/>
      <c r="Q31" s="74"/>
      <c r="R31" s="74"/>
      <c r="S31" s="74"/>
      <c r="T31" s="74"/>
    </row>
    <row r="32" spans="1:20">
      <c r="A32" s="169" t="s">
        <v>114</v>
      </c>
      <c r="B32" s="76"/>
      <c r="C32" s="76"/>
      <c r="D32" s="76"/>
      <c r="E32" s="76"/>
      <c r="F32" s="76"/>
      <c r="G32" s="76"/>
      <c r="H32" s="76"/>
      <c r="I32" s="76"/>
      <c r="J32" s="76"/>
      <c r="K32" s="76"/>
      <c r="L32" s="76"/>
      <c r="M32" s="76"/>
      <c r="N32" s="76"/>
      <c r="O32" s="76"/>
      <c r="P32" s="76"/>
      <c r="Q32" s="77"/>
    </row>
    <row r="33" spans="1:17">
      <c r="A33" s="78" t="s">
        <v>113</v>
      </c>
      <c r="B33" s="79"/>
      <c r="C33" s="79"/>
      <c r="D33" s="79"/>
      <c r="E33" s="79"/>
      <c r="F33" s="79"/>
      <c r="G33" s="79"/>
      <c r="H33" s="79"/>
      <c r="I33" s="79"/>
      <c r="J33" s="79"/>
      <c r="K33" s="79"/>
      <c r="L33" s="79"/>
      <c r="M33" s="79"/>
      <c r="N33" s="79"/>
      <c r="O33" s="79"/>
      <c r="P33" s="79"/>
      <c r="Q33" s="80"/>
    </row>
    <row r="34" spans="1:17">
      <c r="A34" s="163" t="s">
        <v>109</v>
      </c>
      <c r="B34" s="79"/>
      <c r="C34" s="79"/>
      <c r="D34" s="79"/>
      <c r="E34" s="79"/>
      <c r="F34" s="79"/>
      <c r="G34" s="79"/>
      <c r="H34" s="79"/>
      <c r="I34" s="79"/>
      <c r="J34" s="79"/>
      <c r="K34" s="79"/>
      <c r="L34" s="79"/>
      <c r="M34" s="79"/>
      <c r="N34" s="79"/>
      <c r="O34" s="79"/>
      <c r="P34" s="79"/>
      <c r="Q34" s="80"/>
    </row>
    <row r="35" spans="1:17">
      <c r="A35" s="163" t="s">
        <v>107</v>
      </c>
      <c r="B35" s="79"/>
      <c r="C35" s="79"/>
      <c r="D35" s="79"/>
      <c r="E35" s="79"/>
      <c r="F35" s="79"/>
      <c r="G35" s="79"/>
      <c r="H35" s="79"/>
      <c r="I35" s="79"/>
      <c r="J35" s="79"/>
      <c r="K35" s="79"/>
      <c r="L35" s="79"/>
      <c r="M35" s="79"/>
      <c r="N35" s="79"/>
      <c r="O35" s="79"/>
      <c r="P35" s="79"/>
      <c r="Q35" s="80"/>
    </row>
    <row r="36" spans="1:17">
      <c r="A36" s="163" t="s">
        <v>108</v>
      </c>
      <c r="B36" s="79"/>
      <c r="C36" s="79"/>
      <c r="D36" s="79"/>
      <c r="E36" s="79"/>
      <c r="F36" s="79"/>
      <c r="G36" s="79"/>
      <c r="H36" s="79"/>
      <c r="I36" s="79"/>
      <c r="J36" s="79"/>
      <c r="K36" s="79"/>
      <c r="L36" s="79"/>
      <c r="M36" s="79"/>
      <c r="N36" s="79"/>
      <c r="O36" s="79"/>
      <c r="P36" s="79"/>
      <c r="Q36" s="80"/>
    </row>
    <row r="37" spans="1:17">
      <c r="A37" s="103" t="s">
        <v>65</v>
      </c>
      <c r="B37" s="79"/>
      <c r="C37" s="79"/>
      <c r="D37" s="79"/>
      <c r="E37" s="79"/>
      <c r="F37" s="79"/>
      <c r="G37" s="79"/>
      <c r="H37" s="79"/>
      <c r="I37" s="79"/>
      <c r="J37" s="79"/>
      <c r="K37" s="79"/>
      <c r="L37" s="79"/>
      <c r="M37" s="79"/>
      <c r="N37" s="79"/>
      <c r="O37" s="79"/>
      <c r="P37" s="79"/>
      <c r="Q37" s="80"/>
    </row>
    <row r="38" spans="1:17">
      <c r="A38" s="98" t="s">
        <v>62</v>
      </c>
      <c r="B38" s="79"/>
      <c r="C38" s="79"/>
      <c r="D38" s="79"/>
      <c r="E38" s="79"/>
      <c r="F38" s="79"/>
      <c r="G38" s="79"/>
      <c r="H38" s="79"/>
      <c r="I38" s="79"/>
      <c r="J38" s="79"/>
      <c r="K38" s="79"/>
      <c r="L38" s="79"/>
      <c r="M38" s="79"/>
      <c r="N38" s="79"/>
      <c r="O38" s="79"/>
      <c r="P38" s="79"/>
      <c r="Q38" s="80"/>
    </row>
    <row r="39" spans="1:17" ht="16" thickBot="1">
      <c r="A39" s="170" t="s">
        <v>120</v>
      </c>
      <c r="B39" s="81"/>
      <c r="C39" s="81"/>
      <c r="D39" s="81"/>
      <c r="E39" s="81"/>
      <c r="F39" s="81"/>
      <c r="G39" s="81"/>
      <c r="H39" s="81"/>
      <c r="I39" s="81"/>
      <c r="J39" s="81"/>
      <c r="K39" s="81"/>
      <c r="L39" s="81"/>
      <c r="M39" s="81"/>
      <c r="N39" s="81"/>
      <c r="O39" s="81"/>
      <c r="P39" s="81"/>
      <c r="Q39" s="82"/>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workbookViewId="0">
      <selection activeCell="D24" sqref="D24"/>
    </sheetView>
  </sheetViews>
  <sheetFormatPr baseColWidth="10" defaultRowHeight="12" x14ac:dyDescent="0"/>
  <cols>
    <col min="1" max="1" width="18.83203125" style="40" customWidth="1"/>
    <col min="2" max="2" width="22.6640625" style="40" customWidth="1"/>
    <col min="3" max="3" width="5.6640625" style="40" customWidth="1"/>
    <col min="4" max="4" width="24.1640625" style="40" customWidth="1"/>
    <col min="5" max="5" width="5.6640625" style="40" customWidth="1"/>
    <col min="6" max="6" width="34.5" style="40" customWidth="1"/>
    <col min="7" max="7" width="4" style="40" customWidth="1"/>
    <col min="8" max="9" width="20.6640625" style="40" customWidth="1"/>
    <col min="10" max="16384" width="10.83203125" style="40"/>
  </cols>
  <sheetData>
    <row r="2" spans="2:6" ht="13" thickBot="1">
      <c r="B2" s="69"/>
      <c r="C2" s="69"/>
      <c r="D2" s="69"/>
      <c r="E2" s="69"/>
      <c r="F2" s="69"/>
    </row>
    <row r="3" spans="2:6" ht="13" thickTop="1">
      <c r="B3" s="267" t="s">
        <v>97</v>
      </c>
      <c r="C3" s="267"/>
      <c r="D3" s="267"/>
      <c r="E3" s="267"/>
      <c r="F3" s="267"/>
    </row>
    <row r="4" spans="2:6">
      <c r="B4" s="268"/>
      <c r="C4" s="268"/>
      <c r="D4" s="268"/>
      <c r="E4" s="268"/>
      <c r="F4" s="268"/>
    </row>
    <row r="5" spans="2:6">
      <c r="B5" s="268"/>
      <c r="C5" s="268"/>
      <c r="D5" s="268"/>
      <c r="E5" s="268"/>
      <c r="F5" s="268"/>
    </row>
    <row r="6" spans="2:6">
      <c r="B6" s="269"/>
      <c r="C6" s="269"/>
      <c r="D6" s="269"/>
      <c r="E6" s="269"/>
      <c r="F6" s="269"/>
    </row>
    <row r="7" spans="2:6">
      <c r="B7" s="283" t="s">
        <v>98</v>
      </c>
      <c r="C7" s="283"/>
      <c r="D7" s="283"/>
      <c r="E7" s="283"/>
      <c r="F7" s="283"/>
    </row>
    <row r="8" spans="2:6">
      <c r="B8" s="284"/>
      <c r="C8" s="284"/>
      <c r="D8" s="284"/>
      <c r="E8" s="284"/>
      <c r="F8" s="284"/>
    </row>
    <row r="9" spans="2:6">
      <c r="B9" s="284"/>
      <c r="C9" s="284"/>
      <c r="D9" s="284"/>
      <c r="E9" s="284"/>
      <c r="F9" s="284"/>
    </row>
    <row r="10" spans="2:6">
      <c r="B10" s="285"/>
      <c r="C10" s="285"/>
      <c r="D10" s="285"/>
      <c r="E10" s="285"/>
      <c r="F10" s="285"/>
    </row>
    <row r="11" spans="2:6" ht="24" customHeight="1" thickBot="1">
      <c r="B11" s="61"/>
      <c r="C11" s="61"/>
      <c r="D11" s="61"/>
      <c r="E11" s="61"/>
      <c r="F11" s="61"/>
    </row>
    <row r="12" spans="2:6" ht="15" customHeight="1">
      <c r="B12" s="286" t="s">
        <v>130</v>
      </c>
      <c r="C12" s="61"/>
      <c r="D12" s="290" t="s">
        <v>131</v>
      </c>
      <c r="E12" s="61"/>
      <c r="F12" s="61"/>
    </row>
    <row r="13" spans="2:6" ht="15" customHeight="1">
      <c r="B13" s="287"/>
      <c r="C13" s="61"/>
      <c r="D13" s="291"/>
      <c r="E13" s="61"/>
      <c r="F13" s="63"/>
    </row>
    <row r="14" spans="2:6" ht="15" customHeight="1">
      <c r="B14" s="287"/>
      <c r="C14" s="61"/>
      <c r="D14" s="291"/>
      <c r="E14" s="61"/>
      <c r="F14" s="62"/>
    </row>
    <row r="15" spans="2:6" ht="15" customHeight="1">
      <c r="B15" s="288"/>
      <c r="C15" s="61"/>
      <c r="D15" s="291"/>
      <c r="E15" s="61"/>
      <c r="F15" s="62"/>
    </row>
    <row r="16" spans="2:6" ht="15" customHeight="1">
      <c r="B16" s="288"/>
      <c r="C16" s="61"/>
      <c r="D16" s="291"/>
      <c r="E16" s="61"/>
      <c r="F16" s="62"/>
    </row>
    <row r="17" spans="2:6" ht="15" customHeight="1">
      <c r="B17" s="288"/>
      <c r="C17" s="61"/>
      <c r="D17" s="291"/>
      <c r="E17" s="61"/>
      <c r="F17" s="62"/>
    </row>
    <row r="18" spans="2:6" ht="15" customHeight="1">
      <c r="B18" s="288"/>
      <c r="C18" s="61"/>
      <c r="D18" s="291"/>
      <c r="E18" s="61"/>
      <c r="F18" s="61"/>
    </row>
    <row r="19" spans="2:6" ht="15" customHeight="1">
      <c r="B19" s="288"/>
      <c r="C19" s="61"/>
      <c r="D19" s="291"/>
      <c r="E19" s="61"/>
      <c r="F19" s="61"/>
    </row>
    <row r="20" spans="2:6" ht="15" customHeight="1">
      <c r="B20" s="288"/>
      <c r="C20" s="61"/>
      <c r="D20" s="291"/>
      <c r="E20" s="61"/>
      <c r="F20" s="61"/>
    </row>
    <row r="21" spans="2:6" ht="15" customHeight="1" thickBot="1">
      <c r="B21" s="288"/>
      <c r="C21" s="61"/>
      <c r="D21" s="291"/>
      <c r="E21" s="61"/>
      <c r="F21" s="61"/>
    </row>
    <row r="22" spans="2:6" ht="15" customHeight="1">
      <c r="B22" s="288"/>
      <c r="C22" s="61"/>
      <c r="D22" s="291"/>
      <c r="E22" s="61"/>
      <c r="F22" s="290" t="s">
        <v>100</v>
      </c>
    </row>
    <row r="23" spans="2:6" ht="15" customHeight="1" thickBot="1">
      <c r="B23" s="288"/>
      <c r="C23" s="61"/>
      <c r="D23" s="292"/>
      <c r="E23" s="61"/>
      <c r="F23" s="291"/>
    </row>
    <row r="24" spans="2:6" ht="15" customHeight="1">
      <c r="B24" s="288"/>
      <c r="C24" s="61"/>
      <c r="D24" s="61"/>
      <c r="E24" s="61"/>
      <c r="F24" s="291"/>
    </row>
    <row r="25" spans="2:6" ht="15" customHeight="1" thickBot="1">
      <c r="B25" s="288"/>
      <c r="C25" s="61"/>
      <c r="D25" s="61"/>
      <c r="E25" s="61"/>
      <c r="F25" s="292"/>
    </row>
    <row r="26" spans="2:6" ht="15" customHeight="1">
      <c r="B26" s="288"/>
      <c r="C26" s="61"/>
      <c r="D26" s="290" t="s">
        <v>99</v>
      </c>
      <c r="E26" s="61"/>
      <c r="F26" s="61"/>
    </row>
    <row r="27" spans="2:6" ht="15" customHeight="1" thickBot="1">
      <c r="B27" s="288"/>
      <c r="C27" s="61"/>
      <c r="D27" s="291"/>
      <c r="E27" s="61"/>
      <c r="F27" s="64"/>
    </row>
    <row r="28" spans="2:6" ht="15" customHeight="1">
      <c r="B28" s="288"/>
      <c r="C28" s="61"/>
      <c r="D28" s="291"/>
      <c r="E28" s="61"/>
      <c r="F28" s="290" t="s">
        <v>101</v>
      </c>
    </row>
    <row r="29" spans="2:6" ht="15" customHeight="1">
      <c r="B29" s="288"/>
      <c r="C29" s="61"/>
      <c r="D29" s="291"/>
      <c r="E29" s="61"/>
      <c r="F29" s="291"/>
    </row>
    <row r="30" spans="2:6" ht="15" customHeight="1">
      <c r="B30" s="288"/>
      <c r="C30" s="61"/>
      <c r="D30" s="291"/>
      <c r="E30" s="61"/>
      <c r="F30" s="291"/>
    </row>
    <row r="31" spans="2:6" ht="15" customHeight="1">
      <c r="B31" s="288"/>
      <c r="C31" s="61"/>
      <c r="D31" s="291"/>
      <c r="E31" s="61"/>
      <c r="F31" s="291"/>
    </row>
    <row r="32" spans="2:6" ht="15" customHeight="1">
      <c r="B32" s="288"/>
      <c r="C32" s="61"/>
      <c r="D32" s="291"/>
      <c r="E32" s="61"/>
      <c r="F32" s="291"/>
    </row>
    <row r="33" spans="2:6" ht="15" customHeight="1" thickBot="1">
      <c r="B33" s="289"/>
      <c r="C33" s="61"/>
      <c r="D33" s="292"/>
      <c r="E33" s="61"/>
      <c r="F33" s="292"/>
    </row>
    <row r="34" spans="2:6" ht="18" thickBot="1">
      <c r="B34" s="68"/>
      <c r="C34" s="69"/>
      <c r="D34" s="69"/>
      <c r="E34" s="69"/>
      <c r="F34" s="69"/>
    </row>
    <row r="35" spans="2:6" ht="13" thickTop="1">
      <c r="B35" s="61"/>
      <c r="C35" s="61"/>
      <c r="D35" s="61"/>
      <c r="E35" s="61"/>
      <c r="F35" s="61"/>
    </row>
  </sheetData>
  <mergeCells count="7">
    <mergeCell ref="B3:F6"/>
    <mergeCell ref="B7:F10"/>
    <mergeCell ref="B12:B33"/>
    <mergeCell ref="D26:D33"/>
    <mergeCell ref="D12:D23"/>
    <mergeCell ref="F22:F25"/>
    <mergeCell ref="F28:F33"/>
  </mergeCells>
  <printOptions horizontalCentered="1" verticalCentered="1"/>
  <pageMargins left="0.78740157480314965" right="0.78740157480314965" top="0.98425196850393704" bottom="0.98425196850393704" header="0.51181102362204722" footer="0.51181102362204722"/>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Charts</vt:lpstr>
      </vt:variant>
      <vt:variant>
        <vt:i4>10</vt:i4>
      </vt:variant>
    </vt:vector>
  </HeadingPairs>
  <TitlesOfParts>
    <vt:vector size="27" baseType="lpstr">
      <vt:lpstr>Data-Fig1</vt:lpstr>
      <vt:lpstr>DataFig2</vt:lpstr>
      <vt:lpstr>DataFig3</vt:lpstr>
      <vt:lpstr>Data-Fig4</vt:lpstr>
      <vt:lpstr>Data-Fig5</vt:lpstr>
      <vt:lpstr>Tab1</vt:lpstr>
      <vt:lpstr>Tab1(FR)</vt:lpstr>
      <vt:lpstr>DataTab1</vt:lpstr>
      <vt:lpstr>Tab2</vt:lpstr>
      <vt:lpstr>Tab2(FR)</vt:lpstr>
      <vt:lpstr>Tab3</vt:lpstr>
      <vt:lpstr>Tab3(FR)</vt:lpstr>
      <vt:lpstr>Tab4</vt:lpstr>
      <vt:lpstr>Tab4(FR)</vt:lpstr>
      <vt:lpstr>DataTab4</vt:lpstr>
      <vt:lpstr>Tab5</vt:lpstr>
      <vt:lpstr>Tab5(FR)</vt:lpstr>
      <vt:lpstr>Fig1</vt:lpstr>
      <vt:lpstr>Fig1(FR)</vt:lpstr>
      <vt:lpstr>Fig2</vt:lpstr>
      <vt:lpstr>Fig2(FR)</vt:lpstr>
      <vt:lpstr>Fig3</vt:lpstr>
      <vt:lpstr>Fig3(FR)</vt:lpstr>
      <vt:lpstr>Fig4</vt:lpstr>
      <vt:lpstr>Fig4(FR)</vt:lpstr>
      <vt:lpstr>Fig5</vt:lpstr>
      <vt:lpstr>Fig5(FR)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Zucman</dc:creator>
  <cp:lastModifiedBy>Gabriel Zucman</cp:lastModifiedBy>
  <cp:lastPrinted>2015-05-21T08:55:43Z</cp:lastPrinted>
  <dcterms:created xsi:type="dcterms:W3CDTF">2013-06-18T10:06:13Z</dcterms:created>
  <dcterms:modified xsi:type="dcterms:W3CDTF">2017-10-12T22:15:16Z</dcterms:modified>
</cp:coreProperties>
</file>