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4500" tabRatio="829" firstSheet="7" activeTab="16"/>
  </bookViews>
  <sheets>
    <sheet name="Table T1" sheetId="39" r:id="rId1"/>
    <sheet name="Table T2" sheetId="37" r:id="rId2"/>
    <sheet name="Table T3" sheetId="38" r:id="rId3"/>
    <sheet name="Table T4" sheetId="41" r:id="rId4"/>
    <sheet name="Table T5" sheetId="14" r:id="rId5"/>
    <sheet name="Table T6" sheetId="21" r:id="rId6"/>
    <sheet name="Table T7" sheetId="29" r:id="rId7"/>
    <sheet name="Table T8" sheetId="30" r:id="rId8"/>
    <sheet name="Table T9" sheetId="27" r:id="rId9"/>
    <sheet name="Table T10" sheetId="46" r:id="rId10"/>
    <sheet name="Table T11" sheetId="47" r:id="rId11"/>
    <sheet name="Figure T1" sheetId="43" r:id="rId12"/>
    <sheet name="Figure T2" sheetId="3" r:id="rId13"/>
    <sheet name="Figure T3" sheetId="17" r:id="rId14"/>
    <sheet name="Figure T4" sheetId="25" r:id="rId15"/>
    <sheet name="Figure T5" sheetId="24" r:id="rId16"/>
    <sheet name="Figure T6" sheetId="16" r:id="rId17"/>
    <sheet name="RawData" sheetId="2" r:id="rId18"/>
  </sheets>
  <definedNames>
    <definedName name="column_headings" localSheetId="0">#REF!</definedName>
    <definedName name="column_headings" localSheetId="9">#REF!</definedName>
    <definedName name="column_headings" localSheetId="10">#REF!</definedName>
    <definedName name="column_headings" localSheetId="2">#REF!</definedName>
    <definedName name="column_headings" localSheetId="5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numbers" localSheetId="0">#REF!</definedName>
    <definedName name="column_numbers" localSheetId="9">#REF!</definedName>
    <definedName name="column_numbers" localSheetId="10">#REF!</definedName>
    <definedName name="column_numbers" localSheetId="2">#REF!</definedName>
    <definedName name="column_numbers" localSheetId="5">#REF!</definedName>
    <definedName name="column_numbers" localSheetId="6">#REF!</definedName>
    <definedName name="column_numbers" localSheetId="7">#REF!</definedName>
    <definedName name="column_numbers" localSheetId="8">#REF!</definedName>
    <definedName name="data" localSheetId="0">#REF!</definedName>
    <definedName name="data" localSheetId="9">#REF!</definedName>
    <definedName name="data" localSheetId="10">#REF!</definedName>
    <definedName name="data" localSheetId="2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ea_flux" localSheetId="0">#REF!</definedName>
    <definedName name="ea_flux" localSheetId="9">#REF!</definedName>
    <definedName name="ea_flux" localSheetId="10">#REF!</definedName>
    <definedName name="ea_flux" localSheetId="2">#REF!</definedName>
    <definedName name="ea_flux" localSheetId="5">#REF!</definedName>
    <definedName name="ea_flux" localSheetId="6">#REF!</definedName>
    <definedName name="ea_flux" localSheetId="7">#REF!</definedName>
    <definedName name="ea_flux" localSheetId="8">#REF!</definedName>
    <definedName name="Equilibre" localSheetId="0">#REF!</definedName>
    <definedName name="Equilibre" localSheetId="9">#REF!</definedName>
    <definedName name="Equilibre" localSheetId="10">#REF!</definedName>
    <definedName name="Equilibre" localSheetId="2">#REF!</definedName>
    <definedName name="Equilibre" localSheetId="5">#REF!</definedName>
    <definedName name="Equilibre" localSheetId="6">#REF!</definedName>
    <definedName name="Equilibre" localSheetId="7">#REF!</definedName>
    <definedName name="Equilibre" localSheetId="8">#REF!</definedName>
    <definedName name="footnotes" localSheetId="0">#REF!</definedName>
    <definedName name="footnotes" localSheetId="9">#REF!</definedName>
    <definedName name="footnotes" localSheetId="10">#REF!</definedName>
    <definedName name="footnotes" localSheetId="2">#REF!</definedName>
    <definedName name="footnotes" localSheetId="5">#REF!</definedName>
    <definedName name="footnotes" localSheetId="6">#REF!</definedName>
    <definedName name="footnotes" localSheetId="7">#REF!</definedName>
    <definedName name="footnotes" localSheetId="8">#REF!</definedName>
    <definedName name="gg" localSheetId="0">#REF!</definedName>
    <definedName name="gg" localSheetId="9">#REF!</definedName>
    <definedName name="gg" localSheetId="10">#REF!</definedName>
    <definedName name="gg" localSheetId="2">#REF!</definedName>
    <definedName name="gg" localSheetId="5">#REF!</definedName>
    <definedName name="gg" localSheetId="6">#REF!</definedName>
    <definedName name="gg" localSheetId="7">#REF!</definedName>
    <definedName name="gg" localSheetId="8">#REF!</definedName>
    <definedName name="name" localSheetId="0">#REF!</definedName>
    <definedName name="name" localSheetId="9">#REF!</definedName>
    <definedName name="name" localSheetId="10">#REF!</definedName>
    <definedName name="name" localSheetId="2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2" localSheetId="0">#REF!</definedName>
    <definedName name="name2" localSheetId="9">#REF!</definedName>
    <definedName name="name2" localSheetId="10">#REF!</definedName>
    <definedName name="name2" localSheetId="2">#REF!</definedName>
    <definedName name="name2" localSheetId="5">#REF!</definedName>
    <definedName name="name2" localSheetId="6">#REF!</definedName>
    <definedName name="name2" localSheetId="7">#REF!</definedName>
    <definedName name="name2" localSheetId="8">#REF!</definedName>
    <definedName name="name3" localSheetId="0">#REF!</definedName>
    <definedName name="name3" localSheetId="9">#REF!</definedName>
    <definedName name="name3" localSheetId="10">#REF!</definedName>
    <definedName name="name3" localSheetId="2">#REF!</definedName>
    <definedName name="name3" localSheetId="5">#REF!</definedName>
    <definedName name="name3" localSheetId="6">#REF!</definedName>
    <definedName name="name3" localSheetId="7">#REF!</definedName>
    <definedName name="name3" localSheetId="8">#REF!</definedName>
    <definedName name="name4" localSheetId="0">#REF!</definedName>
    <definedName name="name4" localSheetId="9">#REF!</definedName>
    <definedName name="name4" localSheetId="10">#REF!</definedName>
    <definedName name="name4" localSheetId="2">#REF!</definedName>
    <definedName name="name4" localSheetId="5">#REF!</definedName>
    <definedName name="name4" localSheetId="6">#REF!</definedName>
    <definedName name="name4" localSheetId="7">#REF!</definedName>
    <definedName name="name4" localSheetId="8">#REF!</definedName>
    <definedName name="PIB" localSheetId="0">#REF!</definedName>
    <definedName name="PIB" localSheetId="9">#REF!</definedName>
    <definedName name="PIB" localSheetId="10">#REF!</definedName>
    <definedName name="PIB" localSheetId="2">#REF!</definedName>
    <definedName name="PIB" localSheetId="5">#REF!</definedName>
    <definedName name="PIB" localSheetId="6">#REF!</definedName>
    <definedName name="PIB" localSheetId="7">#REF!</definedName>
    <definedName name="PIB" localSheetId="8">#REF!</definedName>
    <definedName name="ressources" localSheetId="0">#REF!</definedName>
    <definedName name="ressources" localSheetId="9">#REF!</definedName>
    <definedName name="ressources" localSheetId="10">#REF!</definedName>
    <definedName name="ressources" localSheetId="2">#REF!</definedName>
    <definedName name="ressources" localSheetId="5">#REF!</definedName>
    <definedName name="ressources" localSheetId="6">#REF!</definedName>
    <definedName name="ressources" localSheetId="7">#REF!</definedName>
    <definedName name="ressources" localSheetId="8">#REF!</definedName>
    <definedName name="rpflux" localSheetId="0">#REF!</definedName>
    <definedName name="rpflux" localSheetId="9">#REF!</definedName>
    <definedName name="rpflux" localSheetId="10">#REF!</definedName>
    <definedName name="rpflux" localSheetId="2">#REF!</definedName>
    <definedName name="rpflux" localSheetId="5">#REF!</definedName>
    <definedName name="rpflux" localSheetId="6">#REF!</definedName>
    <definedName name="rpflux" localSheetId="7">#REF!</definedName>
    <definedName name="rpflux" localSheetId="8">#REF!</definedName>
    <definedName name="rptof" localSheetId="0">#REF!</definedName>
    <definedName name="rptof" localSheetId="9">#REF!</definedName>
    <definedName name="rptof" localSheetId="10">#REF!</definedName>
    <definedName name="rptof" localSheetId="2">#REF!</definedName>
    <definedName name="rptof" localSheetId="5">#REF!</definedName>
    <definedName name="rptof" localSheetId="6">#REF!</definedName>
    <definedName name="rptof" localSheetId="7">#REF!</definedName>
    <definedName name="rptof" localSheetId="8">#REF!</definedName>
    <definedName name="spanners_level1" localSheetId="0">#REF!</definedName>
    <definedName name="spanners_level1" localSheetId="9">#REF!</definedName>
    <definedName name="spanners_level1" localSheetId="10">#REF!</definedName>
    <definedName name="spanners_level1" localSheetId="2">#REF!</definedName>
    <definedName name="spanners_level1" localSheetId="5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2" localSheetId="0">#REF!</definedName>
    <definedName name="spanners_level2" localSheetId="9">#REF!</definedName>
    <definedName name="spanners_level2" localSheetId="10">#REF!</definedName>
    <definedName name="spanners_level2" localSheetId="2">#REF!</definedName>
    <definedName name="spanners_level2" localSheetId="5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3" localSheetId="0">#REF!</definedName>
    <definedName name="spanners_level3" localSheetId="9">#REF!</definedName>
    <definedName name="spanners_level3" localSheetId="10">#REF!</definedName>
    <definedName name="spanners_level3" localSheetId="2">#REF!</definedName>
    <definedName name="spanners_level3" localSheetId="5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4" localSheetId="0">#REF!</definedName>
    <definedName name="spanners_level4" localSheetId="9">#REF!</definedName>
    <definedName name="spanners_level4" localSheetId="10">#REF!</definedName>
    <definedName name="spanners_level4" localSheetId="2">#REF!</definedName>
    <definedName name="spanners_level4" localSheetId="5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5" localSheetId="0">#REF!</definedName>
    <definedName name="spanners_level5" localSheetId="9">#REF!</definedName>
    <definedName name="spanners_level5" localSheetId="10">#REF!</definedName>
    <definedName name="spanners_level5" localSheetId="2">#REF!</definedName>
    <definedName name="spanners_level5" localSheetId="5">#REF!</definedName>
    <definedName name="spanners_level5" localSheetId="6">#REF!</definedName>
    <definedName name="spanners_level5" localSheetId="7">#REF!</definedName>
    <definedName name="spanners_level5" localSheetId="8">#REF!</definedName>
    <definedName name="stub_lines" localSheetId="0">#REF!</definedName>
    <definedName name="stub_lines" localSheetId="9">#REF!</definedName>
    <definedName name="stub_lines" localSheetId="10">#REF!</definedName>
    <definedName name="stub_lines" localSheetId="2">#REF!</definedName>
    <definedName name="stub_lines" localSheetId="5">#REF!</definedName>
    <definedName name="stub_lines" localSheetId="6">#REF!</definedName>
    <definedName name="stub_lines" localSheetId="7">#REF!</definedName>
    <definedName name="stub_lines" localSheetId="8">#REF!</definedName>
    <definedName name="titles" localSheetId="0">#REF!</definedName>
    <definedName name="titles" localSheetId="9">#REF!</definedName>
    <definedName name="titles" localSheetId="10">#REF!</definedName>
    <definedName name="titles" localSheetId="2">#REF!</definedName>
    <definedName name="titles" localSheetId="5">#REF!</definedName>
    <definedName name="titles" localSheetId="6">#REF!</definedName>
    <definedName name="titles" localSheetId="7">#REF!</definedName>
    <definedName name="titles" localSheetId="8">#REF!</definedName>
    <definedName name="totals" localSheetId="0">#REF!</definedName>
    <definedName name="totals" localSheetId="9">#REF!</definedName>
    <definedName name="totals" localSheetId="10">#REF!</definedName>
    <definedName name="totals" localSheetId="2">#REF!</definedName>
    <definedName name="totals" localSheetId="5">#REF!</definedName>
    <definedName name="totals" localSheetId="6">#REF!</definedName>
    <definedName name="totals" localSheetId="7">#REF!</definedName>
    <definedName name="totals" localSheetId="8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27" l="1"/>
  <c r="L40" i="27"/>
  <c r="M40" i="27"/>
  <c r="N40" i="27"/>
  <c r="O40" i="27"/>
  <c r="Q40" i="47"/>
  <c r="Y40" i="47"/>
  <c r="S40" i="47"/>
  <c r="K39" i="27"/>
  <c r="L39" i="27"/>
  <c r="M39" i="27"/>
  <c r="N39" i="27"/>
  <c r="O39" i="27"/>
  <c r="Q39" i="47"/>
  <c r="Y39" i="47"/>
  <c r="S39" i="47"/>
  <c r="K38" i="27"/>
  <c r="L38" i="27"/>
  <c r="M38" i="27"/>
  <c r="N38" i="27"/>
  <c r="O38" i="27"/>
  <c r="Q38" i="47"/>
  <c r="Y38" i="47"/>
  <c r="S38" i="47"/>
  <c r="K37" i="27"/>
  <c r="L37" i="27"/>
  <c r="M37" i="27"/>
  <c r="N37" i="27"/>
  <c r="O37" i="27"/>
  <c r="Q37" i="47"/>
  <c r="Y37" i="47"/>
  <c r="S37" i="47"/>
  <c r="K36" i="27"/>
  <c r="L36" i="27"/>
  <c r="M36" i="27"/>
  <c r="N36" i="27"/>
  <c r="O36" i="27"/>
  <c r="Q36" i="47"/>
  <c r="Y36" i="47"/>
  <c r="S36" i="47"/>
  <c r="K35" i="27"/>
  <c r="L35" i="27"/>
  <c r="M35" i="27"/>
  <c r="N35" i="27"/>
  <c r="O35" i="27"/>
  <c r="Q35" i="47"/>
  <c r="Y35" i="47"/>
  <c r="S35" i="47"/>
  <c r="K34" i="27"/>
  <c r="L34" i="27"/>
  <c r="M34" i="27"/>
  <c r="N34" i="27"/>
  <c r="O34" i="27"/>
  <c r="Q34" i="47"/>
  <c r="Y34" i="47"/>
  <c r="S34" i="47"/>
  <c r="K33" i="27"/>
  <c r="L33" i="27"/>
  <c r="M33" i="27"/>
  <c r="N33" i="27"/>
  <c r="O33" i="27"/>
  <c r="Q33" i="47"/>
  <c r="Y33" i="47"/>
  <c r="S33" i="47"/>
  <c r="K32" i="27"/>
  <c r="L32" i="27"/>
  <c r="M32" i="27"/>
  <c r="N32" i="27"/>
  <c r="O32" i="27"/>
  <c r="Q32" i="47"/>
  <c r="Y32" i="47"/>
  <c r="S32" i="47"/>
  <c r="K31" i="27"/>
  <c r="L31" i="27"/>
  <c r="M31" i="27"/>
  <c r="N31" i="27"/>
  <c r="O31" i="27"/>
  <c r="Q31" i="47"/>
  <c r="Y31" i="47"/>
  <c r="S31" i="47"/>
  <c r="K30" i="27"/>
  <c r="L30" i="27"/>
  <c r="M30" i="27"/>
  <c r="N30" i="27"/>
  <c r="O30" i="27"/>
  <c r="Q30" i="47"/>
  <c r="Y30" i="47"/>
  <c r="S30" i="47"/>
  <c r="K29" i="27"/>
  <c r="L29" i="27"/>
  <c r="M29" i="27"/>
  <c r="N29" i="27"/>
  <c r="O29" i="27"/>
  <c r="Q29" i="47"/>
  <c r="Y29" i="47"/>
  <c r="S29" i="47"/>
  <c r="K28" i="27"/>
  <c r="L28" i="27"/>
  <c r="M28" i="27"/>
  <c r="N28" i="27"/>
  <c r="O28" i="27"/>
  <c r="Q28" i="47"/>
  <c r="Y28" i="47"/>
  <c r="S28" i="47"/>
  <c r="K27" i="27"/>
  <c r="L27" i="27"/>
  <c r="M27" i="27"/>
  <c r="N27" i="27"/>
  <c r="O27" i="27"/>
  <c r="Q27" i="47"/>
  <c r="Y27" i="47"/>
  <c r="S27" i="47"/>
  <c r="K26" i="27"/>
  <c r="L26" i="27"/>
  <c r="M26" i="27"/>
  <c r="N26" i="27"/>
  <c r="O26" i="27"/>
  <c r="Q26" i="47"/>
  <c r="Y26" i="47"/>
  <c r="S26" i="47"/>
  <c r="K25" i="27"/>
  <c r="L25" i="27"/>
  <c r="M25" i="27"/>
  <c r="N25" i="27"/>
  <c r="O25" i="27"/>
  <c r="Q25" i="47"/>
  <c r="Y25" i="47"/>
  <c r="S25" i="47"/>
  <c r="K24" i="27"/>
  <c r="L24" i="27"/>
  <c r="M24" i="27"/>
  <c r="N24" i="27"/>
  <c r="O24" i="27"/>
  <c r="Q24" i="47"/>
  <c r="Y24" i="47"/>
  <c r="S24" i="47"/>
  <c r="K23" i="27"/>
  <c r="L23" i="27"/>
  <c r="M23" i="27"/>
  <c r="N23" i="27"/>
  <c r="O23" i="27"/>
  <c r="Q23" i="47"/>
  <c r="Y23" i="47"/>
  <c r="S23" i="47"/>
  <c r="K22" i="27"/>
  <c r="L22" i="27"/>
  <c r="M22" i="27"/>
  <c r="N22" i="27"/>
  <c r="O22" i="27"/>
  <c r="Q22" i="47"/>
  <c r="Y22" i="47"/>
  <c r="S22" i="47"/>
  <c r="K21" i="27"/>
  <c r="L21" i="27"/>
  <c r="M21" i="27"/>
  <c r="N21" i="27"/>
  <c r="O21" i="27"/>
  <c r="Q21" i="47"/>
  <c r="Y21" i="47"/>
  <c r="S21" i="47"/>
  <c r="K20" i="27"/>
  <c r="L20" i="27"/>
  <c r="M20" i="27"/>
  <c r="N20" i="27"/>
  <c r="O20" i="27"/>
  <c r="Q20" i="47"/>
  <c r="Y20" i="47"/>
  <c r="S20" i="47"/>
  <c r="K19" i="27"/>
  <c r="L19" i="27"/>
  <c r="M19" i="27"/>
  <c r="N19" i="27"/>
  <c r="O19" i="27"/>
  <c r="Q19" i="47"/>
  <c r="Y19" i="47"/>
  <c r="S19" i="47"/>
  <c r="K18" i="27"/>
  <c r="L18" i="27"/>
  <c r="M18" i="27"/>
  <c r="N18" i="27"/>
  <c r="O18" i="27"/>
  <c r="Q18" i="47"/>
  <c r="Y18" i="47"/>
  <c r="S18" i="47"/>
  <c r="K17" i="27"/>
  <c r="L17" i="27"/>
  <c r="M17" i="27"/>
  <c r="N17" i="27"/>
  <c r="O17" i="27"/>
  <c r="Q17" i="47"/>
  <c r="Y17" i="47"/>
  <c r="S17" i="47"/>
  <c r="K16" i="27"/>
  <c r="L16" i="27"/>
  <c r="M16" i="27"/>
  <c r="N16" i="27"/>
  <c r="O16" i="27"/>
  <c r="Q16" i="47"/>
  <c r="Y16" i="47"/>
  <c r="S16" i="47"/>
  <c r="K15" i="27"/>
  <c r="L15" i="27"/>
  <c r="M15" i="27"/>
  <c r="N15" i="27"/>
  <c r="O15" i="27"/>
  <c r="Q15" i="47"/>
  <c r="Y15" i="47"/>
  <c r="S15" i="47"/>
  <c r="K14" i="27"/>
  <c r="L14" i="27"/>
  <c r="M14" i="27"/>
  <c r="N14" i="27"/>
  <c r="O14" i="27"/>
  <c r="Q14" i="47"/>
  <c r="Y14" i="47"/>
  <c r="S14" i="47"/>
  <c r="K13" i="27"/>
  <c r="L13" i="27"/>
  <c r="M13" i="27"/>
  <c r="N13" i="27"/>
  <c r="O13" i="27"/>
  <c r="Q13" i="47"/>
  <c r="Y13" i="47"/>
  <c r="S13" i="47"/>
  <c r="C12" i="27"/>
  <c r="H12" i="27"/>
  <c r="I12" i="47"/>
  <c r="K12" i="27"/>
  <c r="L12" i="27"/>
  <c r="M12" i="27"/>
  <c r="N12" i="27"/>
  <c r="O12" i="27"/>
  <c r="Q12" i="47"/>
  <c r="Y12" i="47"/>
  <c r="S12" i="47"/>
  <c r="K11" i="27"/>
  <c r="L11" i="27"/>
  <c r="M11" i="27"/>
  <c r="N11" i="27"/>
  <c r="O11" i="27"/>
  <c r="Q11" i="47"/>
  <c r="Y11" i="47"/>
  <c r="S11" i="47"/>
  <c r="S9" i="47"/>
  <c r="K10" i="27"/>
  <c r="L10" i="27"/>
  <c r="M10" i="27"/>
  <c r="N10" i="27"/>
  <c r="O10" i="27"/>
  <c r="Q10" i="47"/>
  <c r="K10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9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11" i="47"/>
  <c r="C9" i="47"/>
  <c r="B9" i="47"/>
  <c r="J9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8" i="47"/>
  <c r="J39" i="47"/>
  <c r="J40" i="47"/>
  <c r="J12" i="47"/>
  <c r="J11" i="47"/>
  <c r="J10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12" i="47"/>
  <c r="B11" i="47"/>
  <c r="I40" i="47"/>
  <c r="R40" i="47"/>
  <c r="H40" i="47"/>
  <c r="P40" i="47"/>
  <c r="X40" i="47"/>
  <c r="G40" i="47"/>
  <c r="O40" i="47"/>
  <c r="W40" i="47"/>
  <c r="F40" i="47"/>
  <c r="N40" i="47"/>
  <c r="V40" i="47"/>
  <c r="E40" i="47"/>
  <c r="M40" i="47"/>
  <c r="U40" i="47"/>
  <c r="D40" i="47"/>
  <c r="L40" i="47"/>
  <c r="T40" i="47"/>
  <c r="I39" i="47"/>
  <c r="R39" i="47"/>
  <c r="H39" i="47"/>
  <c r="P39" i="47"/>
  <c r="X39" i="47"/>
  <c r="G39" i="47"/>
  <c r="O39" i="47"/>
  <c r="W39" i="47"/>
  <c r="F39" i="47"/>
  <c r="N39" i="47"/>
  <c r="V39" i="47"/>
  <c r="E39" i="47"/>
  <c r="M39" i="47"/>
  <c r="U39" i="47"/>
  <c r="D39" i="47"/>
  <c r="L39" i="47"/>
  <c r="T39" i="47"/>
  <c r="I38" i="47"/>
  <c r="R38" i="47"/>
  <c r="H38" i="47"/>
  <c r="P38" i="47"/>
  <c r="X38" i="47"/>
  <c r="G38" i="47"/>
  <c r="O38" i="47"/>
  <c r="W38" i="47"/>
  <c r="F38" i="47"/>
  <c r="N38" i="47"/>
  <c r="V38" i="47"/>
  <c r="E38" i="47"/>
  <c r="M38" i="47"/>
  <c r="U38" i="47"/>
  <c r="D38" i="47"/>
  <c r="L38" i="47"/>
  <c r="T38" i="47"/>
  <c r="I37" i="47"/>
  <c r="R37" i="47"/>
  <c r="H37" i="47"/>
  <c r="P37" i="47"/>
  <c r="X37" i="47"/>
  <c r="G37" i="47"/>
  <c r="O37" i="47"/>
  <c r="W37" i="47"/>
  <c r="F37" i="47"/>
  <c r="N37" i="47"/>
  <c r="V37" i="47"/>
  <c r="E37" i="47"/>
  <c r="M37" i="47"/>
  <c r="U37" i="47"/>
  <c r="D37" i="47"/>
  <c r="L37" i="47"/>
  <c r="T37" i="47"/>
  <c r="I36" i="47"/>
  <c r="R36" i="47"/>
  <c r="H36" i="47"/>
  <c r="P36" i="47"/>
  <c r="X36" i="47"/>
  <c r="G36" i="47"/>
  <c r="O36" i="47"/>
  <c r="W36" i="47"/>
  <c r="F36" i="47"/>
  <c r="N36" i="47"/>
  <c r="V36" i="47"/>
  <c r="E36" i="47"/>
  <c r="M36" i="47"/>
  <c r="U36" i="47"/>
  <c r="D36" i="47"/>
  <c r="L36" i="47"/>
  <c r="T36" i="47"/>
  <c r="I35" i="47"/>
  <c r="R35" i="47"/>
  <c r="H35" i="47"/>
  <c r="P35" i="47"/>
  <c r="X35" i="47"/>
  <c r="G35" i="47"/>
  <c r="O35" i="47"/>
  <c r="W35" i="47"/>
  <c r="F35" i="47"/>
  <c r="N35" i="47"/>
  <c r="V35" i="47"/>
  <c r="E35" i="47"/>
  <c r="M35" i="47"/>
  <c r="U35" i="47"/>
  <c r="D35" i="47"/>
  <c r="L35" i="47"/>
  <c r="T35" i="47"/>
  <c r="I34" i="47"/>
  <c r="R34" i="47"/>
  <c r="H34" i="47"/>
  <c r="P34" i="47"/>
  <c r="X34" i="47"/>
  <c r="G34" i="47"/>
  <c r="O34" i="47"/>
  <c r="W34" i="47"/>
  <c r="F34" i="47"/>
  <c r="N34" i="47"/>
  <c r="V34" i="47"/>
  <c r="E34" i="47"/>
  <c r="M34" i="47"/>
  <c r="U34" i="47"/>
  <c r="D34" i="47"/>
  <c r="L34" i="47"/>
  <c r="T34" i="47"/>
  <c r="I33" i="47"/>
  <c r="R33" i="47"/>
  <c r="H33" i="47"/>
  <c r="P33" i="47"/>
  <c r="X33" i="47"/>
  <c r="G33" i="47"/>
  <c r="O33" i="47"/>
  <c r="W33" i="47"/>
  <c r="F33" i="47"/>
  <c r="N33" i="47"/>
  <c r="V33" i="47"/>
  <c r="E33" i="47"/>
  <c r="M33" i="47"/>
  <c r="U33" i="47"/>
  <c r="D33" i="47"/>
  <c r="L33" i="47"/>
  <c r="T33" i="47"/>
  <c r="I32" i="47"/>
  <c r="R32" i="47"/>
  <c r="H32" i="47"/>
  <c r="P32" i="47"/>
  <c r="X32" i="47"/>
  <c r="G32" i="47"/>
  <c r="O32" i="47"/>
  <c r="W32" i="47"/>
  <c r="F32" i="47"/>
  <c r="N32" i="47"/>
  <c r="V32" i="47"/>
  <c r="E32" i="47"/>
  <c r="M32" i="47"/>
  <c r="U32" i="47"/>
  <c r="D32" i="47"/>
  <c r="L32" i="47"/>
  <c r="T32" i="47"/>
  <c r="I31" i="47"/>
  <c r="R31" i="47"/>
  <c r="H31" i="47"/>
  <c r="P31" i="47"/>
  <c r="X31" i="47"/>
  <c r="G31" i="47"/>
  <c r="O31" i="47"/>
  <c r="W31" i="47"/>
  <c r="F31" i="47"/>
  <c r="N31" i="47"/>
  <c r="V31" i="47"/>
  <c r="E31" i="47"/>
  <c r="M31" i="47"/>
  <c r="U31" i="47"/>
  <c r="D31" i="47"/>
  <c r="L31" i="47"/>
  <c r="T31" i="47"/>
  <c r="I30" i="47"/>
  <c r="R30" i="47"/>
  <c r="H30" i="47"/>
  <c r="P30" i="47"/>
  <c r="X30" i="47"/>
  <c r="G30" i="47"/>
  <c r="O30" i="47"/>
  <c r="W30" i="47"/>
  <c r="F30" i="47"/>
  <c r="N30" i="47"/>
  <c r="V30" i="47"/>
  <c r="E30" i="47"/>
  <c r="M30" i="47"/>
  <c r="U30" i="47"/>
  <c r="D30" i="47"/>
  <c r="L30" i="47"/>
  <c r="T30" i="47"/>
  <c r="I29" i="47"/>
  <c r="R29" i="47"/>
  <c r="H29" i="47"/>
  <c r="P29" i="47"/>
  <c r="X29" i="47"/>
  <c r="G29" i="47"/>
  <c r="O29" i="47"/>
  <c r="W29" i="47"/>
  <c r="F29" i="47"/>
  <c r="N29" i="47"/>
  <c r="V29" i="47"/>
  <c r="E29" i="47"/>
  <c r="M29" i="47"/>
  <c r="U29" i="47"/>
  <c r="D29" i="47"/>
  <c r="L29" i="47"/>
  <c r="T29" i="47"/>
  <c r="I28" i="47"/>
  <c r="R28" i="47"/>
  <c r="H28" i="47"/>
  <c r="P28" i="47"/>
  <c r="X28" i="47"/>
  <c r="G28" i="47"/>
  <c r="O28" i="47"/>
  <c r="W28" i="47"/>
  <c r="F28" i="47"/>
  <c r="N28" i="47"/>
  <c r="V28" i="47"/>
  <c r="E28" i="47"/>
  <c r="M28" i="47"/>
  <c r="U28" i="47"/>
  <c r="D28" i="47"/>
  <c r="L28" i="47"/>
  <c r="T28" i="47"/>
  <c r="I27" i="47"/>
  <c r="R27" i="47"/>
  <c r="H27" i="47"/>
  <c r="P27" i="47"/>
  <c r="X27" i="47"/>
  <c r="G27" i="47"/>
  <c r="O27" i="47"/>
  <c r="W27" i="47"/>
  <c r="F27" i="47"/>
  <c r="N27" i="47"/>
  <c r="V27" i="47"/>
  <c r="E27" i="47"/>
  <c r="M27" i="47"/>
  <c r="U27" i="47"/>
  <c r="D27" i="47"/>
  <c r="L27" i="47"/>
  <c r="T27" i="47"/>
  <c r="I26" i="47"/>
  <c r="R26" i="47"/>
  <c r="H26" i="47"/>
  <c r="P26" i="47"/>
  <c r="X26" i="47"/>
  <c r="G26" i="47"/>
  <c r="O26" i="47"/>
  <c r="W26" i="47"/>
  <c r="F26" i="47"/>
  <c r="N26" i="47"/>
  <c r="V26" i="47"/>
  <c r="E26" i="47"/>
  <c r="M26" i="47"/>
  <c r="U26" i="47"/>
  <c r="D26" i="47"/>
  <c r="L26" i="47"/>
  <c r="T26" i="47"/>
  <c r="I25" i="47"/>
  <c r="R25" i="47"/>
  <c r="H25" i="47"/>
  <c r="P25" i="47"/>
  <c r="X25" i="47"/>
  <c r="G25" i="47"/>
  <c r="O25" i="47"/>
  <c r="W25" i="47"/>
  <c r="F25" i="47"/>
  <c r="N25" i="47"/>
  <c r="V25" i="47"/>
  <c r="E25" i="47"/>
  <c r="M25" i="47"/>
  <c r="U25" i="47"/>
  <c r="D25" i="47"/>
  <c r="L25" i="47"/>
  <c r="T25" i="47"/>
  <c r="I24" i="47"/>
  <c r="R24" i="47"/>
  <c r="H24" i="47"/>
  <c r="P24" i="47"/>
  <c r="X24" i="47"/>
  <c r="G24" i="47"/>
  <c r="O24" i="47"/>
  <c r="W24" i="47"/>
  <c r="F24" i="47"/>
  <c r="N24" i="47"/>
  <c r="V24" i="47"/>
  <c r="E24" i="47"/>
  <c r="M24" i="47"/>
  <c r="U24" i="47"/>
  <c r="D24" i="47"/>
  <c r="L24" i="47"/>
  <c r="T24" i="47"/>
  <c r="I23" i="47"/>
  <c r="R23" i="47"/>
  <c r="H23" i="47"/>
  <c r="P23" i="47"/>
  <c r="X23" i="47"/>
  <c r="G23" i="47"/>
  <c r="O23" i="47"/>
  <c r="W23" i="47"/>
  <c r="F23" i="47"/>
  <c r="N23" i="47"/>
  <c r="V23" i="47"/>
  <c r="E23" i="47"/>
  <c r="M23" i="47"/>
  <c r="U23" i="47"/>
  <c r="D23" i="47"/>
  <c r="L23" i="47"/>
  <c r="T23" i="47"/>
  <c r="I22" i="47"/>
  <c r="R22" i="47"/>
  <c r="H22" i="47"/>
  <c r="P22" i="47"/>
  <c r="X22" i="47"/>
  <c r="G22" i="47"/>
  <c r="O22" i="47"/>
  <c r="W22" i="47"/>
  <c r="F22" i="47"/>
  <c r="N22" i="47"/>
  <c r="V22" i="47"/>
  <c r="E22" i="47"/>
  <c r="M22" i="47"/>
  <c r="U22" i="47"/>
  <c r="D22" i="47"/>
  <c r="L22" i="47"/>
  <c r="T22" i="47"/>
  <c r="I21" i="47"/>
  <c r="R21" i="47"/>
  <c r="H21" i="47"/>
  <c r="P21" i="47"/>
  <c r="X21" i="47"/>
  <c r="G21" i="47"/>
  <c r="O21" i="47"/>
  <c r="W21" i="47"/>
  <c r="F21" i="47"/>
  <c r="N21" i="47"/>
  <c r="V21" i="47"/>
  <c r="E21" i="47"/>
  <c r="M21" i="47"/>
  <c r="U21" i="47"/>
  <c r="D21" i="47"/>
  <c r="L21" i="47"/>
  <c r="T21" i="47"/>
  <c r="I20" i="47"/>
  <c r="R20" i="47"/>
  <c r="H20" i="47"/>
  <c r="P20" i="47"/>
  <c r="X20" i="47"/>
  <c r="G20" i="47"/>
  <c r="O20" i="47"/>
  <c r="W20" i="47"/>
  <c r="F20" i="47"/>
  <c r="N20" i="47"/>
  <c r="V20" i="47"/>
  <c r="E20" i="47"/>
  <c r="M20" i="47"/>
  <c r="U20" i="47"/>
  <c r="D20" i="47"/>
  <c r="L20" i="47"/>
  <c r="T20" i="47"/>
  <c r="I19" i="47"/>
  <c r="R19" i="47"/>
  <c r="H19" i="47"/>
  <c r="P19" i="47"/>
  <c r="X19" i="47"/>
  <c r="G19" i="47"/>
  <c r="O19" i="47"/>
  <c r="W19" i="47"/>
  <c r="F19" i="47"/>
  <c r="N19" i="47"/>
  <c r="V19" i="47"/>
  <c r="E19" i="47"/>
  <c r="M19" i="47"/>
  <c r="U19" i="47"/>
  <c r="D19" i="47"/>
  <c r="L19" i="47"/>
  <c r="T19" i="47"/>
  <c r="I18" i="47"/>
  <c r="R18" i="47"/>
  <c r="H18" i="47"/>
  <c r="P18" i="47"/>
  <c r="X18" i="47"/>
  <c r="G18" i="47"/>
  <c r="O18" i="47"/>
  <c r="W18" i="47"/>
  <c r="F18" i="47"/>
  <c r="N18" i="47"/>
  <c r="V18" i="47"/>
  <c r="E18" i="47"/>
  <c r="M18" i="47"/>
  <c r="U18" i="47"/>
  <c r="D18" i="47"/>
  <c r="L18" i="47"/>
  <c r="T18" i="47"/>
  <c r="I17" i="47"/>
  <c r="R17" i="47"/>
  <c r="H17" i="47"/>
  <c r="P17" i="47"/>
  <c r="X17" i="47"/>
  <c r="G17" i="47"/>
  <c r="O17" i="47"/>
  <c r="W17" i="47"/>
  <c r="F17" i="47"/>
  <c r="N17" i="47"/>
  <c r="V17" i="47"/>
  <c r="E17" i="47"/>
  <c r="M17" i="47"/>
  <c r="U17" i="47"/>
  <c r="D17" i="47"/>
  <c r="L17" i="47"/>
  <c r="T17" i="47"/>
  <c r="I16" i="47"/>
  <c r="R16" i="47"/>
  <c r="H16" i="47"/>
  <c r="P16" i="47"/>
  <c r="X16" i="47"/>
  <c r="G16" i="47"/>
  <c r="O16" i="47"/>
  <c r="W16" i="47"/>
  <c r="F16" i="47"/>
  <c r="N16" i="47"/>
  <c r="V16" i="47"/>
  <c r="E16" i="47"/>
  <c r="M16" i="47"/>
  <c r="U16" i="47"/>
  <c r="D16" i="47"/>
  <c r="L16" i="47"/>
  <c r="T16" i="47"/>
  <c r="I15" i="47"/>
  <c r="R15" i="47"/>
  <c r="H15" i="47"/>
  <c r="P15" i="47"/>
  <c r="X15" i="47"/>
  <c r="G15" i="47"/>
  <c r="O15" i="47"/>
  <c r="W15" i="47"/>
  <c r="F15" i="47"/>
  <c r="N15" i="47"/>
  <c r="V15" i="47"/>
  <c r="E15" i="47"/>
  <c r="M15" i="47"/>
  <c r="U15" i="47"/>
  <c r="D15" i="47"/>
  <c r="L15" i="47"/>
  <c r="T15" i="47"/>
  <c r="I14" i="47"/>
  <c r="R14" i="47"/>
  <c r="H14" i="47"/>
  <c r="P14" i="47"/>
  <c r="X14" i="47"/>
  <c r="G14" i="47"/>
  <c r="O14" i="47"/>
  <c r="W14" i="47"/>
  <c r="F14" i="47"/>
  <c r="N14" i="47"/>
  <c r="V14" i="47"/>
  <c r="E14" i="47"/>
  <c r="M14" i="47"/>
  <c r="U14" i="47"/>
  <c r="D14" i="47"/>
  <c r="L14" i="47"/>
  <c r="T14" i="47"/>
  <c r="I13" i="47"/>
  <c r="R13" i="47"/>
  <c r="H13" i="47"/>
  <c r="P13" i="47"/>
  <c r="X13" i="47"/>
  <c r="G13" i="47"/>
  <c r="O13" i="47"/>
  <c r="W13" i="47"/>
  <c r="F13" i="47"/>
  <c r="N13" i="47"/>
  <c r="V13" i="47"/>
  <c r="E13" i="47"/>
  <c r="M13" i="47"/>
  <c r="U13" i="47"/>
  <c r="D13" i="47"/>
  <c r="L13" i="47"/>
  <c r="T13" i="47"/>
  <c r="R12" i="47"/>
  <c r="H12" i="47"/>
  <c r="P12" i="47"/>
  <c r="X12" i="47"/>
  <c r="G12" i="47"/>
  <c r="O12" i="47"/>
  <c r="W12" i="47"/>
  <c r="F12" i="47"/>
  <c r="N12" i="47"/>
  <c r="V12" i="47"/>
  <c r="E12" i="47"/>
  <c r="M12" i="47"/>
  <c r="U12" i="47"/>
  <c r="D12" i="47"/>
  <c r="L12" i="47"/>
  <c r="T12" i="47"/>
  <c r="I11" i="47"/>
  <c r="R11" i="47"/>
  <c r="H11" i="47"/>
  <c r="P11" i="47"/>
  <c r="X11" i="47"/>
  <c r="G11" i="47"/>
  <c r="O11" i="47"/>
  <c r="W11" i="47"/>
  <c r="F11" i="47"/>
  <c r="N11" i="47"/>
  <c r="V11" i="47"/>
  <c r="E11" i="47"/>
  <c r="M11" i="47"/>
  <c r="U11" i="47"/>
  <c r="D11" i="47"/>
  <c r="L11" i="47"/>
  <c r="T11" i="47"/>
  <c r="P10" i="47"/>
  <c r="O10" i="47"/>
  <c r="N10" i="47"/>
  <c r="M10" i="47"/>
  <c r="L10" i="47"/>
  <c r="I9" i="47"/>
  <c r="Q9" i="47"/>
  <c r="R9" i="47"/>
  <c r="Y9" i="47"/>
  <c r="H9" i="47"/>
  <c r="P9" i="47"/>
  <c r="X9" i="47"/>
  <c r="G9" i="47"/>
  <c r="O9" i="47"/>
  <c r="W9" i="47"/>
  <c r="F9" i="47"/>
  <c r="N9" i="47"/>
  <c r="V9" i="47"/>
  <c r="E9" i="47"/>
  <c r="M9" i="47"/>
  <c r="U9" i="47"/>
  <c r="D9" i="47"/>
  <c r="L9" i="47"/>
  <c r="T9" i="47"/>
  <c r="V9" i="46"/>
  <c r="O11" i="46"/>
  <c r="V11" i="46"/>
  <c r="H12" i="46"/>
  <c r="O12" i="46"/>
  <c r="V12" i="46"/>
  <c r="O13" i="46"/>
  <c r="V13" i="46"/>
  <c r="O14" i="46"/>
  <c r="V14" i="46"/>
  <c r="O15" i="46"/>
  <c r="V15" i="46"/>
  <c r="O16" i="46"/>
  <c r="V16" i="46"/>
  <c r="O17" i="46"/>
  <c r="V17" i="46"/>
  <c r="O18" i="46"/>
  <c r="V18" i="46"/>
  <c r="O19" i="46"/>
  <c r="V19" i="46"/>
  <c r="O20" i="46"/>
  <c r="V20" i="46"/>
  <c r="O21" i="46"/>
  <c r="V21" i="46"/>
  <c r="O22" i="46"/>
  <c r="V22" i="46"/>
  <c r="O23" i="46"/>
  <c r="V23" i="46"/>
  <c r="O24" i="46"/>
  <c r="V24" i="46"/>
  <c r="O25" i="46"/>
  <c r="V25" i="46"/>
  <c r="O26" i="46"/>
  <c r="V26" i="46"/>
  <c r="O27" i="46"/>
  <c r="V27" i="46"/>
  <c r="O28" i="46"/>
  <c r="V28" i="46"/>
  <c r="O29" i="46"/>
  <c r="V29" i="46"/>
  <c r="O30" i="46"/>
  <c r="V30" i="46"/>
  <c r="O31" i="46"/>
  <c r="V31" i="46"/>
  <c r="O32" i="46"/>
  <c r="V32" i="46"/>
  <c r="O33" i="46"/>
  <c r="V33" i="46"/>
  <c r="O34" i="46"/>
  <c r="V34" i="46"/>
  <c r="O35" i="46"/>
  <c r="V35" i="46"/>
  <c r="O36" i="46"/>
  <c r="V36" i="46"/>
  <c r="O37" i="46"/>
  <c r="V37" i="46"/>
  <c r="O38" i="46"/>
  <c r="V38" i="46"/>
  <c r="O39" i="46"/>
  <c r="V39" i="46"/>
  <c r="O40" i="46"/>
  <c r="V40" i="46"/>
  <c r="O9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11" i="46"/>
  <c r="H9" i="46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9" i="46"/>
  <c r="C40" i="46"/>
  <c r="D40" i="46"/>
  <c r="E40" i="46"/>
  <c r="F40" i="46"/>
  <c r="G40" i="46"/>
  <c r="J40" i="46"/>
  <c r="K40" i="46"/>
  <c r="L40" i="46"/>
  <c r="M40" i="46"/>
  <c r="N40" i="46"/>
  <c r="P40" i="46"/>
  <c r="U40" i="46"/>
  <c r="T40" i="46"/>
  <c r="S40" i="46"/>
  <c r="R40" i="46"/>
  <c r="Q40" i="46"/>
  <c r="C39" i="46"/>
  <c r="D39" i="46"/>
  <c r="E39" i="46"/>
  <c r="F39" i="46"/>
  <c r="G39" i="46"/>
  <c r="J39" i="46"/>
  <c r="K39" i="46"/>
  <c r="L39" i="46"/>
  <c r="M39" i="46"/>
  <c r="N39" i="46"/>
  <c r="P39" i="46"/>
  <c r="U39" i="46"/>
  <c r="T39" i="46"/>
  <c r="S39" i="46"/>
  <c r="R39" i="46"/>
  <c r="Q39" i="46"/>
  <c r="C38" i="46"/>
  <c r="D38" i="46"/>
  <c r="E38" i="46"/>
  <c r="F38" i="46"/>
  <c r="G38" i="46"/>
  <c r="J38" i="46"/>
  <c r="K38" i="46"/>
  <c r="L38" i="46"/>
  <c r="M38" i="46"/>
  <c r="N38" i="46"/>
  <c r="P38" i="46"/>
  <c r="U38" i="46"/>
  <c r="T38" i="46"/>
  <c r="S38" i="46"/>
  <c r="R38" i="46"/>
  <c r="Q38" i="46"/>
  <c r="C37" i="46"/>
  <c r="D37" i="46"/>
  <c r="E37" i="46"/>
  <c r="F37" i="46"/>
  <c r="G37" i="46"/>
  <c r="J37" i="46"/>
  <c r="K37" i="46"/>
  <c r="L37" i="46"/>
  <c r="M37" i="46"/>
  <c r="N37" i="46"/>
  <c r="P37" i="46"/>
  <c r="U37" i="46"/>
  <c r="T37" i="46"/>
  <c r="S37" i="46"/>
  <c r="R37" i="46"/>
  <c r="Q37" i="46"/>
  <c r="C36" i="46"/>
  <c r="D36" i="46"/>
  <c r="E36" i="46"/>
  <c r="F36" i="46"/>
  <c r="G36" i="46"/>
  <c r="J36" i="46"/>
  <c r="K36" i="46"/>
  <c r="L36" i="46"/>
  <c r="M36" i="46"/>
  <c r="N36" i="46"/>
  <c r="P36" i="46"/>
  <c r="U36" i="46"/>
  <c r="T36" i="46"/>
  <c r="S36" i="46"/>
  <c r="R36" i="46"/>
  <c r="Q36" i="46"/>
  <c r="C35" i="46"/>
  <c r="D35" i="46"/>
  <c r="E35" i="46"/>
  <c r="F35" i="46"/>
  <c r="G35" i="46"/>
  <c r="J35" i="46"/>
  <c r="K35" i="46"/>
  <c r="L35" i="46"/>
  <c r="M35" i="46"/>
  <c r="N35" i="46"/>
  <c r="P35" i="46"/>
  <c r="U35" i="46"/>
  <c r="T35" i="46"/>
  <c r="S35" i="46"/>
  <c r="R35" i="46"/>
  <c r="Q35" i="46"/>
  <c r="C34" i="46"/>
  <c r="D34" i="46"/>
  <c r="E34" i="46"/>
  <c r="F34" i="46"/>
  <c r="G34" i="46"/>
  <c r="J34" i="46"/>
  <c r="K34" i="46"/>
  <c r="L34" i="46"/>
  <c r="M34" i="46"/>
  <c r="N34" i="46"/>
  <c r="P34" i="46"/>
  <c r="U34" i="46"/>
  <c r="T34" i="46"/>
  <c r="S34" i="46"/>
  <c r="R34" i="46"/>
  <c r="Q34" i="46"/>
  <c r="C33" i="46"/>
  <c r="D33" i="46"/>
  <c r="E33" i="46"/>
  <c r="F33" i="46"/>
  <c r="G33" i="46"/>
  <c r="J33" i="46"/>
  <c r="K33" i="46"/>
  <c r="L33" i="46"/>
  <c r="M33" i="46"/>
  <c r="N33" i="46"/>
  <c r="P33" i="46"/>
  <c r="U33" i="46"/>
  <c r="T33" i="46"/>
  <c r="S33" i="46"/>
  <c r="R33" i="46"/>
  <c r="Q33" i="46"/>
  <c r="C32" i="46"/>
  <c r="D32" i="46"/>
  <c r="E32" i="46"/>
  <c r="F32" i="46"/>
  <c r="G32" i="46"/>
  <c r="J32" i="46"/>
  <c r="K32" i="46"/>
  <c r="L32" i="46"/>
  <c r="M32" i="46"/>
  <c r="N32" i="46"/>
  <c r="P32" i="46"/>
  <c r="U32" i="46"/>
  <c r="T32" i="46"/>
  <c r="S32" i="46"/>
  <c r="R32" i="46"/>
  <c r="Q32" i="46"/>
  <c r="C31" i="46"/>
  <c r="D31" i="46"/>
  <c r="E31" i="46"/>
  <c r="F31" i="46"/>
  <c r="G31" i="46"/>
  <c r="J31" i="46"/>
  <c r="K31" i="46"/>
  <c r="L31" i="46"/>
  <c r="M31" i="46"/>
  <c r="N31" i="46"/>
  <c r="P31" i="46"/>
  <c r="U31" i="46"/>
  <c r="T31" i="46"/>
  <c r="S31" i="46"/>
  <c r="R31" i="46"/>
  <c r="Q31" i="46"/>
  <c r="C30" i="46"/>
  <c r="D30" i="46"/>
  <c r="E30" i="46"/>
  <c r="F30" i="46"/>
  <c r="G30" i="46"/>
  <c r="J30" i="46"/>
  <c r="K30" i="46"/>
  <c r="L30" i="46"/>
  <c r="M30" i="46"/>
  <c r="N30" i="46"/>
  <c r="P30" i="46"/>
  <c r="U30" i="46"/>
  <c r="T30" i="46"/>
  <c r="S30" i="46"/>
  <c r="R30" i="46"/>
  <c r="Q30" i="46"/>
  <c r="C29" i="46"/>
  <c r="D29" i="46"/>
  <c r="E29" i="46"/>
  <c r="F29" i="46"/>
  <c r="G29" i="46"/>
  <c r="J29" i="46"/>
  <c r="K29" i="46"/>
  <c r="L29" i="46"/>
  <c r="M29" i="46"/>
  <c r="N29" i="46"/>
  <c r="P29" i="46"/>
  <c r="U29" i="46"/>
  <c r="T29" i="46"/>
  <c r="S29" i="46"/>
  <c r="R29" i="46"/>
  <c r="Q29" i="46"/>
  <c r="C28" i="46"/>
  <c r="D28" i="46"/>
  <c r="E28" i="46"/>
  <c r="F28" i="46"/>
  <c r="G28" i="46"/>
  <c r="J28" i="46"/>
  <c r="K28" i="46"/>
  <c r="L28" i="46"/>
  <c r="M28" i="46"/>
  <c r="N28" i="46"/>
  <c r="P28" i="46"/>
  <c r="U28" i="46"/>
  <c r="T28" i="46"/>
  <c r="S28" i="46"/>
  <c r="R28" i="46"/>
  <c r="Q28" i="46"/>
  <c r="C27" i="46"/>
  <c r="D27" i="46"/>
  <c r="E27" i="46"/>
  <c r="F27" i="46"/>
  <c r="G27" i="46"/>
  <c r="J27" i="46"/>
  <c r="K27" i="46"/>
  <c r="L27" i="46"/>
  <c r="M27" i="46"/>
  <c r="N27" i="46"/>
  <c r="P27" i="46"/>
  <c r="U27" i="46"/>
  <c r="T27" i="46"/>
  <c r="S27" i="46"/>
  <c r="R27" i="46"/>
  <c r="Q27" i="46"/>
  <c r="C26" i="46"/>
  <c r="D26" i="46"/>
  <c r="E26" i="46"/>
  <c r="F26" i="46"/>
  <c r="G26" i="46"/>
  <c r="J26" i="46"/>
  <c r="K26" i="46"/>
  <c r="L26" i="46"/>
  <c r="M26" i="46"/>
  <c r="N26" i="46"/>
  <c r="P26" i="46"/>
  <c r="U26" i="46"/>
  <c r="T26" i="46"/>
  <c r="S26" i="46"/>
  <c r="R26" i="46"/>
  <c r="Q26" i="46"/>
  <c r="C25" i="46"/>
  <c r="D25" i="46"/>
  <c r="E25" i="46"/>
  <c r="F25" i="46"/>
  <c r="G25" i="46"/>
  <c r="J25" i="46"/>
  <c r="K25" i="46"/>
  <c r="L25" i="46"/>
  <c r="M25" i="46"/>
  <c r="N25" i="46"/>
  <c r="P25" i="46"/>
  <c r="U25" i="46"/>
  <c r="T25" i="46"/>
  <c r="S25" i="46"/>
  <c r="R25" i="46"/>
  <c r="Q25" i="46"/>
  <c r="C24" i="46"/>
  <c r="D24" i="46"/>
  <c r="E24" i="46"/>
  <c r="F24" i="46"/>
  <c r="G24" i="46"/>
  <c r="J24" i="46"/>
  <c r="K24" i="46"/>
  <c r="L24" i="46"/>
  <c r="M24" i="46"/>
  <c r="N24" i="46"/>
  <c r="P24" i="46"/>
  <c r="U24" i="46"/>
  <c r="T24" i="46"/>
  <c r="S24" i="46"/>
  <c r="R24" i="46"/>
  <c r="Q24" i="46"/>
  <c r="C23" i="46"/>
  <c r="D23" i="46"/>
  <c r="E23" i="46"/>
  <c r="F23" i="46"/>
  <c r="G23" i="46"/>
  <c r="J23" i="46"/>
  <c r="K23" i="46"/>
  <c r="L23" i="46"/>
  <c r="M23" i="46"/>
  <c r="N23" i="46"/>
  <c r="P23" i="46"/>
  <c r="U23" i="46"/>
  <c r="T23" i="46"/>
  <c r="S23" i="46"/>
  <c r="R23" i="46"/>
  <c r="Q23" i="46"/>
  <c r="C22" i="46"/>
  <c r="D22" i="46"/>
  <c r="E22" i="46"/>
  <c r="F22" i="46"/>
  <c r="G22" i="46"/>
  <c r="J22" i="46"/>
  <c r="K22" i="46"/>
  <c r="L22" i="46"/>
  <c r="M22" i="46"/>
  <c r="N22" i="46"/>
  <c r="P22" i="46"/>
  <c r="U22" i="46"/>
  <c r="T22" i="46"/>
  <c r="S22" i="46"/>
  <c r="R22" i="46"/>
  <c r="Q22" i="46"/>
  <c r="C21" i="46"/>
  <c r="D21" i="46"/>
  <c r="E21" i="46"/>
  <c r="F21" i="46"/>
  <c r="G21" i="46"/>
  <c r="J21" i="46"/>
  <c r="K21" i="46"/>
  <c r="L21" i="46"/>
  <c r="M21" i="46"/>
  <c r="N21" i="46"/>
  <c r="P21" i="46"/>
  <c r="U21" i="46"/>
  <c r="T21" i="46"/>
  <c r="S21" i="46"/>
  <c r="R21" i="46"/>
  <c r="Q21" i="46"/>
  <c r="C20" i="46"/>
  <c r="D20" i="46"/>
  <c r="E20" i="46"/>
  <c r="F20" i="46"/>
  <c r="G20" i="46"/>
  <c r="J20" i="46"/>
  <c r="K20" i="46"/>
  <c r="L20" i="46"/>
  <c r="M20" i="46"/>
  <c r="N20" i="46"/>
  <c r="P20" i="46"/>
  <c r="U20" i="46"/>
  <c r="T20" i="46"/>
  <c r="S20" i="46"/>
  <c r="R20" i="46"/>
  <c r="Q20" i="46"/>
  <c r="C19" i="46"/>
  <c r="D19" i="46"/>
  <c r="E19" i="46"/>
  <c r="F19" i="46"/>
  <c r="G19" i="46"/>
  <c r="J19" i="46"/>
  <c r="K19" i="46"/>
  <c r="L19" i="46"/>
  <c r="M19" i="46"/>
  <c r="N19" i="46"/>
  <c r="P19" i="46"/>
  <c r="U19" i="46"/>
  <c r="T19" i="46"/>
  <c r="S19" i="46"/>
  <c r="R19" i="46"/>
  <c r="Q19" i="46"/>
  <c r="C18" i="46"/>
  <c r="D18" i="46"/>
  <c r="E18" i="46"/>
  <c r="F18" i="46"/>
  <c r="G18" i="46"/>
  <c r="J18" i="46"/>
  <c r="K18" i="46"/>
  <c r="L18" i="46"/>
  <c r="M18" i="46"/>
  <c r="N18" i="46"/>
  <c r="P18" i="46"/>
  <c r="U18" i="46"/>
  <c r="T18" i="46"/>
  <c r="S18" i="46"/>
  <c r="R18" i="46"/>
  <c r="Q18" i="46"/>
  <c r="C17" i="46"/>
  <c r="D17" i="46"/>
  <c r="E17" i="46"/>
  <c r="F17" i="46"/>
  <c r="G17" i="46"/>
  <c r="J17" i="46"/>
  <c r="K17" i="46"/>
  <c r="L17" i="46"/>
  <c r="M17" i="46"/>
  <c r="N17" i="46"/>
  <c r="P17" i="46"/>
  <c r="U17" i="46"/>
  <c r="T17" i="46"/>
  <c r="S17" i="46"/>
  <c r="R17" i="46"/>
  <c r="Q17" i="46"/>
  <c r="C16" i="46"/>
  <c r="D16" i="46"/>
  <c r="E16" i="46"/>
  <c r="F16" i="46"/>
  <c r="G16" i="46"/>
  <c r="J16" i="46"/>
  <c r="K16" i="46"/>
  <c r="L16" i="46"/>
  <c r="M16" i="46"/>
  <c r="N16" i="46"/>
  <c r="P16" i="46"/>
  <c r="U16" i="46"/>
  <c r="T16" i="46"/>
  <c r="S16" i="46"/>
  <c r="R16" i="46"/>
  <c r="Q16" i="46"/>
  <c r="C15" i="46"/>
  <c r="D15" i="46"/>
  <c r="E15" i="46"/>
  <c r="F15" i="46"/>
  <c r="G15" i="46"/>
  <c r="J15" i="46"/>
  <c r="K15" i="46"/>
  <c r="L15" i="46"/>
  <c r="M15" i="46"/>
  <c r="N15" i="46"/>
  <c r="P15" i="46"/>
  <c r="U15" i="46"/>
  <c r="T15" i="46"/>
  <c r="S15" i="46"/>
  <c r="R15" i="46"/>
  <c r="Q15" i="46"/>
  <c r="C14" i="46"/>
  <c r="D14" i="46"/>
  <c r="E14" i="46"/>
  <c r="F14" i="46"/>
  <c r="G14" i="46"/>
  <c r="J14" i="46"/>
  <c r="K14" i="46"/>
  <c r="L14" i="46"/>
  <c r="M14" i="46"/>
  <c r="N14" i="46"/>
  <c r="P14" i="46"/>
  <c r="U14" i="46"/>
  <c r="T14" i="46"/>
  <c r="S14" i="46"/>
  <c r="R14" i="46"/>
  <c r="Q14" i="46"/>
  <c r="C13" i="46"/>
  <c r="D13" i="46"/>
  <c r="E13" i="46"/>
  <c r="F13" i="46"/>
  <c r="G13" i="46"/>
  <c r="J13" i="46"/>
  <c r="K13" i="46"/>
  <c r="L13" i="46"/>
  <c r="M13" i="46"/>
  <c r="N13" i="46"/>
  <c r="P13" i="46"/>
  <c r="U13" i="46"/>
  <c r="T13" i="46"/>
  <c r="S13" i="46"/>
  <c r="R13" i="46"/>
  <c r="Q13" i="46"/>
  <c r="C12" i="46"/>
  <c r="D12" i="46"/>
  <c r="E12" i="46"/>
  <c r="F12" i="46"/>
  <c r="G12" i="46"/>
  <c r="J12" i="46"/>
  <c r="K12" i="46"/>
  <c r="L12" i="46"/>
  <c r="M12" i="46"/>
  <c r="N12" i="46"/>
  <c r="P12" i="46"/>
  <c r="U12" i="46"/>
  <c r="T12" i="46"/>
  <c r="S12" i="46"/>
  <c r="R12" i="46"/>
  <c r="Q12" i="46"/>
  <c r="C11" i="46"/>
  <c r="D11" i="46"/>
  <c r="E11" i="46"/>
  <c r="F11" i="46"/>
  <c r="G11" i="46"/>
  <c r="J11" i="46"/>
  <c r="K11" i="46"/>
  <c r="L11" i="46"/>
  <c r="M11" i="46"/>
  <c r="N11" i="46"/>
  <c r="P11" i="46"/>
  <c r="U11" i="46"/>
  <c r="T11" i="46"/>
  <c r="S11" i="46"/>
  <c r="R11" i="46"/>
  <c r="Q11" i="46"/>
  <c r="J10" i="46"/>
  <c r="K10" i="46"/>
  <c r="L10" i="46"/>
  <c r="M10" i="46"/>
  <c r="N10" i="46"/>
  <c r="C9" i="46"/>
  <c r="D9" i="46"/>
  <c r="E9" i="46"/>
  <c r="F9" i="46"/>
  <c r="G9" i="46"/>
  <c r="J9" i="46"/>
  <c r="K9" i="46"/>
  <c r="L9" i="46"/>
  <c r="M9" i="46"/>
  <c r="N9" i="46"/>
  <c r="P9" i="46"/>
  <c r="U9" i="46"/>
  <c r="T9" i="46"/>
  <c r="S9" i="46"/>
  <c r="R9" i="46"/>
  <c r="Q9" i="46"/>
  <c r="V9" i="27"/>
  <c r="U9" i="27"/>
  <c r="T9" i="27"/>
  <c r="S9" i="27"/>
  <c r="R9" i="27"/>
  <c r="Q9" i="27"/>
  <c r="Q12" i="27"/>
  <c r="R12" i="27"/>
  <c r="S12" i="27"/>
  <c r="T12" i="27"/>
  <c r="U12" i="27"/>
  <c r="V12" i="27"/>
  <c r="Q13" i="27"/>
  <c r="R13" i="27"/>
  <c r="S13" i="27"/>
  <c r="T13" i="27"/>
  <c r="U13" i="27"/>
  <c r="V13" i="27"/>
  <c r="Q14" i="27"/>
  <c r="R14" i="27"/>
  <c r="S14" i="27"/>
  <c r="T14" i="27"/>
  <c r="U14" i="27"/>
  <c r="V14" i="27"/>
  <c r="Q15" i="27"/>
  <c r="R15" i="27"/>
  <c r="S15" i="27"/>
  <c r="T15" i="27"/>
  <c r="U15" i="27"/>
  <c r="V15" i="27"/>
  <c r="Q16" i="27"/>
  <c r="R16" i="27"/>
  <c r="S16" i="27"/>
  <c r="T16" i="27"/>
  <c r="U16" i="27"/>
  <c r="V16" i="27"/>
  <c r="Q17" i="27"/>
  <c r="R17" i="27"/>
  <c r="S17" i="27"/>
  <c r="T17" i="27"/>
  <c r="U17" i="27"/>
  <c r="V17" i="27"/>
  <c r="Q18" i="27"/>
  <c r="R18" i="27"/>
  <c r="S18" i="27"/>
  <c r="T18" i="27"/>
  <c r="U18" i="27"/>
  <c r="V18" i="27"/>
  <c r="Q19" i="27"/>
  <c r="R19" i="27"/>
  <c r="S19" i="27"/>
  <c r="T19" i="27"/>
  <c r="U19" i="27"/>
  <c r="V19" i="27"/>
  <c r="Q20" i="27"/>
  <c r="R20" i="27"/>
  <c r="S20" i="27"/>
  <c r="T20" i="27"/>
  <c r="U20" i="27"/>
  <c r="V20" i="27"/>
  <c r="Q21" i="27"/>
  <c r="R21" i="27"/>
  <c r="S21" i="27"/>
  <c r="T21" i="27"/>
  <c r="U21" i="27"/>
  <c r="V21" i="27"/>
  <c r="Q22" i="27"/>
  <c r="R22" i="27"/>
  <c r="S22" i="27"/>
  <c r="T22" i="27"/>
  <c r="U22" i="27"/>
  <c r="V22" i="27"/>
  <c r="Q23" i="27"/>
  <c r="R23" i="27"/>
  <c r="S23" i="27"/>
  <c r="T23" i="27"/>
  <c r="U23" i="27"/>
  <c r="V23" i="27"/>
  <c r="Q24" i="27"/>
  <c r="R24" i="27"/>
  <c r="S24" i="27"/>
  <c r="T24" i="27"/>
  <c r="U24" i="27"/>
  <c r="V24" i="27"/>
  <c r="Q25" i="27"/>
  <c r="R25" i="27"/>
  <c r="S25" i="27"/>
  <c r="T25" i="27"/>
  <c r="U25" i="27"/>
  <c r="V25" i="27"/>
  <c r="Q26" i="27"/>
  <c r="R26" i="27"/>
  <c r="S26" i="27"/>
  <c r="T26" i="27"/>
  <c r="U26" i="27"/>
  <c r="V26" i="27"/>
  <c r="Q27" i="27"/>
  <c r="R27" i="27"/>
  <c r="S27" i="27"/>
  <c r="T27" i="27"/>
  <c r="U27" i="27"/>
  <c r="V27" i="27"/>
  <c r="Q28" i="27"/>
  <c r="R28" i="27"/>
  <c r="S28" i="27"/>
  <c r="T28" i="27"/>
  <c r="U28" i="27"/>
  <c r="V28" i="27"/>
  <c r="Q29" i="27"/>
  <c r="R29" i="27"/>
  <c r="S29" i="27"/>
  <c r="T29" i="27"/>
  <c r="U29" i="27"/>
  <c r="V29" i="27"/>
  <c r="Q30" i="27"/>
  <c r="R30" i="27"/>
  <c r="S30" i="27"/>
  <c r="T30" i="27"/>
  <c r="U30" i="27"/>
  <c r="V30" i="27"/>
  <c r="Q31" i="27"/>
  <c r="R31" i="27"/>
  <c r="S31" i="27"/>
  <c r="T31" i="27"/>
  <c r="U31" i="27"/>
  <c r="V31" i="27"/>
  <c r="Q32" i="27"/>
  <c r="R32" i="27"/>
  <c r="S32" i="27"/>
  <c r="T32" i="27"/>
  <c r="U32" i="27"/>
  <c r="V32" i="27"/>
  <c r="Q33" i="27"/>
  <c r="R33" i="27"/>
  <c r="S33" i="27"/>
  <c r="T33" i="27"/>
  <c r="U33" i="27"/>
  <c r="V33" i="27"/>
  <c r="Q34" i="27"/>
  <c r="R34" i="27"/>
  <c r="S34" i="27"/>
  <c r="T34" i="27"/>
  <c r="U34" i="27"/>
  <c r="V34" i="27"/>
  <c r="Q35" i="27"/>
  <c r="R35" i="27"/>
  <c r="S35" i="27"/>
  <c r="T35" i="27"/>
  <c r="U35" i="27"/>
  <c r="V35" i="27"/>
  <c r="Q36" i="27"/>
  <c r="R36" i="27"/>
  <c r="S36" i="27"/>
  <c r="T36" i="27"/>
  <c r="U36" i="27"/>
  <c r="V36" i="27"/>
  <c r="Q37" i="27"/>
  <c r="R37" i="27"/>
  <c r="S37" i="27"/>
  <c r="T37" i="27"/>
  <c r="U37" i="27"/>
  <c r="V37" i="27"/>
  <c r="Q38" i="27"/>
  <c r="R38" i="27"/>
  <c r="S38" i="27"/>
  <c r="T38" i="27"/>
  <c r="U38" i="27"/>
  <c r="V38" i="27"/>
  <c r="Q39" i="27"/>
  <c r="R39" i="27"/>
  <c r="S39" i="27"/>
  <c r="T39" i="27"/>
  <c r="U39" i="27"/>
  <c r="V39" i="27"/>
  <c r="Q40" i="27"/>
  <c r="R40" i="27"/>
  <c r="S40" i="27"/>
  <c r="T40" i="27"/>
  <c r="U40" i="27"/>
  <c r="V40" i="27"/>
  <c r="R11" i="27"/>
  <c r="S11" i="27"/>
  <c r="T11" i="27"/>
  <c r="U11" i="27"/>
  <c r="V11" i="27"/>
  <c r="Q11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9" i="27"/>
  <c r="B9" i="27"/>
  <c r="G9" i="27"/>
  <c r="F9" i="27"/>
  <c r="E9" i="27"/>
  <c r="D9" i="27"/>
  <c r="C9" i="27"/>
  <c r="H9" i="27"/>
  <c r="B11" i="27"/>
  <c r="C11" i="27"/>
  <c r="D11" i="27"/>
  <c r="E11" i="27"/>
  <c r="F11" i="27"/>
  <c r="G11" i="27"/>
  <c r="H11" i="27"/>
  <c r="B13" i="27"/>
  <c r="C13" i="27"/>
  <c r="D13" i="27"/>
  <c r="E13" i="27"/>
  <c r="F13" i="27"/>
  <c r="G13" i="27"/>
  <c r="H13" i="27"/>
  <c r="B14" i="27"/>
  <c r="C14" i="27"/>
  <c r="D14" i="27"/>
  <c r="E14" i="27"/>
  <c r="F14" i="27"/>
  <c r="G14" i="27"/>
  <c r="H14" i="27"/>
  <c r="B15" i="27"/>
  <c r="C15" i="27"/>
  <c r="D15" i="27"/>
  <c r="E15" i="27"/>
  <c r="F15" i="27"/>
  <c r="G15" i="27"/>
  <c r="H15" i="27"/>
  <c r="B16" i="27"/>
  <c r="C16" i="27"/>
  <c r="D16" i="27"/>
  <c r="E16" i="27"/>
  <c r="F16" i="27"/>
  <c r="G16" i="27"/>
  <c r="H16" i="27"/>
  <c r="B17" i="27"/>
  <c r="C17" i="27"/>
  <c r="D17" i="27"/>
  <c r="E17" i="27"/>
  <c r="F17" i="27"/>
  <c r="G17" i="27"/>
  <c r="H17" i="27"/>
  <c r="B18" i="27"/>
  <c r="C18" i="27"/>
  <c r="D18" i="27"/>
  <c r="E18" i="27"/>
  <c r="F18" i="27"/>
  <c r="G18" i="27"/>
  <c r="H18" i="27"/>
  <c r="B19" i="27"/>
  <c r="C19" i="27"/>
  <c r="D19" i="27"/>
  <c r="E19" i="27"/>
  <c r="F19" i="27"/>
  <c r="G19" i="27"/>
  <c r="H19" i="27"/>
  <c r="B20" i="27"/>
  <c r="C20" i="27"/>
  <c r="D20" i="27"/>
  <c r="E20" i="27"/>
  <c r="F20" i="27"/>
  <c r="G20" i="27"/>
  <c r="H20" i="27"/>
  <c r="B21" i="27"/>
  <c r="C21" i="27"/>
  <c r="D21" i="27"/>
  <c r="E21" i="27"/>
  <c r="F21" i="27"/>
  <c r="G21" i="27"/>
  <c r="H21" i="27"/>
  <c r="B22" i="27"/>
  <c r="C22" i="27"/>
  <c r="D22" i="27"/>
  <c r="E22" i="27"/>
  <c r="F22" i="27"/>
  <c r="G22" i="27"/>
  <c r="H22" i="27"/>
  <c r="B23" i="27"/>
  <c r="C23" i="27"/>
  <c r="D23" i="27"/>
  <c r="E23" i="27"/>
  <c r="F23" i="27"/>
  <c r="G23" i="27"/>
  <c r="H23" i="27"/>
  <c r="B24" i="27"/>
  <c r="C24" i="27"/>
  <c r="D24" i="27"/>
  <c r="E24" i="27"/>
  <c r="F24" i="27"/>
  <c r="G24" i="27"/>
  <c r="H24" i="27"/>
  <c r="B25" i="27"/>
  <c r="C25" i="27"/>
  <c r="D25" i="27"/>
  <c r="E25" i="27"/>
  <c r="F25" i="27"/>
  <c r="G25" i="27"/>
  <c r="H25" i="27"/>
  <c r="B26" i="27"/>
  <c r="C26" i="27"/>
  <c r="D26" i="27"/>
  <c r="E26" i="27"/>
  <c r="F26" i="27"/>
  <c r="G26" i="27"/>
  <c r="H26" i="27"/>
  <c r="B27" i="27"/>
  <c r="C27" i="27"/>
  <c r="D27" i="27"/>
  <c r="E27" i="27"/>
  <c r="F27" i="27"/>
  <c r="G27" i="27"/>
  <c r="H27" i="27"/>
  <c r="B28" i="27"/>
  <c r="C28" i="27"/>
  <c r="D28" i="27"/>
  <c r="E28" i="27"/>
  <c r="F28" i="27"/>
  <c r="G28" i="27"/>
  <c r="H28" i="27"/>
  <c r="B29" i="27"/>
  <c r="C29" i="27"/>
  <c r="D29" i="27"/>
  <c r="E29" i="27"/>
  <c r="F29" i="27"/>
  <c r="G29" i="27"/>
  <c r="H29" i="27"/>
  <c r="B30" i="27"/>
  <c r="C30" i="27"/>
  <c r="D30" i="27"/>
  <c r="E30" i="27"/>
  <c r="F30" i="27"/>
  <c r="G30" i="27"/>
  <c r="H30" i="27"/>
  <c r="B31" i="27"/>
  <c r="C31" i="27"/>
  <c r="D31" i="27"/>
  <c r="E31" i="27"/>
  <c r="F31" i="27"/>
  <c r="G31" i="27"/>
  <c r="H31" i="27"/>
  <c r="B32" i="27"/>
  <c r="C32" i="27"/>
  <c r="D32" i="27"/>
  <c r="E32" i="27"/>
  <c r="F32" i="27"/>
  <c r="G32" i="27"/>
  <c r="H32" i="27"/>
  <c r="B33" i="27"/>
  <c r="C33" i="27"/>
  <c r="D33" i="27"/>
  <c r="E33" i="27"/>
  <c r="F33" i="27"/>
  <c r="G33" i="27"/>
  <c r="H33" i="27"/>
  <c r="B34" i="27"/>
  <c r="C34" i="27"/>
  <c r="D34" i="27"/>
  <c r="E34" i="27"/>
  <c r="F34" i="27"/>
  <c r="G34" i="27"/>
  <c r="H34" i="27"/>
  <c r="B35" i="27"/>
  <c r="C35" i="27"/>
  <c r="D35" i="27"/>
  <c r="E35" i="27"/>
  <c r="F35" i="27"/>
  <c r="G35" i="27"/>
  <c r="H35" i="27"/>
  <c r="B36" i="27"/>
  <c r="C36" i="27"/>
  <c r="D36" i="27"/>
  <c r="E36" i="27"/>
  <c r="F36" i="27"/>
  <c r="G36" i="27"/>
  <c r="H36" i="27"/>
  <c r="B37" i="27"/>
  <c r="C37" i="27"/>
  <c r="D37" i="27"/>
  <c r="E37" i="27"/>
  <c r="F37" i="27"/>
  <c r="G37" i="27"/>
  <c r="H37" i="27"/>
  <c r="B38" i="27"/>
  <c r="C38" i="27"/>
  <c r="D38" i="27"/>
  <c r="E38" i="27"/>
  <c r="F38" i="27"/>
  <c r="G38" i="27"/>
  <c r="H38" i="27"/>
  <c r="B39" i="27"/>
  <c r="C39" i="27"/>
  <c r="D39" i="27"/>
  <c r="E39" i="27"/>
  <c r="F39" i="27"/>
  <c r="G39" i="27"/>
  <c r="H39" i="27"/>
  <c r="B40" i="27"/>
  <c r="C40" i="27"/>
  <c r="D40" i="27"/>
  <c r="E40" i="27"/>
  <c r="F40" i="27"/>
  <c r="G40" i="27"/>
  <c r="H40" i="27"/>
  <c r="B12" i="27"/>
  <c r="D12" i="27"/>
  <c r="E12" i="27"/>
  <c r="F12" i="27"/>
  <c r="G12" i="27"/>
  <c r="I9" i="27"/>
  <c r="N9" i="27"/>
  <c r="M9" i="27"/>
  <c r="L9" i="27"/>
  <c r="K9" i="27"/>
  <c r="J9" i="27"/>
  <c r="O9" i="27"/>
  <c r="I10" i="27"/>
  <c r="J10" i="27"/>
  <c r="I11" i="27"/>
  <c r="J11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12" i="27"/>
  <c r="H16" i="29"/>
  <c r="B16" i="29"/>
  <c r="H12" i="30"/>
  <c r="E16" i="29"/>
  <c r="F16" i="29"/>
  <c r="I16" i="29"/>
  <c r="K16" i="29"/>
  <c r="E12" i="30"/>
  <c r="H17" i="29"/>
  <c r="B17" i="29"/>
  <c r="H13" i="30"/>
  <c r="E17" i="29"/>
  <c r="F17" i="29"/>
  <c r="I17" i="29"/>
  <c r="K17" i="29"/>
  <c r="E13" i="30"/>
  <c r="H18" i="29"/>
  <c r="B18" i="29"/>
  <c r="H14" i="30"/>
  <c r="E18" i="29"/>
  <c r="F18" i="29"/>
  <c r="I18" i="29"/>
  <c r="K18" i="29"/>
  <c r="E14" i="30"/>
  <c r="H19" i="29"/>
  <c r="B19" i="29"/>
  <c r="H15" i="30"/>
  <c r="E19" i="29"/>
  <c r="F19" i="29"/>
  <c r="I19" i="29"/>
  <c r="K19" i="29"/>
  <c r="E15" i="30"/>
  <c r="H20" i="29"/>
  <c r="B20" i="29"/>
  <c r="H16" i="30"/>
  <c r="E20" i="29"/>
  <c r="F20" i="29"/>
  <c r="I20" i="29"/>
  <c r="K20" i="29"/>
  <c r="E16" i="30"/>
  <c r="H21" i="29"/>
  <c r="B21" i="29"/>
  <c r="H17" i="30"/>
  <c r="E21" i="29"/>
  <c r="F21" i="29"/>
  <c r="I21" i="29"/>
  <c r="K21" i="29"/>
  <c r="E17" i="30"/>
  <c r="H22" i="29"/>
  <c r="B22" i="29"/>
  <c r="H18" i="30"/>
  <c r="E22" i="29"/>
  <c r="F22" i="29"/>
  <c r="I22" i="29"/>
  <c r="K22" i="29"/>
  <c r="E18" i="30"/>
  <c r="H23" i="29"/>
  <c r="B23" i="29"/>
  <c r="H19" i="30"/>
  <c r="E23" i="29"/>
  <c r="F23" i="29"/>
  <c r="I23" i="29"/>
  <c r="K23" i="29"/>
  <c r="E19" i="30"/>
  <c r="H24" i="29"/>
  <c r="B24" i="29"/>
  <c r="H20" i="30"/>
  <c r="E24" i="29"/>
  <c r="F24" i="29"/>
  <c r="I24" i="29"/>
  <c r="K24" i="29"/>
  <c r="E20" i="30"/>
  <c r="H25" i="29"/>
  <c r="B25" i="29"/>
  <c r="H21" i="30"/>
  <c r="E25" i="29"/>
  <c r="F25" i="29"/>
  <c r="I25" i="29"/>
  <c r="K25" i="29"/>
  <c r="E21" i="30"/>
  <c r="H26" i="29"/>
  <c r="B26" i="29"/>
  <c r="H22" i="30"/>
  <c r="E26" i="29"/>
  <c r="F26" i="29"/>
  <c r="I26" i="29"/>
  <c r="K26" i="29"/>
  <c r="E22" i="30"/>
  <c r="H27" i="29"/>
  <c r="B27" i="29"/>
  <c r="H23" i="30"/>
  <c r="E27" i="29"/>
  <c r="F27" i="29"/>
  <c r="I27" i="29"/>
  <c r="K27" i="29"/>
  <c r="E23" i="30"/>
  <c r="H28" i="29"/>
  <c r="B28" i="29"/>
  <c r="H24" i="30"/>
  <c r="E28" i="29"/>
  <c r="F28" i="29"/>
  <c r="I28" i="29"/>
  <c r="K28" i="29"/>
  <c r="E24" i="30"/>
  <c r="H29" i="29"/>
  <c r="B29" i="29"/>
  <c r="H25" i="30"/>
  <c r="E29" i="29"/>
  <c r="F29" i="29"/>
  <c r="I29" i="29"/>
  <c r="K29" i="29"/>
  <c r="E25" i="30"/>
  <c r="H30" i="29"/>
  <c r="B30" i="29"/>
  <c r="H26" i="30"/>
  <c r="E30" i="29"/>
  <c r="F30" i="29"/>
  <c r="I30" i="29"/>
  <c r="K30" i="29"/>
  <c r="E26" i="30"/>
  <c r="H31" i="29"/>
  <c r="B31" i="29"/>
  <c r="H27" i="30"/>
  <c r="E31" i="29"/>
  <c r="F31" i="29"/>
  <c r="I31" i="29"/>
  <c r="K31" i="29"/>
  <c r="E27" i="30"/>
  <c r="H32" i="29"/>
  <c r="B32" i="29"/>
  <c r="H28" i="30"/>
  <c r="E32" i="29"/>
  <c r="F32" i="29"/>
  <c r="I32" i="29"/>
  <c r="K32" i="29"/>
  <c r="E28" i="30"/>
  <c r="H33" i="29"/>
  <c r="B33" i="29"/>
  <c r="H29" i="30"/>
  <c r="E33" i="29"/>
  <c r="F33" i="29"/>
  <c r="I33" i="29"/>
  <c r="K33" i="29"/>
  <c r="E29" i="30"/>
  <c r="H34" i="29"/>
  <c r="B34" i="29"/>
  <c r="H30" i="30"/>
  <c r="E34" i="29"/>
  <c r="F34" i="29"/>
  <c r="I34" i="29"/>
  <c r="K34" i="29"/>
  <c r="E30" i="30"/>
  <c r="H35" i="29"/>
  <c r="B35" i="29"/>
  <c r="H31" i="30"/>
  <c r="E35" i="29"/>
  <c r="F35" i="29"/>
  <c r="I35" i="29"/>
  <c r="K35" i="29"/>
  <c r="E31" i="30"/>
  <c r="H36" i="29"/>
  <c r="B36" i="29"/>
  <c r="H32" i="30"/>
  <c r="E36" i="29"/>
  <c r="F36" i="29"/>
  <c r="I36" i="29"/>
  <c r="K36" i="29"/>
  <c r="E32" i="30"/>
  <c r="H37" i="29"/>
  <c r="B37" i="29"/>
  <c r="H33" i="30"/>
  <c r="E37" i="29"/>
  <c r="F37" i="29"/>
  <c r="I37" i="29"/>
  <c r="K37" i="29"/>
  <c r="E33" i="30"/>
  <c r="H38" i="29"/>
  <c r="B38" i="29"/>
  <c r="H34" i="30"/>
  <c r="E38" i="29"/>
  <c r="F38" i="29"/>
  <c r="I38" i="29"/>
  <c r="K38" i="29"/>
  <c r="E34" i="30"/>
  <c r="H39" i="29"/>
  <c r="B39" i="29"/>
  <c r="H35" i="30"/>
  <c r="E39" i="29"/>
  <c r="F39" i="29"/>
  <c r="I39" i="29"/>
  <c r="K39" i="29"/>
  <c r="E35" i="30"/>
  <c r="H40" i="29"/>
  <c r="B40" i="29"/>
  <c r="H36" i="30"/>
  <c r="E40" i="29"/>
  <c r="F40" i="29"/>
  <c r="I40" i="29"/>
  <c r="K40" i="29"/>
  <c r="E36" i="30"/>
  <c r="H41" i="29"/>
  <c r="B41" i="29"/>
  <c r="H37" i="30"/>
  <c r="E41" i="29"/>
  <c r="F41" i="29"/>
  <c r="I41" i="29"/>
  <c r="K41" i="29"/>
  <c r="E37" i="30"/>
  <c r="H42" i="29"/>
  <c r="B42" i="29"/>
  <c r="H38" i="30"/>
  <c r="E42" i="29"/>
  <c r="F42" i="29"/>
  <c r="I42" i="29"/>
  <c r="K42" i="29"/>
  <c r="E38" i="30"/>
  <c r="H15" i="29"/>
  <c r="B15" i="29"/>
  <c r="H11" i="30"/>
  <c r="E15" i="29"/>
  <c r="F15" i="29"/>
  <c r="I15" i="29"/>
  <c r="K15" i="29"/>
  <c r="E11" i="30"/>
  <c r="H14" i="29"/>
  <c r="B14" i="29"/>
  <c r="H10" i="30"/>
  <c r="E14" i="29"/>
  <c r="F14" i="29"/>
  <c r="I14" i="29"/>
  <c r="K14" i="29"/>
  <c r="E10" i="30"/>
  <c r="H8" i="29"/>
  <c r="B8" i="29"/>
  <c r="H9" i="30"/>
  <c r="E8" i="29"/>
  <c r="F8" i="29"/>
  <c r="I8" i="29"/>
  <c r="K8" i="29"/>
  <c r="E9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9" i="30"/>
  <c r="C9" i="30"/>
  <c r="B9" i="30"/>
  <c r="J9" i="30"/>
  <c r="F10" i="30"/>
  <c r="C10" i="30"/>
  <c r="B10" i="30"/>
  <c r="J10" i="30"/>
  <c r="F11" i="30"/>
  <c r="C11" i="30"/>
  <c r="B11" i="30"/>
  <c r="J11" i="30"/>
  <c r="C12" i="30"/>
  <c r="B12" i="30"/>
  <c r="J12" i="30"/>
  <c r="C13" i="30"/>
  <c r="B13" i="30"/>
  <c r="J13" i="30"/>
  <c r="C14" i="30"/>
  <c r="B14" i="30"/>
  <c r="J14" i="30"/>
  <c r="C15" i="30"/>
  <c r="B15" i="30"/>
  <c r="J15" i="30"/>
  <c r="C16" i="30"/>
  <c r="B16" i="30"/>
  <c r="J16" i="30"/>
  <c r="C17" i="30"/>
  <c r="B17" i="30"/>
  <c r="J17" i="30"/>
  <c r="C18" i="30"/>
  <c r="B18" i="30"/>
  <c r="J18" i="30"/>
  <c r="C19" i="30"/>
  <c r="B19" i="30"/>
  <c r="J19" i="30"/>
  <c r="C20" i="30"/>
  <c r="B20" i="30"/>
  <c r="J20" i="30"/>
  <c r="C21" i="30"/>
  <c r="B21" i="30"/>
  <c r="J21" i="30"/>
  <c r="C22" i="30"/>
  <c r="B22" i="30"/>
  <c r="J22" i="30"/>
  <c r="C23" i="30"/>
  <c r="B23" i="30"/>
  <c r="J23" i="30"/>
  <c r="C24" i="30"/>
  <c r="B24" i="30"/>
  <c r="J24" i="30"/>
  <c r="C25" i="30"/>
  <c r="B25" i="30"/>
  <c r="J25" i="30"/>
  <c r="C26" i="30"/>
  <c r="B26" i="30"/>
  <c r="J26" i="30"/>
  <c r="C27" i="30"/>
  <c r="B27" i="30"/>
  <c r="J27" i="30"/>
  <c r="C28" i="30"/>
  <c r="B28" i="30"/>
  <c r="J28" i="30"/>
  <c r="C29" i="30"/>
  <c r="B29" i="30"/>
  <c r="J29" i="30"/>
  <c r="C30" i="30"/>
  <c r="B30" i="30"/>
  <c r="J30" i="30"/>
  <c r="C31" i="30"/>
  <c r="B31" i="30"/>
  <c r="J31" i="30"/>
  <c r="C32" i="30"/>
  <c r="B32" i="30"/>
  <c r="J32" i="30"/>
  <c r="C33" i="30"/>
  <c r="B33" i="30"/>
  <c r="J33" i="30"/>
  <c r="C34" i="30"/>
  <c r="B34" i="30"/>
  <c r="J34" i="30"/>
  <c r="C35" i="30"/>
  <c r="B35" i="30"/>
  <c r="J35" i="30"/>
  <c r="C36" i="30"/>
  <c r="B36" i="30"/>
  <c r="J36" i="30"/>
  <c r="C37" i="30"/>
  <c r="B37" i="30"/>
  <c r="J37" i="30"/>
  <c r="C38" i="30"/>
  <c r="B38" i="30"/>
  <c r="J38" i="30"/>
  <c r="G39" i="29"/>
  <c r="D35" i="30"/>
  <c r="G40" i="29"/>
  <c r="D36" i="30"/>
  <c r="G41" i="29"/>
  <c r="D37" i="30"/>
  <c r="G42" i="29"/>
  <c r="D38" i="30"/>
  <c r="J16" i="29"/>
  <c r="G12" i="30"/>
  <c r="J17" i="29"/>
  <c r="G13" i="30"/>
  <c r="J18" i="29"/>
  <c r="G14" i="30"/>
  <c r="J19" i="29"/>
  <c r="G15" i="30"/>
  <c r="J20" i="29"/>
  <c r="G16" i="30"/>
  <c r="J21" i="29"/>
  <c r="G17" i="30"/>
  <c r="J22" i="29"/>
  <c r="G18" i="30"/>
  <c r="J23" i="29"/>
  <c r="G19" i="30"/>
  <c r="J24" i="29"/>
  <c r="G20" i="30"/>
  <c r="J25" i="29"/>
  <c r="G21" i="30"/>
  <c r="J26" i="29"/>
  <c r="G22" i="30"/>
  <c r="J27" i="29"/>
  <c r="G23" i="30"/>
  <c r="J28" i="29"/>
  <c r="G24" i="30"/>
  <c r="J29" i="29"/>
  <c r="G25" i="30"/>
  <c r="J30" i="29"/>
  <c r="G26" i="30"/>
  <c r="J31" i="29"/>
  <c r="G27" i="30"/>
  <c r="J32" i="29"/>
  <c r="G28" i="30"/>
  <c r="J33" i="29"/>
  <c r="G29" i="30"/>
  <c r="J34" i="29"/>
  <c r="G30" i="30"/>
  <c r="J35" i="29"/>
  <c r="G31" i="30"/>
  <c r="J36" i="29"/>
  <c r="G32" i="30"/>
  <c r="J37" i="29"/>
  <c r="G33" i="30"/>
  <c r="J38" i="29"/>
  <c r="G34" i="30"/>
  <c r="J39" i="29"/>
  <c r="G35" i="30"/>
  <c r="J40" i="29"/>
  <c r="G36" i="30"/>
  <c r="J41" i="29"/>
  <c r="G37" i="30"/>
  <c r="J42" i="29"/>
  <c r="G38" i="30"/>
  <c r="J15" i="29"/>
  <c r="G11" i="30"/>
  <c r="J14" i="29"/>
  <c r="G10" i="30"/>
  <c r="J8" i="29"/>
  <c r="G9" i="30"/>
  <c r="G16" i="29"/>
  <c r="D12" i="30"/>
  <c r="G17" i="29"/>
  <c r="D13" i="30"/>
  <c r="G18" i="29"/>
  <c r="D14" i="30"/>
  <c r="G19" i="29"/>
  <c r="D15" i="30"/>
  <c r="G20" i="29"/>
  <c r="D16" i="30"/>
  <c r="G21" i="29"/>
  <c r="D17" i="30"/>
  <c r="G22" i="29"/>
  <c r="D18" i="30"/>
  <c r="G23" i="29"/>
  <c r="D19" i="30"/>
  <c r="G24" i="29"/>
  <c r="D20" i="30"/>
  <c r="G25" i="29"/>
  <c r="D21" i="30"/>
  <c r="G26" i="29"/>
  <c r="D22" i="30"/>
  <c r="G27" i="29"/>
  <c r="D23" i="30"/>
  <c r="G28" i="29"/>
  <c r="D24" i="30"/>
  <c r="G29" i="29"/>
  <c r="D25" i="30"/>
  <c r="G30" i="29"/>
  <c r="D26" i="30"/>
  <c r="G31" i="29"/>
  <c r="D27" i="30"/>
  <c r="G32" i="29"/>
  <c r="D28" i="30"/>
  <c r="G33" i="29"/>
  <c r="D29" i="30"/>
  <c r="G34" i="29"/>
  <c r="D30" i="30"/>
  <c r="G35" i="29"/>
  <c r="D31" i="30"/>
  <c r="G36" i="29"/>
  <c r="D32" i="30"/>
  <c r="G37" i="29"/>
  <c r="D33" i="30"/>
  <c r="G38" i="29"/>
  <c r="D34" i="30"/>
  <c r="G15" i="29"/>
  <c r="D11" i="30"/>
  <c r="G14" i="29"/>
  <c r="D10" i="30"/>
  <c r="G8" i="29"/>
  <c r="D9" i="30"/>
  <c r="I9" i="29"/>
  <c r="J9" i="29"/>
  <c r="B9" i="29"/>
  <c r="D9" i="29"/>
  <c r="C9" i="29"/>
  <c r="L9" i="29"/>
  <c r="I10" i="29"/>
  <c r="J10" i="29"/>
  <c r="B10" i="29"/>
  <c r="D10" i="29"/>
  <c r="C10" i="29"/>
  <c r="L10" i="29"/>
  <c r="I11" i="29"/>
  <c r="J11" i="29"/>
  <c r="B11" i="29"/>
  <c r="D11" i="29"/>
  <c r="C11" i="29"/>
  <c r="L11" i="29"/>
  <c r="I12" i="29"/>
  <c r="J12" i="29"/>
  <c r="B12" i="29"/>
  <c r="D12" i="29"/>
  <c r="C12" i="29"/>
  <c r="L12" i="29"/>
  <c r="I13" i="29"/>
  <c r="J13" i="29"/>
  <c r="B13" i="29"/>
  <c r="D13" i="29"/>
  <c r="C13" i="29"/>
  <c r="L13" i="29"/>
  <c r="D14" i="29"/>
  <c r="C14" i="29"/>
  <c r="L14" i="29"/>
  <c r="D15" i="29"/>
  <c r="C15" i="29"/>
  <c r="L15" i="29"/>
  <c r="D16" i="29"/>
  <c r="C16" i="29"/>
  <c r="L16" i="29"/>
  <c r="D17" i="29"/>
  <c r="C17" i="29"/>
  <c r="L17" i="29"/>
  <c r="D18" i="29"/>
  <c r="C18" i="29"/>
  <c r="L18" i="29"/>
  <c r="D19" i="29"/>
  <c r="C19" i="29"/>
  <c r="L19" i="29"/>
  <c r="D20" i="29"/>
  <c r="C20" i="29"/>
  <c r="L20" i="29"/>
  <c r="D21" i="29"/>
  <c r="C21" i="29"/>
  <c r="L21" i="29"/>
  <c r="D22" i="29"/>
  <c r="C22" i="29"/>
  <c r="L22" i="29"/>
  <c r="D23" i="29"/>
  <c r="C23" i="29"/>
  <c r="L23" i="29"/>
  <c r="D24" i="29"/>
  <c r="C24" i="29"/>
  <c r="L24" i="29"/>
  <c r="D25" i="29"/>
  <c r="C25" i="29"/>
  <c r="L25" i="29"/>
  <c r="D26" i="29"/>
  <c r="C26" i="29"/>
  <c r="L26" i="29"/>
  <c r="D27" i="29"/>
  <c r="C27" i="29"/>
  <c r="L27" i="29"/>
  <c r="D28" i="29"/>
  <c r="C28" i="29"/>
  <c r="L28" i="29"/>
  <c r="D29" i="29"/>
  <c r="C29" i="29"/>
  <c r="L29" i="29"/>
  <c r="D30" i="29"/>
  <c r="C30" i="29"/>
  <c r="L30" i="29"/>
  <c r="D31" i="29"/>
  <c r="C31" i="29"/>
  <c r="L31" i="29"/>
  <c r="D32" i="29"/>
  <c r="C32" i="29"/>
  <c r="L32" i="29"/>
  <c r="D33" i="29"/>
  <c r="C33" i="29"/>
  <c r="L33" i="29"/>
  <c r="D34" i="29"/>
  <c r="C34" i="29"/>
  <c r="L34" i="29"/>
  <c r="D35" i="29"/>
  <c r="C35" i="29"/>
  <c r="L35" i="29"/>
  <c r="D36" i="29"/>
  <c r="C36" i="29"/>
  <c r="L36" i="29"/>
  <c r="D37" i="29"/>
  <c r="C37" i="29"/>
  <c r="L37" i="29"/>
  <c r="D38" i="29"/>
  <c r="C38" i="29"/>
  <c r="L38" i="29"/>
  <c r="D39" i="29"/>
  <c r="C39" i="29"/>
  <c r="L39" i="29"/>
  <c r="D40" i="29"/>
  <c r="C40" i="29"/>
  <c r="L40" i="29"/>
  <c r="D41" i="29"/>
  <c r="C41" i="29"/>
  <c r="L41" i="29"/>
  <c r="D42" i="29"/>
  <c r="C42" i="29"/>
  <c r="L42" i="29"/>
  <c r="D8" i="29"/>
  <c r="C8" i="29"/>
  <c r="L8" i="29"/>
  <c r="F12" i="29"/>
  <c r="F13" i="29"/>
  <c r="F11" i="29"/>
  <c r="E9" i="29"/>
  <c r="F9" i="29"/>
  <c r="K9" i="29"/>
  <c r="E10" i="29"/>
  <c r="F10" i="29"/>
  <c r="K10" i="29"/>
  <c r="E11" i="29"/>
  <c r="K11" i="29"/>
  <c r="E12" i="29"/>
  <c r="K12" i="29"/>
  <c r="E13" i="29"/>
  <c r="K13" i="29"/>
  <c r="H9" i="29"/>
  <c r="H10" i="29"/>
  <c r="H11" i="29"/>
  <c r="H12" i="29"/>
  <c r="H13" i="29"/>
  <c r="CM69" i="2"/>
  <c r="CM70" i="2"/>
  <c r="CL69" i="2"/>
  <c r="CL70" i="2"/>
  <c r="Q9" i="21"/>
  <c r="R9" i="21"/>
  <c r="Q10" i="21"/>
  <c r="R10" i="21"/>
  <c r="Q11" i="21"/>
  <c r="R11" i="21"/>
  <c r="Q12" i="21"/>
  <c r="R12" i="21"/>
  <c r="Q13" i="21"/>
  <c r="R13" i="21"/>
  <c r="Q14" i="21"/>
  <c r="R14" i="21"/>
  <c r="Q15" i="21"/>
  <c r="R15" i="21"/>
  <c r="Q16" i="21"/>
  <c r="R16" i="21"/>
  <c r="Q17" i="21"/>
  <c r="R17" i="21"/>
  <c r="Q18" i="21"/>
  <c r="R18" i="21"/>
  <c r="Q19" i="21"/>
  <c r="R19" i="21"/>
  <c r="Q20" i="21"/>
  <c r="R20" i="21"/>
  <c r="Q21" i="21"/>
  <c r="R21" i="21"/>
  <c r="Q22" i="21"/>
  <c r="R22" i="21"/>
  <c r="Q23" i="21"/>
  <c r="R23" i="21"/>
  <c r="Q24" i="21"/>
  <c r="R24" i="21"/>
  <c r="Q25" i="21"/>
  <c r="R25" i="21"/>
  <c r="Q26" i="21"/>
  <c r="R26" i="21"/>
  <c r="Q27" i="21"/>
  <c r="R27" i="21"/>
  <c r="Q28" i="21"/>
  <c r="R28" i="21"/>
  <c r="Q29" i="21"/>
  <c r="R29" i="21"/>
  <c r="Q30" i="21"/>
  <c r="R30" i="21"/>
  <c r="Q31" i="21"/>
  <c r="R31" i="21"/>
  <c r="Q32" i="21"/>
  <c r="R32" i="21"/>
  <c r="Q33" i="21"/>
  <c r="R33" i="21"/>
  <c r="Q34" i="21"/>
  <c r="R34" i="21"/>
  <c r="Q35" i="21"/>
  <c r="R35" i="21"/>
  <c r="Q36" i="21"/>
  <c r="R36" i="21"/>
  <c r="Q37" i="21"/>
  <c r="R37" i="21"/>
  <c r="Q38" i="21"/>
  <c r="R38" i="21"/>
  <c r="Q39" i="21"/>
  <c r="R39" i="21"/>
  <c r="Q40" i="21"/>
  <c r="R40" i="21"/>
  <c r="Q41" i="21"/>
  <c r="R41" i="21"/>
  <c r="Q42" i="21"/>
  <c r="R42" i="21"/>
  <c r="Q43" i="21"/>
  <c r="R43" i="21"/>
  <c r="R44" i="21"/>
  <c r="Q44" i="21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16" i="14"/>
  <c r="H15" i="14"/>
  <c r="H13" i="14"/>
  <c r="E14" i="14"/>
  <c r="H12" i="14"/>
  <c r="H11" i="14"/>
  <c r="H10" i="14"/>
  <c r="H9" i="14"/>
  <c r="O17" i="14"/>
  <c r="J17" i="14"/>
  <c r="K17" i="14"/>
  <c r="L17" i="14"/>
  <c r="Q17" i="14"/>
  <c r="L17" i="21"/>
  <c r="O17" i="21"/>
  <c r="O18" i="14"/>
  <c r="J18" i="14"/>
  <c r="K18" i="14"/>
  <c r="L18" i="14"/>
  <c r="Q18" i="14"/>
  <c r="L18" i="21"/>
  <c r="O18" i="21"/>
  <c r="O19" i="14"/>
  <c r="J19" i="14"/>
  <c r="K19" i="14"/>
  <c r="L19" i="14"/>
  <c r="Q19" i="14"/>
  <c r="L19" i="21"/>
  <c r="O19" i="21"/>
  <c r="S59" i="41"/>
  <c r="O20" i="14"/>
  <c r="J20" i="14"/>
  <c r="K20" i="14"/>
  <c r="L20" i="14"/>
  <c r="Q20" i="14"/>
  <c r="L20" i="21"/>
  <c r="O20" i="21"/>
  <c r="S60" i="41"/>
  <c r="O21" i="14"/>
  <c r="J21" i="14"/>
  <c r="K21" i="14"/>
  <c r="L21" i="14"/>
  <c r="Q21" i="14"/>
  <c r="L21" i="21"/>
  <c r="O21" i="21"/>
  <c r="S61" i="41"/>
  <c r="O22" i="14"/>
  <c r="J22" i="14"/>
  <c r="K22" i="14"/>
  <c r="L22" i="14"/>
  <c r="Q22" i="14"/>
  <c r="L22" i="21"/>
  <c r="O22" i="21"/>
  <c r="S62" i="41"/>
  <c r="O23" i="14"/>
  <c r="J23" i="14"/>
  <c r="K23" i="14"/>
  <c r="L23" i="14"/>
  <c r="Q23" i="14"/>
  <c r="L23" i="21"/>
  <c r="O23" i="21"/>
  <c r="S63" i="41"/>
  <c r="O24" i="14"/>
  <c r="J24" i="14"/>
  <c r="K24" i="14"/>
  <c r="L24" i="14"/>
  <c r="Q24" i="14"/>
  <c r="L24" i="21"/>
  <c r="O24" i="21"/>
  <c r="S64" i="41"/>
  <c r="O25" i="14"/>
  <c r="J25" i="14"/>
  <c r="K25" i="14"/>
  <c r="L25" i="14"/>
  <c r="Q25" i="14"/>
  <c r="L25" i="21"/>
  <c r="O25" i="21"/>
  <c r="S65" i="41"/>
  <c r="O26" i="14"/>
  <c r="J26" i="14"/>
  <c r="K26" i="14"/>
  <c r="L26" i="14"/>
  <c r="Q26" i="14"/>
  <c r="L26" i="21"/>
  <c r="O26" i="21"/>
  <c r="S66" i="41"/>
  <c r="O27" i="14"/>
  <c r="J27" i="14"/>
  <c r="K27" i="14"/>
  <c r="L27" i="14"/>
  <c r="Q27" i="14"/>
  <c r="L27" i="21"/>
  <c r="O27" i="21"/>
  <c r="S67" i="41"/>
  <c r="O28" i="14"/>
  <c r="J28" i="14"/>
  <c r="K28" i="14"/>
  <c r="L28" i="14"/>
  <c r="Q28" i="14"/>
  <c r="L28" i="21"/>
  <c r="O28" i="21"/>
  <c r="S68" i="41"/>
  <c r="O29" i="14"/>
  <c r="J29" i="14"/>
  <c r="K29" i="14"/>
  <c r="L29" i="14"/>
  <c r="Q29" i="14"/>
  <c r="L29" i="21"/>
  <c r="O29" i="21"/>
  <c r="S69" i="41"/>
  <c r="O30" i="14"/>
  <c r="J30" i="14"/>
  <c r="K30" i="14"/>
  <c r="L30" i="14"/>
  <c r="Q30" i="14"/>
  <c r="L30" i="21"/>
  <c r="O30" i="21"/>
  <c r="S70" i="41"/>
  <c r="O31" i="14"/>
  <c r="J31" i="14"/>
  <c r="K31" i="14"/>
  <c r="L31" i="14"/>
  <c r="Q31" i="14"/>
  <c r="L31" i="21"/>
  <c r="O31" i="21"/>
  <c r="S71" i="41"/>
  <c r="O32" i="14"/>
  <c r="J32" i="14"/>
  <c r="K32" i="14"/>
  <c r="L32" i="14"/>
  <c r="Q32" i="14"/>
  <c r="L32" i="21"/>
  <c r="O32" i="21"/>
  <c r="S72" i="41"/>
  <c r="O33" i="14"/>
  <c r="J33" i="14"/>
  <c r="K33" i="14"/>
  <c r="L33" i="14"/>
  <c r="Q33" i="14"/>
  <c r="L33" i="21"/>
  <c r="O33" i="21"/>
  <c r="S73" i="41"/>
  <c r="O34" i="14"/>
  <c r="J34" i="14"/>
  <c r="K34" i="14"/>
  <c r="L34" i="14"/>
  <c r="Q34" i="14"/>
  <c r="L34" i="21"/>
  <c r="O34" i="21"/>
  <c r="S74" i="41"/>
  <c r="O35" i="14"/>
  <c r="J35" i="14"/>
  <c r="K35" i="14"/>
  <c r="L35" i="14"/>
  <c r="Q35" i="14"/>
  <c r="L35" i="21"/>
  <c r="O35" i="21"/>
  <c r="S75" i="41"/>
  <c r="O36" i="14"/>
  <c r="J36" i="14"/>
  <c r="K36" i="14"/>
  <c r="L36" i="14"/>
  <c r="Q36" i="14"/>
  <c r="L36" i="21"/>
  <c r="O36" i="21"/>
  <c r="S76" i="41"/>
  <c r="O37" i="14"/>
  <c r="J37" i="14"/>
  <c r="K37" i="14"/>
  <c r="L37" i="14"/>
  <c r="Q37" i="14"/>
  <c r="L37" i="21"/>
  <c r="O37" i="21"/>
  <c r="S77" i="41"/>
  <c r="O38" i="14"/>
  <c r="J38" i="14"/>
  <c r="K38" i="14"/>
  <c r="L38" i="14"/>
  <c r="Q38" i="14"/>
  <c r="L38" i="21"/>
  <c r="O38" i="21"/>
  <c r="S78" i="41"/>
  <c r="O39" i="14"/>
  <c r="J39" i="14"/>
  <c r="K39" i="14"/>
  <c r="L39" i="14"/>
  <c r="Q39" i="14"/>
  <c r="L39" i="21"/>
  <c r="O39" i="21"/>
  <c r="S79" i="41"/>
  <c r="O40" i="14"/>
  <c r="J40" i="14"/>
  <c r="K40" i="14"/>
  <c r="L40" i="14"/>
  <c r="Q40" i="14"/>
  <c r="L40" i="21"/>
  <c r="O40" i="21"/>
  <c r="S80" i="41"/>
  <c r="O41" i="14"/>
  <c r="J41" i="14"/>
  <c r="K41" i="14"/>
  <c r="L41" i="14"/>
  <c r="Q41" i="14"/>
  <c r="L41" i="21"/>
  <c r="O41" i="21"/>
  <c r="S81" i="41"/>
  <c r="O42" i="14"/>
  <c r="J42" i="14"/>
  <c r="K42" i="14"/>
  <c r="L42" i="14"/>
  <c r="Q42" i="14"/>
  <c r="L42" i="21"/>
  <c r="O42" i="21"/>
  <c r="S82" i="41"/>
  <c r="O43" i="14"/>
  <c r="J43" i="14"/>
  <c r="K43" i="14"/>
  <c r="L43" i="14"/>
  <c r="Q43" i="14"/>
  <c r="L43" i="21"/>
  <c r="O43" i="21"/>
  <c r="S83" i="41"/>
  <c r="O44" i="14"/>
  <c r="J44" i="14"/>
  <c r="K44" i="14"/>
  <c r="L44" i="14"/>
  <c r="Q44" i="14"/>
  <c r="L44" i="21"/>
  <c r="O44" i="21"/>
  <c r="O16" i="14"/>
  <c r="J16" i="14"/>
  <c r="K16" i="14"/>
  <c r="L16" i="14"/>
  <c r="Q16" i="14"/>
  <c r="L16" i="21"/>
  <c r="O16" i="21"/>
  <c r="O15" i="14"/>
  <c r="J15" i="14"/>
  <c r="K15" i="14"/>
  <c r="L15" i="14"/>
  <c r="Q15" i="14"/>
  <c r="L15" i="21"/>
  <c r="O15" i="21"/>
  <c r="O14" i="14"/>
  <c r="J14" i="14"/>
  <c r="K14" i="14"/>
  <c r="L14" i="14"/>
  <c r="Q14" i="14"/>
  <c r="L14" i="21"/>
  <c r="O14" i="21"/>
  <c r="O13" i="14"/>
  <c r="J13" i="14"/>
  <c r="K13" i="14"/>
  <c r="L13" i="14"/>
  <c r="Q13" i="14"/>
  <c r="L13" i="21"/>
  <c r="O13" i="21"/>
  <c r="G17" i="14"/>
  <c r="N17" i="21"/>
  <c r="G18" i="14"/>
  <c r="N18" i="21"/>
  <c r="G19" i="14"/>
  <c r="N19" i="21"/>
  <c r="G20" i="14"/>
  <c r="N20" i="21"/>
  <c r="G21" i="14"/>
  <c r="N21" i="21"/>
  <c r="G22" i="14"/>
  <c r="N22" i="21"/>
  <c r="G23" i="14"/>
  <c r="N23" i="21"/>
  <c r="G24" i="14"/>
  <c r="N24" i="21"/>
  <c r="G25" i="14"/>
  <c r="N25" i="21"/>
  <c r="G26" i="14"/>
  <c r="N26" i="21"/>
  <c r="G27" i="14"/>
  <c r="N27" i="21"/>
  <c r="G28" i="14"/>
  <c r="N28" i="21"/>
  <c r="G29" i="14"/>
  <c r="N29" i="21"/>
  <c r="G30" i="14"/>
  <c r="N30" i="21"/>
  <c r="G31" i="14"/>
  <c r="N31" i="21"/>
  <c r="G32" i="14"/>
  <c r="N32" i="21"/>
  <c r="G33" i="14"/>
  <c r="N33" i="21"/>
  <c r="G34" i="14"/>
  <c r="N34" i="21"/>
  <c r="G35" i="14"/>
  <c r="N35" i="21"/>
  <c r="G36" i="14"/>
  <c r="N36" i="21"/>
  <c r="G37" i="14"/>
  <c r="N37" i="21"/>
  <c r="G38" i="14"/>
  <c r="N38" i="21"/>
  <c r="G39" i="14"/>
  <c r="N39" i="21"/>
  <c r="G40" i="14"/>
  <c r="N40" i="21"/>
  <c r="G41" i="14"/>
  <c r="N41" i="21"/>
  <c r="G42" i="14"/>
  <c r="N42" i="21"/>
  <c r="G43" i="14"/>
  <c r="N43" i="21"/>
  <c r="G44" i="14"/>
  <c r="N44" i="21"/>
  <c r="G16" i="14"/>
  <c r="N16" i="21"/>
  <c r="G15" i="14"/>
  <c r="N15" i="21"/>
  <c r="I21" i="2"/>
  <c r="G9" i="14"/>
  <c r="B9" i="14"/>
  <c r="C9" i="14"/>
  <c r="D9" i="14"/>
  <c r="I9" i="14"/>
  <c r="F9" i="21"/>
  <c r="F47" i="21"/>
  <c r="C9" i="21"/>
  <c r="C47" i="21"/>
  <c r="B9" i="21"/>
  <c r="B47" i="21"/>
  <c r="Q47" i="21"/>
  <c r="G10" i="14"/>
  <c r="B10" i="14"/>
  <c r="C10" i="14"/>
  <c r="I10" i="14"/>
  <c r="F10" i="21"/>
  <c r="F48" i="21"/>
  <c r="B10" i="21"/>
  <c r="B48" i="21"/>
  <c r="C48" i="21"/>
  <c r="Q48" i="21"/>
  <c r="G11" i="14"/>
  <c r="B11" i="14"/>
  <c r="C11" i="14"/>
  <c r="I11" i="14"/>
  <c r="F11" i="21"/>
  <c r="G12" i="14"/>
  <c r="B12" i="14"/>
  <c r="C12" i="14"/>
  <c r="D12" i="14"/>
  <c r="I12" i="14"/>
  <c r="F12" i="21"/>
  <c r="F49" i="21"/>
  <c r="C12" i="21"/>
  <c r="C49" i="21"/>
  <c r="B11" i="21"/>
  <c r="B12" i="21"/>
  <c r="B49" i="21"/>
  <c r="Q49" i="21"/>
  <c r="G13" i="14"/>
  <c r="B13" i="14"/>
  <c r="C13" i="14"/>
  <c r="D13" i="14"/>
  <c r="I13" i="14"/>
  <c r="F13" i="21"/>
  <c r="F50" i="21"/>
  <c r="C13" i="21"/>
  <c r="C50" i="21"/>
  <c r="B13" i="21"/>
  <c r="B50" i="21"/>
  <c r="Q50" i="21"/>
  <c r="B15" i="14"/>
  <c r="C15" i="14"/>
  <c r="D15" i="14"/>
  <c r="I15" i="14"/>
  <c r="F15" i="21"/>
  <c r="F53" i="21"/>
  <c r="F51" i="21"/>
  <c r="C15" i="21"/>
  <c r="C53" i="21"/>
  <c r="C51" i="21"/>
  <c r="B15" i="21"/>
  <c r="B53" i="21"/>
  <c r="B51" i="21"/>
  <c r="Q51" i="21"/>
  <c r="F52" i="21"/>
  <c r="C52" i="21"/>
  <c r="B52" i="21"/>
  <c r="Q52" i="21"/>
  <c r="Q53" i="21"/>
  <c r="B16" i="14"/>
  <c r="C16" i="14"/>
  <c r="D16" i="14"/>
  <c r="I16" i="14"/>
  <c r="F16" i="21"/>
  <c r="B17" i="14"/>
  <c r="C17" i="14"/>
  <c r="D17" i="14"/>
  <c r="I17" i="14"/>
  <c r="F17" i="21"/>
  <c r="B18" i="14"/>
  <c r="C18" i="14"/>
  <c r="D18" i="14"/>
  <c r="I18" i="14"/>
  <c r="F18" i="21"/>
  <c r="B19" i="14"/>
  <c r="C19" i="14"/>
  <c r="D19" i="14"/>
  <c r="I19" i="14"/>
  <c r="F19" i="21"/>
  <c r="B20" i="14"/>
  <c r="C20" i="14"/>
  <c r="D20" i="14"/>
  <c r="I20" i="14"/>
  <c r="F20" i="21"/>
  <c r="B21" i="14"/>
  <c r="C21" i="14"/>
  <c r="D21" i="14"/>
  <c r="I21" i="14"/>
  <c r="F21" i="21"/>
  <c r="F54" i="21"/>
  <c r="C16" i="21"/>
  <c r="C17" i="21"/>
  <c r="C18" i="21"/>
  <c r="C19" i="21"/>
  <c r="C20" i="21"/>
  <c r="C21" i="21"/>
  <c r="C54" i="21"/>
  <c r="B16" i="21"/>
  <c r="B17" i="21"/>
  <c r="B18" i="21"/>
  <c r="B19" i="21"/>
  <c r="B20" i="21"/>
  <c r="B21" i="21"/>
  <c r="B54" i="21"/>
  <c r="Q54" i="21"/>
  <c r="B22" i="14"/>
  <c r="C22" i="14"/>
  <c r="D22" i="14"/>
  <c r="I22" i="14"/>
  <c r="F22" i="21"/>
  <c r="B23" i="14"/>
  <c r="C23" i="14"/>
  <c r="D23" i="14"/>
  <c r="I23" i="14"/>
  <c r="F23" i="21"/>
  <c r="B24" i="14"/>
  <c r="C24" i="14"/>
  <c r="D24" i="14"/>
  <c r="I24" i="14"/>
  <c r="F24" i="21"/>
  <c r="B25" i="14"/>
  <c r="C25" i="14"/>
  <c r="D25" i="14"/>
  <c r="I25" i="14"/>
  <c r="F25" i="21"/>
  <c r="B26" i="14"/>
  <c r="C26" i="14"/>
  <c r="D26" i="14"/>
  <c r="I26" i="14"/>
  <c r="F26" i="21"/>
  <c r="B27" i="14"/>
  <c r="C27" i="14"/>
  <c r="D27" i="14"/>
  <c r="I27" i="14"/>
  <c r="F27" i="21"/>
  <c r="B28" i="14"/>
  <c r="C28" i="14"/>
  <c r="D28" i="14"/>
  <c r="I28" i="14"/>
  <c r="F28" i="21"/>
  <c r="B29" i="14"/>
  <c r="C29" i="14"/>
  <c r="D29" i="14"/>
  <c r="I29" i="14"/>
  <c r="F29" i="21"/>
  <c r="B30" i="14"/>
  <c r="C30" i="14"/>
  <c r="D30" i="14"/>
  <c r="I30" i="14"/>
  <c r="F30" i="21"/>
  <c r="B31" i="14"/>
  <c r="C31" i="14"/>
  <c r="D31" i="14"/>
  <c r="I31" i="14"/>
  <c r="F31" i="21"/>
  <c r="F55" i="21"/>
  <c r="C22" i="21"/>
  <c r="C23" i="21"/>
  <c r="C24" i="21"/>
  <c r="C25" i="21"/>
  <c r="C26" i="21"/>
  <c r="C27" i="21"/>
  <c r="C28" i="21"/>
  <c r="C29" i="21"/>
  <c r="C30" i="21"/>
  <c r="C31" i="21"/>
  <c r="C55" i="21"/>
  <c r="B22" i="21"/>
  <c r="B23" i="21"/>
  <c r="B24" i="21"/>
  <c r="B25" i="21"/>
  <c r="B26" i="21"/>
  <c r="B27" i="21"/>
  <c r="B28" i="21"/>
  <c r="B29" i="21"/>
  <c r="B30" i="21"/>
  <c r="B31" i="21"/>
  <c r="B55" i="21"/>
  <c r="Q55" i="21"/>
  <c r="B32" i="14"/>
  <c r="C32" i="14"/>
  <c r="D32" i="14"/>
  <c r="I32" i="14"/>
  <c r="F32" i="21"/>
  <c r="B33" i="14"/>
  <c r="C33" i="14"/>
  <c r="D33" i="14"/>
  <c r="I33" i="14"/>
  <c r="F33" i="21"/>
  <c r="B34" i="14"/>
  <c r="C34" i="14"/>
  <c r="D34" i="14"/>
  <c r="I34" i="14"/>
  <c r="F34" i="21"/>
  <c r="B35" i="14"/>
  <c r="C35" i="14"/>
  <c r="D35" i="14"/>
  <c r="I35" i="14"/>
  <c r="F35" i="21"/>
  <c r="B36" i="14"/>
  <c r="C36" i="14"/>
  <c r="D36" i="14"/>
  <c r="I36" i="14"/>
  <c r="F36" i="21"/>
  <c r="B37" i="14"/>
  <c r="C37" i="14"/>
  <c r="D37" i="14"/>
  <c r="I37" i="14"/>
  <c r="F37" i="21"/>
  <c r="B38" i="14"/>
  <c r="C38" i="14"/>
  <c r="D38" i="14"/>
  <c r="I38" i="14"/>
  <c r="F38" i="21"/>
  <c r="B39" i="14"/>
  <c r="C39" i="14"/>
  <c r="D39" i="14"/>
  <c r="I39" i="14"/>
  <c r="F39" i="21"/>
  <c r="B40" i="14"/>
  <c r="C40" i="14"/>
  <c r="D40" i="14"/>
  <c r="I40" i="14"/>
  <c r="F40" i="21"/>
  <c r="B41" i="14"/>
  <c r="C41" i="14"/>
  <c r="D41" i="14"/>
  <c r="I41" i="14"/>
  <c r="F41" i="21"/>
  <c r="F56" i="21"/>
  <c r="C32" i="21"/>
  <c r="C33" i="21"/>
  <c r="C34" i="21"/>
  <c r="C35" i="21"/>
  <c r="C36" i="21"/>
  <c r="C37" i="21"/>
  <c r="C38" i="21"/>
  <c r="C39" i="21"/>
  <c r="C40" i="21"/>
  <c r="C41" i="21"/>
  <c r="C56" i="21"/>
  <c r="B32" i="21"/>
  <c r="B33" i="21"/>
  <c r="B34" i="21"/>
  <c r="B35" i="21"/>
  <c r="B36" i="21"/>
  <c r="B37" i="21"/>
  <c r="B38" i="21"/>
  <c r="B39" i="21"/>
  <c r="B40" i="21"/>
  <c r="B41" i="21"/>
  <c r="B56" i="21"/>
  <c r="Q56" i="21"/>
  <c r="B42" i="14"/>
  <c r="C42" i="14"/>
  <c r="D42" i="14"/>
  <c r="I42" i="14"/>
  <c r="F42" i="21"/>
  <c r="B43" i="14"/>
  <c r="C43" i="14"/>
  <c r="D43" i="14"/>
  <c r="I43" i="14"/>
  <c r="F43" i="21"/>
  <c r="B44" i="14"/>
  <c r="C44" i="14"/>
  <c r="D44" i="14"/>
  <c r="I44" i="14"/>
  <c r="F44" i="21"/>
  <c r="F57" i="21"/>
  <c r="C42" i="21"/>
  <c r="C43" i="21"/>
  <c r="C44" i="21"/>
  <c r="C57" i="21"/>
  <c r="B42" i="21"/>
  <c r="B43" i="21"/>
  <c r="B44" i="21"/>
  <c r="B57" i="21"/>
  <c r="Q57" i="21"/>
  <c r="E15" i="14"/>
  <c r="D15" i="21"/>
  <c r="D53" i="21"/>
  <c r="D50" i="21"/>
  <c r="D51" i="21"/>
  <c r="F13" i="14"/>
  <c r="E13" i="21"/>
  <c r="E50" i="21"/>
  <c r="F15" i="14"/>
  <c r="E15" i="21"/>
  <c r="E53" i="21"/>
  <c r="E51" i="21"/>
  <c r="G13" i="21"/>
  <c r="G50" i="21"/>
  <c r="G15" i="21"/>
  <c r="G53" i="21"/>
  <c r="G51" i="21"/>
  <c r="H13" i="21"/>
  <c r="H50" i="21"/>
  <c r="H14" i="21"/>
  <c r="H15" i="21"/>
  <c r="H53" i="21"/>
  <c r="H51" i="21"/>
  <c r="I13" i="21"/>
  <c r="I50" i="21"/>
  <c r="I14" i="21"/>
  <c r="I15" i="21"/>
  <c r="I53" i="21"/>
  <c r="I51" i="21"/>
  <c r="M14" i="14"/>
  <c r="J14" i="21"/>
  <c r="M15" i="14"/>
  <c r="J15" i="21"/>
  <c r="J53" i="21"/>
  <c r="J50" i="21"/>
  <c r="J51" i="21"/>
  <c r="N13" i="14"/>
  <c r="K13" i="21"/>
  <c r="K50" i="21"/>
  <c r="N15" i="14"/>
  <c r="K15" i="21"/>
  <c r="K53" i="21"/>
  <c r="K51" i="21"/>
  <c r="L50" i="21"/>
  <c r="L53" i="21"/>
  <c r="L51" i="21"/>
  <c r="P13" i="14"/>
  <c r="M13" i="21"/>
  <c r="M50" i="21"/>
  <c r="P14" i="14"/>
  <c r="M14" i="21"/>
  <c r="P15" i="14"/>
  <c r="M15" i="21"/>
  <c r="M53" i="21"/>
  <c r="M51" i="21"/>
  <c r="N53" i="21"/>
  <c r="N50" i="21"/>
  <c r="N51" i="21"/>
  <c r="O50" i="21"/>
  <c r="O53" i="21"/>
  <c r="O51" i="21"/>
  <c r="D52" i="21"/>
  <c r="E52" i="21"/>
  <c r="G52" i="21"/>
  <c r="H52" i="21"/>
  <c r="I52" i="21"/>
  <c r="J52" i="21"/>
  <c r="K52" i="21"/>
  <c r="L52" i="21"/>
  <c r="M52" i="21"/>
  <c r="N52" i="21"/>
  <c r="O52" i="21"/>
  <c r="D47" i="21"/>
  <c r="E47" i="21"/>
  <c r="G9" i="21"/>
  <c r="G47" i="21"/>
  <c r="H47" i="21"/>
  <c r="I47" i="21"/>
  <c r="J47" i="21"/>
  <c r="K47" i="21"/>
  <c r="L47" i="21"/>
  <c r="M47" i="21"/>
  <c r="N47" i="21"/>
  <c r="O47" i="21"/>
  <c r="D48" i="21"/>
  <c r="E48" i="21"/>
  <c r="G10" i="21"/>
  <c r="G48" i="21"/>
  <c r="H48" i="21"/>
  <c r="I48" i="21"/>
  <c r="J48" i="21"/>
  <c r="K48" i="21"/>
  <c r="L48" i="21"/>
  <c r="M48" i="21"/>
  <c r="N48" i="21"/>
  <c r="O48" i="21"/>
  <c r="F12" i="14"/>
  <c r="E12" i="21"/>
  <c r="E49" i="21"/>
  <c r="G11" i="21"/>
  <c r="G12" i="21"/>
  <c r="G49" i="21"/>
  <c r="H49" i="21"/>
  <c r="I49" i="21"/>
  <c r="J49" i="21"/>
  <c r="K49" i="21"/>
  <c r="L49" i="21"/>
  <c r="M49" i="21"/>
  <c r="N49" i="21"/>
  <c r="O49" i="21"/>
  <c r="E16" i="14"/>
  <c r="D16" i="21"/>
  <c r="E17" i="14"/>
  <c r="D17" i="21"/>
  <c r="E18" i="14"/>
  <c r="D18" i="21"/>
  <c r="E19" i="14"/>
  <c r="D19" i="21"/>
  <c r="E20" i="14"/>
  <c r="D20" i="21"/>
  <c r="E21" i="14"/>
  <c r="D21" i="21"/>
  <c r="D54" i="21"/>
  <c r="F16" i="14"/>
  <c r="E16" i="21"/>
  <c r="F17" i="14"/>
  <c r="E17" i="21"/>
  <c r="F18" i="14"/>
  <c r="E18" i="21"/>
  <c r="F19" i="14"/>
  <c r="E19" i="21"/>
  <c r="F20" i="14"/>
  <c r="E20" i="21"/>
  <c r="F21" i="14"/>
  <c r="E21" i="21"/>
  <c r="E54" i="21"/>
  <c r="G16" i="21"/>
  <c r="G17" i="21"/>
  <c r="G18" i="21"/>
  <c r="G19" i="21"/>
  <c r="G20" i="21"/>
  <c r="G21" i="21"/>
  <c r="G54" i="21"/>
  <c r="H16" i="21"/>
  <c r="H17" i="21"/>
  <c r="H18" i="21"/>
  <c r="H19" i="21"/>
  <c r="H20" i="21"/>
  <c r="H21" i="21"/>
  <c r="H54" i="21"/>
  <c r="I16" i="21"/>
  <c r="I17" i="21"/>
  <c r="I18" i="21"/>
  <c r="I19" i="21"/>
  <c r="I20" i="21"/>
  <c r="I21" i="21"/>
  <c r="I54" i="21"/>
  <c r="M16" i="14"/>
  <c r="J16" i="21"/>
  <c r="M17" i="14"/>
  <c r="J17" i="21"/>
  <c r="M18" i="14"/>
  <c r="J18" i="21"/>
  <c r="M19" i="14"/>
  <c r="J19" i="21"/>
  <c r="M20" i="14"/>
  <c r="J20" i="21"/>
  <c r="M21" i="14"/>
  <c r="J21" i="21"/>
  <c r="J54" i="21"/>
  <c r="N16" i="14"/>
  <c r="K16" i="21"/>
  <c r="N17" i="14"/>
  <c r="K17" i="21"/>
  <c r="N18" i="14"/>
  <c r="K18" i="21"/>
  <c r="N19" i="14"/>
  <c r="K19" i="21"/>
  <c r="N20" i="14"/>
  <c r="K20" i="21"/>
  <c r="N21" i="14"/>
  <c r="K21" i="21"/>
  <c r="K54" i="21"/>
  <c r="L54" i="21"/>
  <c r="P16" i="14"/>
  <c r="M16" i="21"/>
  <c r="P17" i="14"/>
  <c r="M17" i="21"/>
  <c r="P18" i="14"/>
  <c r="M18" i="21"/>
  <c r="P19" i="14"/>
  <c r="M19" i="21"/>
  <c r="P20" i="14"/>
  <c r="M20" i="21"/>
  <c r="P21" i="14"/>
  <c r="M21" i="21"/>
  <c r="M54" i="21"/>
  <c r="N54" i="21"/>
  <c r="O54" i="21"/>
  <c r="E22" i="14"/>
  <c r="D22" i="21"/>
  <c r="E23" i="14"/>
  <c r="D23" i="21"/>
  <c r="E24" i="14"/>
  <c r="D24" i="21"/>
  <c r="E25" i="14"/>
  <c r="D25" i="21"/>
  <c r="E26" i="14"/>
  <c r="D26" i="21"/>
  <c r="E27" i="14"/>
  <c r="D27" i="21"/>
  <c r="E28" i="14"/>
  <c r="D28" i="21"/>
  <c r="E29" i="14"/>
  <c r="D29" i="21"/>
  <c r="E30" i="14"/>
  <c r="D30" i="21"/>
  <c r="E31" i="14"/>
  <c r="D31" i="21"/>
  <c r="D55" i="21"/>
  <c r="F22" i="14"/>
  <c r="E22" i="21"/>
  <c r="F23" i="14"/>
  <c r="E23" i="21"/>
  <c r="F24" i="14"/>
  <c r="E24" i="21"/>
  <c r="F25" i="14"/>
  <c r="E25" i="21"/>
  <c r="F26" i="14"/>
  <c r="E26" i="21"/>
  <c r="F27" i="14"/>
  <c r="E27" i="21"/>
  <c r="F28" i="14"/>
  <c r="E28" i="21"/>
  <c r="F29" i="14"/>
  <c r="E29" i="21"/>
  <c r="F30" i="14"/>
  <c r="E30" i="21"/>
  <c r="F31" i="14"/>
  <c r="E31" i="21"/>
  <c r="E55" i="21"/>
  <c r="G22" i="21"/>
  <c r="G23" i="21"/>
  <c r="G24" i="21"/>
  <c r="G25" i="21"/>
  <c r="G26" i="21"/>
  <c r="G27" i="21"/>
  <c r="G28" i="21"/>
  <c r="G29" i="21"/>
  <c r="G30" i="21"/>
  <c r="G31" i="21"/>
  <c r="G55" i="21"/>
  <c r="H22" i="21"/>
  <c r="H23" i="21"/>
  <c r="H24" i="21"/>
  <c r="H25" i="21"/>
  <c r="H26" i="21"/>
  <c r="H27" i="21"/>
  <c r="H28" i="21"/>
  <c r="H29" i="21"/>
  <c r="H30" i="21"/>
  <c r="H31" i="21"/>
  <c r="H55" i="21"/>
  <c r="I22" i="21"/>
  <c r="I23" i="21"/>
  <c r="I24" i="21"/>
  <c r="I25" i="21"/>
  <c r="I26" i="21"/>
  <c r="I27" i="21"/>
  <c r="I28" i="21"/>
  <c r="I29" i="21"/>
  <c r="I30" i="21"/>
  <c r="I31" i="21"/>
  <c r="I55" i="21"/>
  <c r="M22" i="14"/>
  <c r="J22" i="21"/>
  <c r="M23" i="14"/>
  <c r="J23" i="21"/>
  <c r="M24" i="14"/>
  <c r="J24" i="21"/>
  <c r="M25" i="14"/>
  <c r="J25" i="21"/>
  <c r="M26" i="14"/>
  <c r="J26" i="21"/>
  <c r="M27" i="14"/>
  <c r="J27" i="21"/>
  <c r="M28" i="14"/>
  <c r="J28" i="21"/>
  <c r="M29" i="14"/>
  <c r="J29" i="21"/>
  <c r="M30" i="14"/>
  <c r="J30" i="21"/>
  <c r="M31" i="14"/>
  <c r="J31" i="21"/>
  <c r="J55" i="21"/>
  <c r="N22" i="14"/>
  <c r="K22" i="21"/>
  <c r="N23" i="14"/>
  <c r="K23" i="21"/>
  <c r="N24" i="14"/>
  <c r="K24" i="21"/>
  <c r="N25" i="14"/>
  <c r="K25" i="21"/>
  <c r="N26" i="14"/>
  <c r="K26" i="21"/>
  <c r="N27" i="14"/>
  <c r="K27" i="21"/>
  <c r="N28" i="14"/>
  <c r="K28" i="21"/>
  <c r="N29" i="14"/>
  <c r="K29" i="21"/>
  <c r="N30" i="14"/>
  <c r="K30" i="21"/>
  <c r="N31" i="14"/>
  <c r="K31" i="21"/>
  <c r="K55" i="21"/>
  <c r="L55" i="21"/>
  <c r="P22" i="14"/>
  <c r="M22" i="21"/>
  <c r="P23" i="14"/>
  <c r="M23" i="21"/>
  <c r="P24" i="14"/>
  <c r="M24" i="21"/>
  <c r="P25" i="14"/>
  <c r="M25" i="21"/>
  <c r="P26" i="14"/>
  <c r="M26" i="21"/>
  <c r="P27" i="14"/>
  <c r="M27" i="21"/>
  <c r="P28" i="14"/>
  <c r="M28" i="21"/>
  <c r="P29" i="14"/>
  <c r="M29" i="21"/>
  <c r="P30" i="14"/>
  <c r="M30" i="21"/>
  <c r="P31" i="14"/>
  <c r="M31" i="21"/>
  <c r="M55" i="21"/>
  <c r="N55" i="21"/>
  <c r="O55" i="21"/>
  <c r="E32" i="14"/>
  <c r="D32" i="21"/>
  <c r="E33" i="14"/>
  <c r="D33" i="21"/>
  <c r="E34" i="14"/>
  <c r="D34" i="21"/>
  <c r="E35" i="14"/>
  <c r="D35" i="21"/>
  <c r="E36" i="14"/>
  <c r="D36" i="21"/>
  <c r="E37" i="14"/>
  <c r="D37" i="21"/>
  <c r="E38" i="14"/>
  <c r="D38" i="21"/>
  <c r="E39" i="14"/>
  <c r="D39" i="21"/>
  <c r="E40" i="14"/>
  <c r="D40" i="21"/>
  <c r="E41" i="14"/>
  <c r="D41" i="21"/>
  <c r="D56" i="21"/>
  <c r="F32" i="14"/>
  <c r="E32" i="21"/>
  <c r="F33" i="14"/>
  <c r="E33" i="21"/>
  <c r="F34" i="14"/>
  <c r="E34" i="21"/>
  <c r="F35" i="14"/>
  <c r="E35" i="21"/>
  <c r="F36" i="14"/>
  <c r="E36" i="21"/>
  <c r="F37" i="14"/>
  <c r="E37" i="21"/>
  <c r="F38" i="14"/>
  <c r="E38" i="21"/>
  <c r="F39" i="14"/>
  <c r="E39" i="21"/>
  <c r="F40" i="14"/>
  <c r="E40" i="21"/>
  <c r="F41" i="14"/>
  <c r="E41" i="21"/>
  <c r="E56" i="21"/>
  <c r="G32" i="21"/>
  <c r="G33" i="21"/>
  <c r="G34" i="21"/>
  <c r="G35" i="21"/>
  <c r="G36" i="21"/>
  <c r="G37" i="21"/>
  <c r="G38" i="21"/>
  <c r="G39" i="21"/>
  <c r="G40" i="21"/>
  <c r="G41" i="21"/>
  <c r="G56" i="21"/>
  <c r="H32" i="21"/>
  <c r="H33" i="21"/>
  <c r="H34" i="21"/>
  <c r="H35" i="21"/>
  <c r="H36" i="21"/>
  <c r="H37" i="21"/>
  <c r="H38" i="21"/>
  <c r="H39" i="21"/>
  <c r="H40" i="21"/>
  <c r="H41" i="21"/>
  <c r="H56" i="21"/>
  <c r="I32" i="21"/>
  <c r="I33" i="21"/>
  <c r="I34" i="21"/>
  <c r="I35" i="21"/>
  <c r="I36" i="21"/>
  <c r="I37" i="21"/>
  <c r="I38" i="21"/>
  <c r="I39" i="21"/>
  <c r="I40" i="21"/>
  <c r="I41" i="21"/>
  <c r="I56" i="21"/>
  <c r="M32" i="14"/>
  <c r="J32" i="21"/>
  <c r="M33" i="14"/>
  <c r="J33" i="21"/>
  <c r="M34" i="14"/>
  <c r="J34" i="21"/>
  <c r="M35" i="14"/>
  <c r="J35" i="21"/>
  <c r="M36" i="14"/>
  <c r="J36" i="21"/>
  <c r="M37" i="14"/>
  <c r="J37" i="21"/>
  <c r="M38" i="14"/>
  <c r="J38" i="21"/>
  <c r="M39" i="14"/>
  <c r="J39" i="21"/>
  <c r="M40" i="14"/>
  <c r="J40" i="21"/>
  <c r="M41" i="14"/>
  <c r="J41" i="21"/>
  <c r="J56" i="21"/>
  <c r="N32" i="14"/>
  <c r="K32" i="21"/>
  <c r="N33" i="14"/>
  <c r="K33" i="21"/>
  <c r="N34" i="14"/>
  <c r="K34" i="21"/>
  <c r="N35" i="14"/>
  <c r="K35" i="21"/>
  <c r="N36" i="14"/>
  <c r="K36" i="21"/>
  <c r="N37" i="14"/>
  <c r="K37" i="21"/>
  <c r="N38" i="14"/>
  <c r="K38" i="21"/>
  <c r="N39" i="14"/>
  <c r="K39" i="21"/>
  <c r="N40" i="14"/>
  <c r="K40" i="21"/>
  <c r="N41" i="14"/>
  <c r="K41" i="21"/>
  <c r="K56" i="21"/>
  <c r="L56" i="21"/>
  <c r="P32" i="14"/>
  <c r="M32" i="21"/>
  <c r="P33" i="14"/>
  <c r="M33" i="21"/>
  <c r="P34" i="14"/>
  <c r="M34" i="21"/>
  <c r="P35" i="14"/>
  <c r="M35" i="21"/>
  <c r="P36" i="14"/>
  <c r="M36" i="21"/>
  <c r="P37" i="14"/>
  <c r="M37" i="21"/>
  <c r="P38" i="14"/>
  <c r="M38" i="21"/>
  <c r="P39" i="14"/>
  <c r="M39" i="21"/>
  <c r="P40" i="14"/>
  <c r="M40" i="21"/>
  <c r="P41" i="14"/>
  <c r="M41" i="21"/>
  <c r="M56" i="21"/>
  <c r="N56" i="21"/>
  <c r="O56" i="21"/>
  <c r="E42" i="14"/>
  <c r="D42" i="21"/>
  <c r="E43" i="14"/>
  <c r="D43" i="21"/>
  <c r="E44" i="14"/>
  <c r="D44" i="21"/>
  <c r="D57" i="21"/>
  <c r="F42" i="14"/>
  <c r="E42" i="21"/>
  <c r="F43" i="14"/>
  <c r="E43" i="21"/>
  <c r="F44" i="14"/>
  <c r="E44" i="21"/>
  <c r="E57" i="21"/>
  <c r="G42" i="21"/>
  <c r="G43" i="21"/>
  <c r="G44" i="21"/>
  <c r="G57" i="21"/>
  <c r="H42" i="21"/>
  <c r="H43" i="21"/>
  <c r="H44" i="21"/>
  <c r="H57" i="21"/>
  <c r="I42" i="21"/>
  <c r="I43" i="21"/>
  <c r="I44" i="21"/>
  <c r="I57" i="21"/>
  <c r="M42" i="14"/>
  <c r="J42" i="21"/>
  <c r="M43" i="14"/>
  <c r="J43" i="21"/>
  <c r="M44" i="14"/>
  <c r="J44" i="21"/>
  <c r="J57" i="21"/>
  <c r="N42" i="14"/>
  <c r="K42" i="21"/>
  <c r="N43" i="14"/>
  <c r="K43" i="21"/>
  <c r="N44" i="14"/>
  <c r="K44" i="21"/>
  <c r="K57" i="21"/>
  <c r="L57" i="21"/>
  <c r="P42" i="14"/>
  <c r="M42" i="21"/>
  <c r="P43" i="14"/>
  <c r="M43" i="21"/>
  <c r="P44" i="14"/>
  <c r="M44" i="21"/>
  <c r="M57" i="21"/>
  <c r="N57" i="21"/>
  <c r="O57" i="21"/>
  <c r="J11" i="14"/>
  <c r="J10" i="14"/>
  <c r="J9" i="14"/>
  <c r="N9" i="41"/>
  <c r="D49" i="38"/>
  <c r="B14" i="14"/>
  <c r="D19" i="38"/>
  <c r="B19" i="38"/>
  <c r="F20" i="38"/>
  <c r="D20" i="38"/>
  <c r="C9" i="41"/>
  <c r="S9" i="41"/>
  <c r="C11" i="41"/>
  <c r="S11" i="41"/>
  <c r="C12" i="41"/>
  <c r="S12" i="41"/>
  <c r="C13" i="41"/>
  <c r="S13" i="41"/>
  <c r="C15" i="41"/>
  <c r="S15" i="41"/>
  <c r="C16" i="41"/>
  <c r="S16" i="41"/>
  <c r="C17" i="41"/>
  <c r="S17" i="41"/>
  <c r="C18" i="41"/>
  <c r="S18" i="41"/>
  <c r="C19" i="41"/>
  <c r="S19" i="41"/>
  <c r="C20" i="41"/>
  <c r="S20" i="41"/>
  <c r="C21" i="41"/>
  <c r="S21" i="41"/>
  <c r="C22" i="41"/>
  <c r="S22" i="41"/>
  <c r="C23" i="41"/>
  <c r="S23" i="41"/>
  <c r="C24" i="41"/>
  <c r="S24" i="41"/>
  <c r="C25" i="41"/>
  <c r="S25" i="41"/>
  <c r="C26" i="41"/>
  <c r="S26" i="41"/>
  <c r="C27" i="41"/>
  <c r="S27" i="41"/>
  <c r="C28" i="41"/>
  <c r="S28" i="41"/>
  <c r="C29" i="41"/>
  <c r="S29" i="41"/>
  <c r="C30" i="41"/>
  <c r="S30" i="41"/>
  <c r="C31" i="41"/>
  <c r="S31" i="41"/>
  <c r="C32" i="41"/>
  <c r="S32" i="41"/>
  <c r="C33" i="41"/>
  <c r="S33" i="41"/>
  <c r="C34" i="41"/>
  <c r="S34" i="41"/>
  <c r="C35" i="41"/>
  <c r="S35" i="41"/>
  <c r="C36" i="41"/>
  <c r="S36" i="41"/>
  <c r="C37" i="41"/>
  <c r="S37" i="41"/>
  <c r="C38" i="41"/>
  <c r="S38" i="41"/>
  <c r="C39" i="41"/>
  <c r="S39" i="41"/>
  <c r="C40" i="41"/>
  <c r="S40" i="41"/>
  <c r="C41" i="41"/>
  <c r="S41" i="41"/>
  <c r="C42" i="41"/>
  <c r="S42" i="41"/>
  <c r="C43" i="41"/>
  <c r="S43" i="41"/>
  <c r="C44" i="41"/>
  <c r="S44" i="41"/>
  <c r="C45" i="41"/>
  <c r="S45" i="41"/>
  <c r="C46" i="41"/>
  <c r="S46" i="41"/>
  <c r="C47" i="41"/>
  <c r="S47" i="41"/>
  <c r="C48" i="41"/>
  <c r="S48" i="41"/>
  <c r="C49" i="41"/>
  <c r="S49" i="41"/>
  <c r="C50" i="41"/>
  <c r="S50" i="41"/>
  <c r="C51" i="41"/>
  <c r="S51" i="41"/>
  <c r="C52" i="41"/>
  <c r="S52" i="41"/>
  <c r="C53" i="41"/>
  <c r="S53" i="41"/>
  <c r="C54" i="41"/>
  <c r="S54" i="41"/>
  <c r="M49" i="41"/>
  <c r="E49" i="41"/>
  <c r="Q49" i="41"/>
  <c r="L45" i="41"/>
  <c r="D45" i="41"/>
  <c r="P45" i="41"/>
  <c r="L49" i="41"/>
  <c r="D49" i="41"/>
  <c r="P49" i="41"/>
  <c r="Q45" i="41"/>
  <c r="H49" i="38"/>
  <c r="E45" i="41"/>
  <c r="M45" i="41"/>
  <c r="K45" i="41"/>
  <c r="J45" i="41"/>
  <c r="G9" i="41"/>
  <c r="G11" i="41"/>
  <c r="G12" i="41"/>
  <c r="G13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K43" i="41"/>
  <c r="G43" i="41"/>
  <c r="K44" i="41"/>
  <c r="G44" i="41"/>
  <c r="G45" i="41"/>
  <c r="K49" i="41"/>
  <c r="K46" i="41"/>
  <c r="G46" i="41"/>
  <c r="K47" i="41"/>
  <c r="G47" i="41"/>
  <c r="K48" i="41"/>
  <c r="G48" i="41"/>
  <c r="O9" i="41"/>
  <c r="O11" i="41"/>
  <c r="O12" i="41"/>
  <c r="O13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3" i="41"/>
  <c r="O34" i="41"/>
  <c r="O35" i="41"/>
  <c r="O36" i="41"/>
  <c r="O37" i="41"/>
  <c r="O38" i="41"/>
  <c r="O39" i="41"/>
  <c r="O40" i="41"/>
  <c r="O41" i="41"/>
  <c r="O42" i="41"/>
  <c r="O43" i="41"/>
  <c r="O44" i="41"/>
  <c r="K55" i="41"/>
  <c r="K50" i="41"/>
  <c r="K51" i="41"/>
  <c r="M51" i="41"/>
  <c r="L55" i="41"/>
  <c r="L50" i="41"/>
  <c r="L51" i="41"/>
  <c r="J51" i="41"/>
  <c r="B51" i="41"/>
  <c r="N51" i="41"/>
  <c r="O51" i="41"/>
  <c r="D51" i="41"/>
  <c r="P51" i="41"/>
  <c r="E51" i="41"/>
  <c r="Q51" i="41"/>
  <c r="K52" i="41"/>
  <c r="M52" i="41"/>
  <c r="L52" i="41"/>
  <c r="J52" i="41"/>
  <c r="B52" i="41"/>
  <c r="N52" i="41"/>
  <c r="O52" i="41"/>
  <c r="D52" i="41"/>
  <c r="P52" i="41"/>
  <c r="E52" i="41"/>
  <c r="Q52" i="41"/>
  <c r="K53" i="41"/>
  <c r="M53" i="41"/>
  <c r="L53" i="41"/>
  <c r="J53" i="41"/>
  <c r="B53" i="41"/>
  <c r="N53" i="41"/>
  <c r="O53" i="41"/>
  <c r="D53" i="41"/>
  <c r="P53" i="41"/>
  <c r="E53" i="41"/>
  <c r="Q53" i="41"/>
  <c r="K54" i="41"/>
  <c r="M54" i="41"/>
  <c r="L54" i="41"/>
  <c r="J54" i="41"/>
  <c r="B54" i="41"/>
  <c r="N54" i="41"/>
  <c r="O54" i="41"/>
  <c r="D54" i="41"/>
  <c r="P54" i="41"/>
  <c r="E54" i="41"/>
  <c r="Q54" i="41"/>
  <c r="M55" i="41"/>
  <c r="J55" i="41"/>
  <c r="B55" i="41"/>
  <c r="N55" i="41"/>
  <c r="C55" i="41"/>
  <c r="O55" i="41"/>
  <c r="D55" i="41"/>
  <c r="P55" i="41"/>
  <c r="E55" i="41"/>
  <c r="Q55" i="41"/>
  <c r="K56" i="41"/>
  <c r="M56" i="41"/>
  <c r="L56" i="41"/>
  <c r="J56" i="41"/>
  <c r="B56" i="41"/>
  <c r="N56" i="41"/>
  <c r="C56" i="41"/>
  <c r="O56" i="41"/>
  <c r="D56" i="41"/>
  <c r="P56" i="41"/>
  <c r="E56" i="41"/>
  <c r="Q56" i="41"/>
  <c r="K57" i="41"/>
  <c r="M57" i="41"/>
  <c r="L57" i="41"/>
  <c r="J57" i="41"/>
  <c r="B57" i="41"/>
  <c r="N57" i="41"/>
  <c r="C57" i="41"/>
  <c r="O57" i="41"/>
  <c r="D57" i="41"/>
  <c r="P57" i="41"/>
  <c r="E57" i="41"/>
  <c r="Q57" i="41"/>
  <c r="K58" i="41"/>
  <c r="M58" i="41"/>
  <c r="L58" i="41"/>
  <c r="J58" i="41"/>
  <c r="B58" i="41"/>
  <c r="N58" i="41"/>
  <c r="C58" i="41"/>
  <c r="O58" i="41"/>
  <c r="D58" i="41"/>
  <c r="P58" i="41"/>
  <c r="E58" i="41"/>
  <c r="Q58" i="41"/>
  <c r="K59" i="41"/>
  <c r="M59" i="41"/>
  <c r="L59" i="41"/>
  <c r="J59" i="41"/>
  <c r="B59" i="41"/>
  <c r="N59" i="41"/>
  <c r="C59" i="41"/>
  <c r="O59" i="41"/>
  <c r="D59" i="41"/>
  <c r="P59" i="41"/>
  <c r="E59" i="41"/>
  <c r="Q59" i="41"/>
  <c r="K60" i="41"/>
  <c r="M60" i="41"/>
  <c r="L60" i="41"/>
  <c r="J60" i="41"/>
  <c r="B60" i="41"/>
  <c r="N60" i="41"/>
  <c r="C60" i="41"/>
  <c r="O60" i="41"/>
  <c r="D60" i="41"/>
  <c r="P60" i="41"/>
  <c r="E60" i="41"/>
  <c r="Q60" i="41"/>
  <c r="K61" i="41"/>
  <c r="M61" i="41"/>
  <c r="L61" i="41"/>
  <c r="J61" i="41"/>
  <c r="B61" i="41"/>
  <c r="N61" i="41"/>
  <c r="C61" i="41"/>
  <c r="O61" i="41"/>
  <c r="D61" i="41"/>
  <c r="P61" i="41"/>
  <c r="E61" i="41"/>
  <c r="Q61" i="41"/>
  <c r="K62" i="41"/>
  <c r="M62" i="41"/>
  <c r="L62" i="41"/>
  <c r="J62" i="41"/>
  <c r="B62" i="41"/>
  <c r="N62" i="41"/>
  <c r="C62" i="41"/>
  <c r="O62" i="41"/>
  <c r="D62" i="41"/>
  <c r="P62" i="41"/>
  <c r="E62" i="41"/>
  <c r="Q62" i="41"/>
  <c r="K63" i="41"/>
  <c r="M63" i="41"/>
  <c r="L63" i="41"/>
  <c r="J63" i="41"/>
  <c r="B63" i="41"/>
  <c r="N63" i="41"/>
  <c r="C63" i="41"/>
  <c r="O63" i="41"/>
  <c r="D63" i="41"/>
  <c r="P63" i="41"/>
  <c r="E63" i="41"/>
  <c r="Q63" i="41"/>
  <c r="K64" i="41"/>
  <c r="M64" i="41"/>
  <c r="L64" i="41"/>
  <c r="J64" i="41"/>
  <c r="B64" i="41"/>
  <c r="N64" i="41"/>
  <c r="C64" i="41"/>
  <c r="O64" i="41"/>
  <c r="D64" i="41"/>
  <c r="P64" i="41"/>
  <c r="E64" i="41"/>
  <c r="Q64" i="41"/>
  <c r="K65" i="41"/>
  <c r="M65" i="41"/>
  <c r="L65" i="41"/>
  <c r="J65" i="41"/>
  <c r="B65" i="41"/>
  <c r="N65" i="41"/>
  <c r="C65" i="41"/>
  <c r="O65" i="41"/>
  <c r="D65" i="41"/>
  <c r="P65" i="41"/>
  <c r="E65" i="41"/>
  <c r="Q65" i="41"/>
  <c r="K66" i="41"/>
  <c r="M66" i="41"/>
  <c r="L66" i="41"/>
  <c r="J66" i="41"/>
  <c r="B66" i="41"/>
  <c r="N66" i="41"/>
  <c r="C66" i="41"/>
  <c r="O66" i="41"/>
  <c r="D66" i="41"/>
  <c r="P66" i="41"/>
  <c r="E66" i="41"/>
  <c r="Q66" i="41"/>
  <c r="K67" i="41"/>
  <c r="M67" i="41"/>
  <c r="L67" i="41"/>
  <c r="J67" i="41"/>
  <c r="B67" i="41"/>
  <c r="N67" i="41"/>
  <c r="C67" i="41"/>
  <c r="O67" i="41"/>
  <c r="D67" i="41"/>
  <c r="P67" i="41"/>
  <c r="E67" i="41"/>
  <c r="Q67" i="41"/>
  <c r="K68" i="41"/>
  <c r="M68" i="41"/>
  <c r="L68" i="41"/>
  <c r="J68" i="41"/>
  <c r="B68" i="41"/>
  <c r="N68" i="41"/>
  <c r="C68" i="41"/>
  <c r="O68" i="41"/>
  <c r="D68" i="41"/>
  <c r="P68" i="41"/>
  <c r="E68" i="41"/>
  <c r="Q68" i="41"/>
  <c r="K69" i="41"/>
  <c r="M69" i="41"/>
  <c r="L69" i="41"/>
  <c r="J69" i="41"/>
  <c r="B69" i="41"/>
  <c r="N69" i="41"/>
  <c r="C69" i="41"/>
  <c r="O69" i="41"/>
  <c r="D69" i="41"/>
  <c r="P69" i="41"/>
  <c r="E69" i="41"/>
  <c r="Q69" i="41"/>
  <c r="K70" i="41"/>
  <c r="M70" i="41"/>
  <c r="L70" i="41"/>
  <c r="J70" i="41"/>
  <c r="B70" i="41"/>
  <c r="N70" i="41"/>
  <c r="C70" i="41"/>
  <c r="O70" i="41"/>
  <c r="D70" i="41"/>
  <c r="P70" i="41"/>
  <c r="E70" i="41"/>
  <c r="Q70" i="41"/>
  <c r="K71" i="41"/>
  <c r="M71" i="41"/>
  <c r="L71" i="41"/>
  <c r="J71" i="41"/>
  <c r="B71" i="41"/>
  <c r="N71" i="41"/>
  <c r="C71" i="41"/>
  <c r="O71" i="41"/>
  <c r="D71" i="41"/>
  <c r="P71" i="41"/>
  <c r="E71" i="41"/>
  <c r="Q71" i="41"/>
  <c r="K72" i="41"/>
  <c r="M72" i="41"/>
  <c r="L72" i="41"/>
  <c r="J72" i="41"/>
  <c r="B72" i="41"/>
  <c r="N72" i="41"/>
  <c r="C72" i="41"/>
  <c r="O72" i="41"/>
  <c r="D72" i="41"/>
  <c r="P72" i="41"/>
  <c r="E72" i="41"/>
  <c r="Q72" i="41"/>
  <c r="K73" i="41"/>
  <c r="M73" i="41"/>
  <c r="L73" i="41"/>
  <c r="J73" i="41"/>
  <c r="B73" i="41"/>
  <c r="N73" i="41"/>
  <c r="C73" i="41"/>
  <c r="O73" i="41"/>
  <c r="D73" i="41"/>
  <c r="P73" i="41"/>
  <c r="E73" i="41"/>
  <c r="Q73" i="41"/>
  <c r="K74" i="41"/>
  <c r="M74" i="41"/>
  <c r="L74" i="41"/>
  <c r="J74" i="41"/>
  <c r="B74" i="41"/>
  <c r="N74" i="41"/>
  <c r="C74" i="41"/>
  <c r="O74" i="41"/>
  <c r="D74" i="41"/>
  <c r="P74" i="41"/>
  <c r="E74" i="41"/>
  <c r="Q74" i="41"/>
  <c r="K75" i="41"/>
  <c r="M75" i="41"/>
  <c r="L75" i="41"/>
  <c r="J75" i="41"/>
  <c r="B75" i="41"/>
  <c r="N75" i="41"/>
  <c r="C75" i="41"/>
  <c r="O75" i="41"/>
  <c r="D75" i="41"/>
  <c r="P75" i="41"/>
  <c r="E75" i="41"/>
  <c r="Q75" i="41"/>
  <c r="K76" i="41"/>
  <c r="M76" i="41"/>
  <c r="L76" i="41"/>
  <c r="J76" i="41"/>
  <c r="B76" i="41"/>
  <c r="N76" i="41"/>
  <c r="C76" i="41"/>
  <c r="O76" i="41"/>
  <c r="D76" i="41"/>
  <c r="P76" i="41"/>
  <c r="E76" i="41"/>
  <c r="Q76" i="41"/>
  <c r="K77" i="41"/>
  <c r="M77" i="41"/>
  <c r="L77" i="41"/>
  <c r="J77" i="41"/>
  <c r="B77" i="41"/>
  <c r="N77" i="41"/>
  <c r="C77" i="41"/>
  <c r="O77" i="41"/>
  <c r="D77" i="41"/>
  <c r="P77" i="41"/>
  <c r="E77" i="41"/>
  <c r="Q77" i="41"/>
  <c r="K78" i="41"/>
  <c r="M78" i="41"/>
  <c r="L78" i="41"/>
  <c r="J78" i="41"/>
  <c r="B78" i="41"/>
  <c r="N78" i="41"/>
  <c r="C78" i="41"/>
  <c r="O78" i="41"/>
  <c r="D78" i="41"/>
  <c r="P78" i="41"/>
  <c r="E78" i="41"/>
  <c r="Q78" i="41"/>
  <c r="K79" i="41"/>
  <c r="M79" i="41"/>
  <c r="L79" i="41"/>
  <c r="J79" i="41"/>
  <c r="B79" i="41"/>
  <c r="N79" i="41"/>
  <c r="C79" i="41"/>
  <c r="O79" i="41"/>
  <c r="D79" i="41"/>
  <c r="P79" i="41"/>
  <c r="E79" i="41"/>
  <c r="Q79" i="41"/>
  <c r="K80" i="41"/>
  <c r="M80" i="41"/>
  <c r="L80" i="41"/>
  <c r="J80" i="41"/>
  <c r="B80" i="41"/>
  <c r="N80" i="41"/>
  <c r="C80" i="41"/>
  <c r="O80" i="41"/>
  <c r="D80" i="41"/>
  <c r="P80" i="41"/>
  <c r="E80" i="41"/>
  <c r="Q80" i="41"/>
  <c r="K81" i="41"/>
  <c r="M81" i="41"/>
  <c r="L81" i="41"/>
  <c r="J81" i="41"/>
  <c r="B81" i="41"/>
  <c r="N81" i="41"/>
  <c r="C81" i="41"/>
  <c r="O81" i="41"/>
  <c r="D81" i="41"/>
  <c r="P81" i="41"/>
  <c r="E81" i="41"/>
  <c r="Q81" i="41"/>
  <c r="K82" i="41"/>
  <c r="M82" i="41"/>
  <c r="L82" i="41"/>
  <c r="J82" i="41"/>
  <c r="B82" i="41"/>
  <c r="N82" i="41"/>
  <c r="C82" i="41"/>
  <c r="O82" i="41"/>
  <c r="D82" i="41"/>
  <c r="P82" i="41"/>
  <c r="E82" i="41"/>
  <c r="Q82" i="41"/>
  <c r="K83" i="41"/>
  <c r="M83" i="41"/>
  <c r="L83" i="41"/>
  <c r="J83" i="41"/>
  <c r="B83" i="41"/>
  <c r="N83" i="41"/>
  <c r="C83" i="41"/>
  <c r="O83" i="41"/>
  <c r="D83" i="41"/>
  <c r="P83" i="41"/>
  <c r="E83" i="41"/>
  <c r="Q83" i="41"/>
  <c r="O46" i="41"/>
  <c r="O47" i="41"/>
  <c r="O48" i="41"/>
  <c r="J49" i="41"/>
  <c r="B49" i="41"/>
  <c r="N49" i="41"/>
  <c r="O49" i="41"/>
  <c r="M50" i="41"/>
  <c r="J50" i="41"/>
  <c r="B50" i="41"/>
  <c r="N50" i="41"/>
  <c r="O50" i="41"/>
  <c r="D50" i="41"/>
  <c r="P50" i="41"/>
  <c r="E50" i="41"/>
  <c r="Q50" i="41"/>
  <c r="O45" i="41"/>
  <c r="I45" i="41"/>
  <c r="H45" i="41"/>
  <c r="G50" i="41"/>
  <c r="H50" i="41"/>
  <c r="I50" i="41"/>
  <c r="G51" i="41"/>
  <c r="H51" i="41"/>
  <c r="I51" i="41"/>
  <c r="G52" i="41"/>
  <c r="H52" i="41"/>
  <c r="I52" i="41"/>
  <c r="G53" i="41"/>
  <c r="H53" i="41"/>
  <c r="I53" i="41"/>
  <c r="G54" i="41"/>
  <c r="H54" i="41"/>
  <c r="I54" i="41"/>
  <c r="G55" i="41"/>
  <c r="H55" i="41"/>
  <c r="I55" i="41"/>
  <c r="G56" i="41"/>
  <c r="H56" i="41"/>
  <c r="I56" i="41"/>
  <c r="G57" i="41"/>
  <c r="H57" i="41"/>
  <c r="I57" i="41"/>
  <c r="G58" i="41"/>
  <c r="H58" i="41"/>
  <c r="I58" i="41"/>
  <c r="G59" i="41"/>
  <c r="H59" i="41"/>
  <c r="I59" i="41"/>
  <c r="G60" i="41"/>
  <c r="H60" i="41"/>
  <c r="I60" i="41"/>
  <c r="G61" i="41"/>
  <c r="H61" i="41"/>
  <c r="I61" i="41"/>
  <c r="G62" i="41"/>
  <c r="H62" i="41"/>
  <c r="I62" i="41"/>
  <c r="G63" i="41"/>
  <c r="H63" i="41"/>
  <c r="I63" i="41"/>
  <c r="G64" i="41"/>
  <c r="H64" i="41"/>
  <c r="I64" i="41"/>
  <c r="G65" i="41"/>
  <c r="H65" i="41"/>
  <c r="I65" i="41"/>
  <c r="G66" i="41"/>
  <c r="H66" i="41"/>
  <c r="I66" i="41"/>
  <c r="G67" i="41"/>
  <c r="H67" i="41"/>
  <c r="I67" i="41"/>
  <c r="G68" i="41"/>
  <c r="H68" i="41"/>
  <c r="I68" i="41"/>
  <c r="G69" i="41"/>
  <c r="H69" i="41"/>
  <c r="I69" i="41"/>
  <c r="G70" i="41"/>
  <c r="H70" i="41"/>
  <c r="I70" i="41"/>
  <c r="G71" i="41"/>
  <c r="H71" i="41"/>
  <c r="I71" i="41"/>
  <c r="G72" i="41"/>
  <c r="H72" i="41"/>
  <c r="I72" i="41"/>
  <c r="G73" i="41"/>
  <c r="H73" i="41"/>
  <c r="I73" i="41"/>
  <c r="G74" i="41"/>
  <c r="H74" i="41"/>
  <c r="I74" i="41"/>
  <c r="G75" i="41"/>
  <c r="H75" i="41"/>
  <c r="I75" i="41"/>
  <c r="G76" i="41"/>
  <c r="H76" i="41"/>
  <c r="I76" i="41"/>
  <c r="G77" i="41"/>
  <c r="H77" i="41"/>
  <c r="I77" i="41"/>
  <c r="G78" i="41"/>
  <c r="H78" i="41"/>
  <c r="I78" i="41"/>
  <c r="G79" i="41"/>
  <c r="H79" i="41"/>
  <c r="I79" i="41"/>
  <c r="G80" i="41"/>
  <c r="H80" i="41"/>
  <c r="I80" i="41"/>
  <c r="G81" i="41"/>
  <c r="H81" i="41"/>
  <c r="I81" i="41"/>
  <c r="G82" i="41"/>
  <c r="H82" i="41"/>
  <c r="I82" i="41"/>
  <c r="G83" i="41"/>
  <c r="H83" i="41"/>
  <c r="I83" i="41"/>
  <c r="G49" i="41"/>
  <c r="H49" i="41"/>
  <c r="I49" i="41"/>
  <c r="E10" i="41"/>
  <c r="E11" i="41"/>
  <c r="E12" i="41"/>
  <c r="E13" i="41"/>
  <c r="E14" i="41"/>
  <c r="E15" i="41"/>
  <c r="H20" i="38"/>
  <c r="E16" i="41"/>
  <c r="E17" i="41"/>
  <c r="F21" i="38"/>
  <c r="F22" i="38"/>
  <c r="H22" i="38"/>
  <c r="E18" i="41"/>
  <c r="F23" i="38"/>
  <c r="H23" i="38"/>
  <c r="E19" i="41"/>
  <c r="H24" i="38"/>
  <c r="E20" i="41"/>
  <c r="H25" i="38"/>
  <c r="E21" i="41"/>
  <c r="H26" i="38"/>
  <c r="E22" i="41"/>
  <c r="H27" i="38"/>
  <c r="E23" i="41"/>
  <c r="H28" i="38"/>
  <c r="E24" i="41"/>
  <c r="H29" i="38"/>
  <c r="E25" i="41"/>
  <c r="H30" i="38"/>
  <c r="E26" i="41"/>
  <c r="H31" i="38"/>
  <c r="E27" i="41"/>
  <c r="H32" i="38"/>
  <c r="E28" i="41"/>
  <c r="H33" i="38"/>
  <c r="E29" i="41"/>
  <c r="H34" i="38"/>
  <c r="E30" i="41"/>
  <c r="H35" i="38"/>
  <c r="E31" i="41"/>
  <c r="H36" i="38"/>
  <c r="E32" i="41"/>
  <c r="H37" i="38"/>
  <c r="E33" i="41"/>
  <c r="H38" i="38"/>
  <c r="E34" i="41"/>
  <c r="H39" i="38"/>
  <c r="E35" i="41"/>
  <c r="H40" i="38"/>
  <c r="E36" i="41"/>
  <c r="H41" i="38"/>
  <c r="E37" i="41"/>
  <c r="H42" i="38"/>
  <c r="E38" i="41"/>
  <c r="H43" i="38"/>
  <c r="E39" i="41"/>
  <c r="H44" i="38"/>
  <c r="E40" i="41"/>
  <c r="H45" i="38"/>
  <c r="E41" i="41"/>
  <c r="H46" i="38"/>
  <c r="E42" i="41"/>
  <c r="H47" i="38"/>
  <c r="E43" i="41"/>
  <c r="H48" i="38"/>
  <c r="E44" i="41"/>
  <c r="H50" i="38"/>
  <c r="E46" i="41"/>
  <c r="H51" i="38"/>
  <c r="E47" i="41"/>
  <c r="H52" i="38"/>
  <c r="E48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6" i="41"/>
  <c r="D47" i="41"/>
  <c r="D48" i="41"/>
  <c r="D9" i="41"/>
  <c r="E9" i="41"/>
  <c r="EA42" i="2"/>
  <c r="EA43" i="2"/>
  <c r="EA44" i="2"/>
  <c r="EA45" i="2"/>
  <c r="EA46" i="2"/>
  <c r="EA47" i="2"/>
  <c r="EA48" i="2"/>
  <c r="EA49" i="2"/>
  <c r="EA50" i="2"/>
  <c r="EA51" i="2"/>
  <c r="EA52" i="2"/>
  <c r="EA53" i="2"/>
  <c r="EA54" i="2"/>
  <c r="EA55" i="2"/>
  <c r="EA56" i="2"/>
  <c r="EA57" i="2"/>
  <c r="EA58" i="2"/>
  <c r="EA59" i="2"/>
  <c r="EA60" i="2"/>
  <c r="EA61" i="2"/>
  <c r="EA62" i="2"/>
  <c r="EA63" i="2"/>
  <c r="F19" i="38"/>
  <c r="E19" i="38"/>
  <c r="H53" i="38"/>
  <c r="F53" i="38"/>
  <c r="I53" i="38"/>
  <c r="F24" i="38"/>
  <c r="F30" i="38"/>
  <c r="F25" i="38"/>
  <c r="F26" i="38"/>
  <c r="F27" i="38"/>
  <c r="F28" i="38"/>
  <c r="F29" i="38"/>
  <c r="F35" i="38"/>
  <c r="F31" i="38"/>
  <c r="F32" i="38"/>
  <c r="F33" i="38"/>
  <c r="F34" i="38"/>
  <c r="F40" i="38"/>
  <c r="F36" i="38"/>
  <c r="F37" i="38"/>
  <c r="F38" i="38"/>
  <c r="F39" i="38"/>
  <c r="F45" i="38"/>
  <c r="F41" i="38"/>
  <c r="F42" i="38"/>
  <c r="F43" i="38"/>
  <c r="F44" i="38"/>
  <c r="F49" i="38"/>
  <c r="F46" i="38"/>
  <c r="F47" i="38"/>
  <c r="F48" i="38"/>
  <c r="F50" i="38"/>
  <c r="F51" i="38"/>
  <c r="F52" i="38"/>
  <c r="F59" i="38"/>
  <c r="F54" i="38"/>
  <c r="H54" i="38"/>
  <c r="F55" i="38"/>
  <c r="H55" i="38"/>
  <c r="F56" i="38"/>
  <c r="H56" i="38"/>
  <c r="F57" i="38"/>
  <c r="H57" i="38"/>
  <c r="F58" i="38"/>
  <c r="H58" i="38"/>
  <c r="H59" i="38"/>
  <c r="F60" i="38"/>
  <c r="H60" i="38"/>
  <c r="F61" i="38"/>
  <c r="H61" i="38"/>
  <c r="F62" i="38"/>
  <c r="H62" i="38"/>
  <c r="F63" i="38"/>
  <c r="H63" i="38"/>
  <c r="F64" i="38"/>
  <c r="H64" i="38"/>
  <c r="F65" i="38"/>
  <c r="H65" i="38"/>
  <c r="F66" i="38"/>
  <c r="H66" i="38"/>
  <c r="F67" i="38"/>
  <c r="H67" i="38"/>
  <c r="F68" i="38"/>
  <c r="H68" i="38"/>
  <c r="F69" i="38"/>
  <c r="H69" i="38"/>
  <c r="F70" i="38"/>
  <c r="H70" i="38"/>
  <c r="F71" i="38"/>
  <c r="H71" i="38"/>
  <c r="F72" i="38"/>
  <c r="H72" i="38"/>
  <c r="F73" i="38"/>
  <c r="H73" i="38"/>
  <c r="F74" i="38"/>
  <c r="H74" i="38"/>
  <c r="F75" i="38"/>
  <c r="H75" i="38"/>
  <c r="F76" i="38"/>
  <c r="H76" i="38"/>
  <c r="F77" i="38"/>
  <c r="H77" i="38"/>
  <c r="F78" i="38"/>
  <c r="H78" i="38"/>
  <c r="F79" i="38"/>
  <c r="H79" i="38"/>
  <c r="F80" i="38"/>
  <c r="H80" i="38"/>
  <c r="F81" i="38"/>
  <c r="H81" i="38"/>
  <c r="F82" i="38"/>
  <c r="H82" i="38"/>
  <c r="F83" i="38"/>
  <c r="H83" i="38"/>
  <c r="F84" i="38"/>
  <c r="H84" i="38"/>
  <c r="F85" i="38"/>
  <c r="H85" i="38"/>
  <c r="F86" i="38"/>
  <c r="H86" i="38"/>
  <c r="F87" i="38"/>
  <c r="H87" i="38"/>
  <c r="F15" i="38"/>
  <c r="F16" i="38"/>
  <c r="E17" i="38"/>
  <c r="F17" i="38"/>
  <c r="D13" i="38"/>
  <c r="E13" i="38"/>
  <c r="F13" i="38"/>
  <c r="H93" i="38"/>
  <c r="H94" i="38"/>
  <c r="H95" i="38"/>
  <c r="H96" i="38"/>
  <c r="H97" i="38"/>
  <c r="H98" i="38"/>
  <c r="D14" i="38"/>
  <c r="B10" i="41"/>
  <c r="E15" i="38"/>
  <c r="D15" i="38"/>
  <c r="B11" i="41"/>
  <c r="E16" i="38"/>
  <c r="D16" i="38"/>
  <c r="B12" i="41"/>
  <c r="D17" i="38"/>
  <c r="B13" i="41"/>
  <c r="D18" i="38"/>
  <c r="B14" i="41"/>
  <c r="B15" i="41"/>
  <c r="B16" i="41"/>
  <c r="D21" i="38"/>
  <c r="B17" i="41"/>
  <c r="D22" i="38"/>
  <c r="B18" i="41"/>
  <c r="D23" i="38"/>
  <c r="B19" i="41"/>
  <c r="D24" i="38"/>
  <c r="B20" i="41"/>
  <c r="D25" i="38"/>
  <c r="B21" i="41"/>
  <c r="D26" i="38"/>
  <c r="B22" i="41"/>
  <c r="D27" i="38"/>
  <c r="B23" i="41"/>
  <c r="D28" i="38"/>
  <c r="B24" i="41"/>
  <c r="D29" i="38"/>
  <c r="B25" i="41"/>
  <c r="D30" i="38"/>
  <c r="B26" i="41"/>
  <c r="D31" i="38"/>
  <c r="B27" i="41"/>
  <c r="D32" i="38"/>
  <c r="B28" i="41"/>
  <c r="D33" i="38"/>
  <c r="B29" i="41"/>
  <c r="D34" i="38"/>
  <c r="B30" i="41"/>
  <c r="D35" i="38"/>
  <c r="B31" i="41"/>
  <c r="D36" i="38"/>
  <c r="B32" i="41"/>
  <c r="D37" i="38"/>
  <c r="B33" i="41"/>
  <c r="D38" i="38"/>
  <c r="B34" i="41"/>
  <c r="D39" i="38"/>
  <c r="B35" i="41"/>
  <c r="D40" i="38"/>
  <c r="B36" i="41"/>
  <c r="D41" i="38"/>
  <c r="B37" i="41"/>
  <c r="D42" i="38"/>
  <c r="B38" i="41"/>
  <c r="D43" i="38"/>
  <c r="B39" i="41"/>
  <c r="D44" i="38"/>
  <c r="B40" i="41"/>
  <c r="D45" i="38"/>
  <c r="B41" i="41"/>
  <c r="D46" i="38"/>
  <c r="B42" i="41"/>
  <c r="D47" i="38"/>
  <c r="B43" i="41"/>
  <c r="D48" i="38"/>
  <c r="B44" i="41"/>
  <c r="B45" i="41"/>
  <c r="D50" i="38"/>
  <c r="B46" i="41"/>
  <c r="D51" i="38"/>
  <c r="B47" i="41"/>
  <c r="D52" i="38"/>
  <c r="B48" i="41"/>
  <c r="D53" i="38"/>
  <c r="D54" i="38"/>
  <c r="D55" i="38"/>
  <c r="D56" i="38"/>
  <c r="D57" i="38"/>
  <c r="D58" i="38"/>
  <c r="E59" i="38"/>
  <c r="D59" i="38"/>
  <c r="E60" i="38"/>
  <c r="D60" i="38"/>
  <c r="E61" i="38"/>
  <c r="D61" i="38"/>
  <c r="E62" i="38"/>
  <c r="D62" i="38"/>
  <c r="E63" i="38"/>
  <c r="D63" i="38"/>
  <c r="E64" i="38"/>
  <c r="D64" i="38"/>
  <c r="E65" i="38"/>
  <c r="D65" i="38"/>
  <c r="E66" i="38"/>
  <c r="D66" i="38"/>
  <c r="E67" i="38"/>
  <c r="D67" i="38"/>
  <c r="E68" i="38"/>
  <c r="D68" i="38"/>
  <c r="E69" i="38"/>
  <c r="D69" i="38"/>
  <c r="E70" i="38"/>
  <c r="D70" i="38"/>
  <c r="E71" i="38"/>
  <c r="D71" i="38"/>
  <c r="E72" i="38"/>
  <c r="D72" i="38"/>
  <c r="E73" i="38"/>
  <c r="D73" i="38"/>
  <c r="E74" i="38"/>
  <c r="D74" i="38"/>
  <c r="E75" i="38"/>
  <c r="D75" i="38"/>
  <c r="E76" i="38"/>
  <c r="D76" i="38"/>
  <c r="E77" i="38"/>
  <c r="D77" i="38"/>
  <c r="E78" i="38"/>
  <c r="D78" i="38"/>
  <c r="E79" i="38"/>
  <c r="D79" i="38"/>
  <c r="E80" i="38"/>
  <c r="D80" i="38"/>
  <c r="E81" i="38"/>
  <c r="D81" i="38"/>
  <c r="E82" i="38"/>
  <c r="D82" i="38"/>
  <c r="E83" i="38"/>
  <c r="D83" i="38"/>
  <c r="E84" i="38"/>
  <c r="D84" i="38"/>
  <c r="E85" i="38"/>
  <c r="D85" i="38"/>
  <c r="E86" i="38"/>
  <c r="D86" i="38"/>
  <c r="E87" i="38"/>
  <c r="D87" i="38"/>
  <c r="B9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S58" i="41"/>
  <c r="F58" i="41"/>
  <c r="S57" i="41"/>
  <c r="F57" i="41"/>
  <c r="S56" i="41"/>
  <c r="F56" i="41"/>
  <c r="S55" i="41"/>
  <c r="F55" i="41"/>
  <c r="F54" i="41"/>
  <c r="F53" i="41"/>
  <c r="F52" i="41"/>
  <c r="F51" i="41"/>
  <c r="F50" i="41"/>
  <c r="F49" i="41"/>
  <c r="N45" i="41"/>
  <c r="F45" i="41"/>
  <c r="C14" i="41"/>
  <c r="C10" i="41"/>
  <c r="DX43" i="2"/>
  <c r="DT43" i="2"/>
  <c r="DX44" i="2"/>
  <c r="DT44" i="2"/>
  <c r="DX45" i="2"/>
  <c r="DT45" i="2"/>
  <c r="DX46" i="2"/>
  <c r="DT46" i="2"/>
  <c r="DX47" i="2"/>
  <c r="DT47" i="2"/>
  <c r="DX48" i="2"/>
  <c r="DT48" i="2"/>
  <c r="DX49" i="2"/>
  <c r="DT49" i="2"/>
  <c r="DX50" i="2"/>
  <c r="DT50" i="2"/>
  <c r="DX51" i="2"/>
  <c r="DT51" i="2"/>
  <c r="DX52" i="2"/>
  <c r="DT52" i="2"/>
  <c r="DX53" i="2"/>
  <c r="DT53" i="2"/>
  <c r="DX54" i="2"/>
  <c r="DT54" i="2"/>
  <c r="DX55" i="2"/>
  <c r="DT55" i="2"/>
  <c r="DX56" i="2"/>
  <c r="DT56" i="2"/>
  <c r="DX57" i="2"/>
  <c r="DT57" i="2"/>
  <c r="DX58" i="2"/>
  <c r="DT58" i="2"/>
  <c r="DX59" i="2"/>
  <c r="DT59" i="2"/>
  <c r="DX60" i="2"/>
  <c r="DT60" i="2"/>
  <c r="DX61" i="2"/>
  <c r="DT61" i="2"/>
  <c r="DX62" i="2"/>
  <c r="DT62" i="2"/>
  <c r="DX63" i="2"/>
  <c r="DT63" i="2"/>
  <c r="DX35" i="2"/>
  <c r="DT35" i="2"/>
  <c r="DX36" i="2"/>
  <c r="DT36" i="2"/>
  <c r="DX37" i="2"/>
  <c r="DT37" i="2"/>
  <c r="DX38" i="2"/>
  <c r="DT38" i="2"/>
  <c r="DX39" i="2"/>
  <c r="DT39" i="2"/>
  <c r="DX40" i="2"/>
  <c r="DT40" i="2"/>
  <c r="DX41" i="2"/>
  <c r="DT41" i="2"/>
  <c r="DT42" i="2"/>
  <c r="DT34" i="2"/>
  <c r="N69" i="2"/>
  <c r="N70" i="2"/>
  <c r="L67" i="2"/>
  <c r="L68" i="2"/>
  <c r="L64" i="2"/>
  <c r="L65" i="2"/>
  <c r="L66" i="2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K79" i="39"/>
  <c r="K80" i="39"/>
  <c r="K81" i="39"/>
  <c r="K82" i="39"/>
  <c r="K83" i="39"/>
  <c r="K84" i="39"/>
  <c r="K85" i="39"/>
  <c r="K86" i="39"/>
  <c r="K87" i="39"/>
  <c r="J81" i="39"/>
  <c r="J82" i="39"/>
  <c r="J83" i="39"/>
  <c r="J84" i="39"/>
  <c r="J85" i="39"/>
  <c r="J86" i="39"/>
  <c r="J87" i="39"/>
  <c r="J80" i="39"/>
  <c r="B11" i="39"/>
  <c r="B12" i="39"/>
  <c r="G12" i="39"/>
  <c r="B13" i="38"/>
  <c r="B13" i="39"/>
  <c r="C13" i="39"/>
  <c r="D13" i="39"/>
  <c r="G13" i="39"/>
  <c r="B14" i="39"/>
  <c r="C14" i="39"/>
  <c r="D14" i="39"/>
  <c r="G14" i="39"/>
  <c r="B15" i="38"/>
  <c r="B15" i="39"/>
  <c r="C15" i="39"/>
  <c r="G15" i="37"/>
  <c r="D15" i="37"/>
  <c r="D15" i="39"/>
  <c r="G15" i="39"/>
  <c r="H15" i="39"/>
  <c r="B16" i="38"/>
  <c r="B16" i="39"/>
  <c r="C16" i="39"/>
  <c r="G16" i="37"/>
  <c r="D16" i="37"/>
  <c r="D16" i="39"/>
  <c r="G16" i="39"/>
  <c r="H16" i="39"/>
  <c r="B17" i="38"/>
  <c r="B17" i="39"/>
  <c r="C17" i="39"/>
  <c r="G17" i="37"/>
  <c r="D17" i="37"/>
  <c r="D17" i="39"/>
  <c r="G17" i="39"/>
  <c r="H17" i="39"/>
  <c r="B18" i="37"/>
  <c r="B18" i="38"/>
  <c r="B18" i="39"/>
  <c r="C18" i="37"/>
  <c r="C18" i="39"/>
  <c r="G19" i="37"/>
  <c r="D19" i="37"/>
  <c r="D18" i="37"/>
  <c r="D18" i="39"/>
  <c r="H18" i="37"/>
  <c r="G18" i="37"/>
  <c r="G18" i="39"/>
  <c r="H18" i="39"/>
  <c r="B19" i="39"/>
  <c r="C19" i="39"/>
  <c r="D19" i="39"/>
  <c r="G19" i="39"/>
  <c r="B20" i="39"/>
  <c r="C20" i="39"/>
  <c r="D20" i="37"/>
  <c r="D20" i="39"/>
  <c r="E20" i="39"/>
  <c r="F20" i="39"/>
  <c r="G20" i="37"/>
  <c r="G20" i="38"/>
  <c r="G20" i="39"/>
  <c r="H20" i="39"/>
  <c r="B21" i="39"/>
  <c r="C21" i="39"/>
  <c r="D21" i="37"/>
  <c r="E21" i="39"/>
  <c r="G21" i="37"/>
  <c r="H21" i="39"/>
  <c r="B22" i="39"/>
  <c r="C22" i="39"/>
  <c r="D22" i="37"/>
  <c r="E22" i="39"/>
  <c r="G22" i="37"/>
  <c r="B23" i="39"/>
  <c r="C23" i="39"/>
  <c r="D23" i="37"/>
  <c r="E23" i="39"/>
  <c r="G23" i="37"/>
  <c r="B24" i="39"/>
  <c r="C24" i="39"/>
  <c r="D24" i="37"/>
  <c r="E24" i="39"/>
  <c r="G24" i="37"/>
  <c r="B25" i="39"/>
  <c r="C25" i="39"/>
  <c r="D25" i="37"/>
  <c r="E25" i="39"/>
  <c r="G25" i="37"/>
  <c r="B26" i="39"/>
  <c r="C26" i="39"/>
  <c r="D26" i="37"/>
  <c r="E26" i="39"/>
  <c r="G26" i="37"/>
  <c r="B27" i="39"/>
  <c r="C27" i="39"/>
  <c r="D27" i="37"/>
  <c r="E27" i="39"/>
  <c r="G27" i="37"/>
  <c r="B28" i="39"/>
  <c r="C28" i="39"/>
  <c r="D28" i="37"/>
  <c r="E28" i="39"/>
  <c r="G28" i="37"/>
  <c r="B29" i="39"/>
  <c r="C29" i="39"/>
  <c r="D29" i="37"/>
  <c r="E29" i="39"/>
  <c r="G29" i="37"/>
  <c r="B30" i="39"/>
  <c r="C30" i="39"/>
  <c r="D30" i="37"/>
  <c r="D30" i="39"/>
  <c r="E30" i="39"/>
  <c r="F30" i="39"/>
  <c r="G30" i="37"/>
  <c r="G30" i="38"/>
  <c r="G30" i="39"/>
  <c r="H30" i="39"/>
  <c r="B31" i="39"/>
  <c r="C31" i="39"/>
  <c r="D31" i="37"/>
  <c r="D31" i="39"/>
  <c r="E31" i="39"/>
  <c r="F31" i="39"/>
  <c r="G31" i="37"/>
  <c r="G31" i="38"/>
  <c r="G31" i="39"/>
  <c r="H31" i="39"/>
  <c r="B32" i="39"/>
  <c r="C32" i="39"/>
  <c r="D32" i="37"/>
  <c r="D32" i="39"/>
  <c r="E32" i="39"/>
  <c r="F32" i="39"/>
  <c r="G32" i="37"/>
  <c r="G32" i="38"/>
  <c r="G32" i="39"/>
  <c r="H32" i="39"/>
  <c r="B33" i="39"/>
  <c r="C33" i="39"/>
  <c r="D33" i="37"/>
  <c r="D33" i="39"/>
  <c r="E33" i="39"/>
  <c r="F33" i="39"/>
  <c r="G33" i="37"/>
  <c r="G33" i="38"/>
  <c r="G33" i="39"/>
  <c r="H33" i="39"/>
  <c r="B34" i="39"/>
  <c r="C34" i="39"/>
  <c r="D34" i="37"/>
  <c r="D34" i="39"/>
  <c r="E34" i="39"/>
  <c r="F34" i="39"/>
  <c r="G34" i="37"/>
  <c r="G34" i="38"/>
  <c r="G34" i="39"/>
  <c r="H34" i="39"/>
  <c r="B35" i="39"/>
  <c r="C35" i="39"/>
  <c r="D35" i="37"/>
  <c r="D35" i="39"/>
  <c r="E35" i="39"/>
  <c r="F35" i="39"/>
  <c r="G35" i="37"/>
  <c r="G35" i="38"/>
  <c r="G35" i="39"/>
  <c r="H35" i="39"/>
  <c r="B36" i="39"/>
  <c r="C36" i="39"/>
  <c r="D36" i="37"/>
  <c r="D36" i="39"/>
  <c r="E36" i="39"/>
  <c r="F36" i="39"/>
  <c r="G36" i="37"/>
  <c r="G36" i="38"/>
  <c r="G36" i="39"/>
  <c r="H36" i="39"/>
  <c r="B37" i="39"/>
  <c r="C37" i="39"/>
  <c r="D37" i="37"/>
  <c r="D37" i="39"/>
  <c r="E37" i="39"/>
  <c r="F37" i="39"/>
  <c r="G37" i="37"/>
  <c r="G37" i="38"/>
  <c r="G37" i="39"/>
  <c r="H37" i="39"/>
  <c r="B38" i="39"/>
  <c r="C38" i="39"/>
  <c r="D38" i="37"/>
  <c r="D38" i="39"/>
  <c r="E38" i="39"/>
  <c r="F38" i="39"/>
  <c r="G38" i="37"/>
  <c r="G38" i="38"/>
  <c r="G38" i="39"/>
  <c r="H38" i="39"/>
  <c r="B39" i="39"/>
  <c r="C39" i="39"/>
  <c r="D39" i="37"/>
  <c r="D39" i="39"/>
  <c r="E39" i="39"/>
  <c r="F39" i="39"/>
  <c r="G39" i="37"/>
  <c r="G39" i="38"/>
  <c r="G39" i="39"/>
  <c r="H39" i="39"/>
  <c r="B40" i="39"/>
  <c r="C40" i="39"/>
  <c r="D40" i="37"/>
  <c r="D40" i="39"/>
  <c r="E40" i="39"/>
  <c r="F40" i="39"/>
  <c r="G40" i="37"/>
  <c r="G40" i="38"/>
  <c r="G40" i="39"/>
  <c r="H40" i="39"/>
  <c r="B41" i="39"/>
  <c r="C41" i="39"/>
  <c r="D41" i="37"/>
  <c r="D41" i="39"/>
  <c r="E41" i="39"/>
  <c r="F41" i="39"/>
  <c r="G41" i="37"/>
  <c r="G41" i="38"/>
  <c r="G41" i="39"/>
  <c r="H41" i="39"/>
  <c r="B42" i="39"/>
  <c r="C42" i="39"/>
  <c r="D42" i="37"/>
  <c r="D42" i="39"/>
  <c r="E42" i="39"/>
  <c r="F42" i="39"/>
  <c r="G42" i="37"/>
  <c r="G42" i="38"/>
  <c r="G42" i="39"/>
  <c r="H42" i="39"/>
  <c r="B43" i="39"/>
  <c r="C43" i="39"/>
  <c r="D43" i="37"/>
  <c r="D43" i="39"/>
  <c r="E43" i="39"/>
  <c r="F43" i="39"/>
  <c r="G43" i="37"/>
  <c r="G43" i="38"/>
  <c r="G43" i="39"/>
  <c r="H43" i="39"/>
  <c r="B44" i="39"/>
  <c r="C44" i="39"/>
  <c r="D44" i="37"/>
  <c r="D44" i="39"/>
  <c r="E44" i="39"/>
  <c r="F44" i="39"/>
  <c r="G44" i="37"/>
  <c r="G44" i="38"/>
  <c r="G44" i="39"/>
  <c r="H44" i="39"/>
  <c r="B45" i="39"/>
  <c r="C45" i="39"/>
  <c r="D45" i="37"/>
  <c r="D45" i="39"/>
  <c r="E45" i="39"/>
  <c r="F45" i="39"/>
  <c r="G45" i="37"/>
  <c r="G45" i="38"/>
  <c r="G45" i="39"/>
  <c r="H45" i="39"/>
  <c r="B46" i="39"/>
  <c r="C46" i="39"/>
  <c r="D46" i="37"/>
  <c r="D46" i="39"/>
  <c r="E46" i="39"/>
  <c r="F46" i="39"/>
  <c r="G46" i="37"/>
  <c r="G46" i="38"/>
  <c r="G46" i="39"/>
  <c r="H46" i="39"/>
  <c r="B47" i="39"/>
  <c r="C47" i="39"/>
  <c r="D47" i="37"/>
  <c r="D47" i="39"/>
  <c r="E47" i="39"/>
  <c r="F47" i="39"/>
  <c r="G47" i="37"/>
  <c r="G47" i="38"/>
  <c r="G47" i="39"/>
  <c r="H47" i="39"/>
  <c r="B48" i="39"/>
  <c r="C48" i="39"/>
  <c r="D48" i="37"/>
  <c r="D48" i="39"/>
  <c r="E48" i="39"/>
  <c r="F48" i="39"/>
  <c r="G48" i="37"/>
  <c r="G48" i="38"/>
  <c r="G48" i="39"/>
  <c r="H48" i="39"/>
  <c r="B49" i="39"/>
  <c r="C49" i="39"/>
  <c r="D49" i="37"/>
  <c r="D49" i="39"/>
  <c r="E49" i="39"/>
  <c r="F49" i="39"/>
  <c r="G49" i="37"/>
  <c r="G49" i="38"/>
  <c r="G49" i="39"/>
  <c r="H49" i="39"/>
  <c r="B50" i="39"/>
  <c r="C50" i="39"/>
  <c r="D50" i="37"/>
  <c r="D50" i="39"/>
  <c r="E50" i="39"/>
  <c r="F50" i="39"/>
  <c r="G50" i="37"/>
  <c r="G50" i="38"/>
  <c r="G50" i="39"/>
  <c r="H50" i="39"/>
  <c r="C51" i="39"/>
  <c r="D51" i="37"/>
  <c r="D51" i="39"/>
  <c r="E51" i="39"/>
  <c r="F51" i="39"/>
  <c r="H51" i="39"/>
  <c r="C52" i="39"/>
  <c r="D52" i="37"/>
  <c r="D52" i="39"/>
  <c r="E52" i="39"/>
  <c r="F52" i="39"/>
  <c r="H52" i="39"/>
  <c r="C53" i="39"/>
  <c r="D53" i="37"/>
  <c r="D53" i="39"/>
  <c r="E53" i="39"/>
  <c r="F53" i="39"/>
  <c r="H53" i="39"/>
  <c r="C54" i="39"/>
  <c r="D54" i="37"/>
  <c r="D54" i="39"/>
  <c r="E54" i="39"/>
  <c r="F54" i="39"/>
  <c r="H54" i="39"/>
  <c r="C55" i="39"/>
  <c r="D55" i="37"/>
  <c r="D55" i="39"/>
  <c r="E55" i="39"/>
  <c r="F55" i="39"/>
  <c r="H55" i="39"/>
  <c r="C56" i="39"/>
  <c r="D56" i="37"/>
  <c r="D56" i="39"/>
  <c r="E56" i="39"/>
  <c r="F56" i="39"/>
  <c r="H56" i="39"/>
  <c r="C57" i="39"/>
  <c r="D57" i="37"/>
  <c r="D57" i="39"/>
  <c r="E57" i="39"/>
  <c r="F57" i="39"/>
  <c r="H57" i="39"/>
  <c r="C58" i="39"/>
  <c r="D58" i="37"/>
  <c r="D58" i="39"/>
  <c r="E58" i="39"/>
  <c r="F58" i="39"/>
  <c r="H58" i="39"/>
  <c r="C59" i="39"/>
  <c r="D59" i="37"/>
  <c r="D59" i="39"/>
  <c r="E59" i="39"/>
  <c r="F59" i="39"/>
  <c r="H59" i="39"/>
  <c r="C60" i="39"/>
  <c r="D60" i="37"/>
  <c r="D60" i="39"/>
  <c r="E60" i="39"/>
  <c r="F60" i="39"/>
  <c r="H60" i="39"/>
  <c r="C61" i="39"/>
  <c r="D61" i="37"/>
  <c r="D61" i="39"/>
  <c r="E61" i="39"/>
  <c r="F61" i="39"/>
  <c r="H61" i="39"/>
  <c r="C62" i="39"/>
  <c r="D62" i="37"/>
  <c r="D62" i="39"/>
  <c r="E62" i="39"/>
  <c r="F62" i="39"/>
  <c r="H62" i="39"/>
  <c r="C63" i="39"/>
  <c r="D63" i="37"/>
  <c r="D63" i="39"/>
  <c r="E63" i="39"/>
  <c r="F63" i="39"/>
  <c r="H63" i="39"/>
  <c r="C64" i="39"/>
  <c r="D64" i="37"/>
  <c r="D64" i="39"/>
  <c r="E64" i="39"/>
  <c r="F64" i="39"/>
  <c r="H64" i="39"/>
  <c r="C65" i="39"/>
  <c r="D65" i="37"/>
  <c r="D65" i="39"/>
  <c r="E65" i="39"/>
  <c r="F65" i="39"/>
  <c r="H65" i="39"/>
  <c r="C66" i="39"/>
  <c r="D66" i="37"/>
  <c r="D66" i="39"/>
  <c r="E66" i="39"/>
  <c r="F66" i="39"/>
  <c r="H66" i="39"/>
  <c r="C67" i="39"/>
  <c r="D67" i="37"/>
  <c r="D67" i="39"/>
  <c r="E67" i="39"/>
  <c r="F67" i="39"/>
  <c r="H67" i="39"/>
  <c r="C68" i="39"/>
  <c r="D68" i="37"/>
  <c r="D68" i="39"/>
  <c r="E68" i="39"/>
  <c r="F68" i="39"/>
  <c r="H68" i="39"/>
  <c r="C69" i="39"/>
  <c r="D69" i="37"/>
  <c r="D69" i="39"/>
  <c r="E69" i="39"/>
  <c r="F69" i="39"/>
  <c r="H69" i="39"/>
  <c r="C70" i="39"/>
  <c r="D70" i="37"/>
  <c r="D70" i="39"/>
  <c r="E70" i="39"/>
  <c r="F70" i="39"/>
  <c r="H70" i="39"/>
  <c r="C71" i="39"/>
  <c r="D71" i="37"/>
  <c r="D71" i="39"/>
  <c r="E71" i="39"/>
  <c r="F71" i="39"/>
  <c r="H71" i="39"/>
  <c r="C72" i="39"/>
  <c r="D72" i="37"/>
  <c r="D72" i="39"/>
  <c r="E72" i="39"/>
  <c r="F72" i="39"/>
  <c r="H72" i="39"/>
  <c r="C73" i="39"/>
  <c r="D73" i="37"/>
  <c r="D73" i="39"/>
  <c r="E73" i="39"/>
  <c r="F73" i="39"/>
  <c r="H73" i="39"/>
  <c r="C74" i="39"/>
  <c r="D74" i="37"/>
  <c r="D74" i="39"/>
  <c r="E74" i="39"/>
  <c r="F74" i="39"/>
  <c r="H74" i="39"/>
  <c r="C75" i="39"/>
  <c r="D75" i="37"/>
  <c r="D75" i="39"/>
  <c r="E75" i="39"/>
  <c r="F75" i="39"/>
  <c r="H75" i="39"/>
  <c r="C76" i="39"/>
  <c r="D76" i="37"/>
  <c r="D76" i="39"/>
  <c r="E76" i="39"/>
  <c r="F76" i="39"/>
  <c r="H76" i="39"/>
  <c r="C77" i="39"/>
  <c r="D77" i="37"/>
  <c r="D77" i="39"/>
  <c r="E77" i="39"/>
  <c r="F77" i="39"/>
  <c r="H77" i="37"/>
  <c r="H77" i="39"/>
  <c r="C78" i="39"/>
  <c r="D78" i="37"/>
  <c r="D78" i="39"/>
  <c r="E78" i="39"/>
  <c r="F78" i="39"/>
  <c r="H78" i="39"/>
  <c r="C79" i="39"/>
  <c r="D79" i="37"/>
  <c r="D79" i="39"/>
  <c r="E79" i="39"/>
  <c r="F79" i="39"/>
  <c r="H79" i="39"/>
  <c r="C80" i="39"/>
  <c r="D80" i="37"/>
  <c r="D80" i="39"/>
  <c r="E80" i="39"/>
  <c r="F80" i="39"/>
  <c r="H80" i="39"/>
  <c r="B81" i="39"/>
  <c r="C81" i="39"/>
  <c r="D81" i="37"/>
  <c r="D81" i="39"/>
  <c r="E81" i="39"/>
  <c r="F81" i="39"/>
  <c r="G81" i="37"/>
  <c r="G81" i="38"/>
  <c r="G81" i="39"/>
  <c r="H81" i="39"/>
  <c r="B82" i="39"/>
  <c r="C82" i="39"/>
  <c r="D82" i="37"/>
  <c r="D82" i="39"/>
  <c r="E82" i="39"/>
  <c r="F82" i="39"/>
  <c r="G82" i="37"/>
  <c r="G82" i="38"/>
  <c r="G82" i="39"/>
  <c r="H82" i="39"/>
  <c r="B83" i="39"/>
  <c r="C83" i="39"/>
  <c r="D83" i="37"/>
  <c r="D83" i="39"/>
  <c r="E83" i="39"/>
  <c r="F83" i="39"/>
  <c r="G83" i="37"/>
  <c r="G83" i="38"/>
  <c r="G83" i="39"/>
  <c r="H83" i="39"/>
  <c r="B84" i="39"/>
  <c r="C84" i="39"/>
  <c r="D84" i="37"/>
  <c r="D84" i="39"/>
  <c r="E84" i="39"/>
  <c r="F84" i="39"/>
  <c r="G84" i="37"/>
  <c r="G84" i="38"/>
  <c r="G84" i="39"/>
  <c r="H84" i="39"/>
  <c r="B85" i="39"/>
  <c r="C85" i="39"/>
  <c r="D85" i="37"/>
  <c r="D85" i="39"/>
  <c r="E85" i="39"/>
  <c r="F85" i="39"/>
  <c r="G85" i="37"/>
  <c r="G85" i="38"/>
  <c r="G85" i="39"/>
  <c r="H85" i="39"/>
  <c r="B86" i="39"/>
  <c r="C86" i="39"/>
  <c r="D86" i="37"/>
  <c r="D86" i="39"/>
  <c r="E86" i="39"/>
  <c r="F86" i="39"/>
  <c r="G86" i="37"/>
  <c r="G86" i="38"/>
  <c r="G86" i="39"/>
  <c r="H86" i="39"/>
  <c r="B87" i="39"/>
  <c r="C87" i="39"/>
  <c r="D87" i="37"/>
  <c r="D87" i="39"/>
  <c r="E87" i="39"/>
  <c r="F87" i="39"/>
  <c r="G87" i="37"/>
  <c r="G87" i="38"/>
  <c r="G87" i="39"/>
  <c r="H87" i="37"/>
  <c r="H87" i="39"/>
  <c r="G10" i="39"/>
  <c r="H10" i="39"/>
  <c r="B10" i="39"/>
  <c r="L166" i="39"/>
  <c r="K166" i="39"/>
  <c r="J166" i="39"/>
  <c r="I166" i="39"/>
  <c r="H166" i="39"/>
  <c r="G166" i="39"/>
  <c r="F166" i="39"/>
  <c r="E166" i="39"/>
  <c r="D166" i="39"/>
  <c r="C166" i="39"/>
  <c r="B166" i="39"/>
  <c r="L165" i="39"/>
  <c r="K165" i="39"/>
  <c r="J165" i="39"/>
  <c r="I165" i="39"/>
  <c r="H165" i="39"/>
  <c r="G165" i="39"/>
  <c r="F165" i="39"/>
  <c r="E165" i="39"/>
  <c r="D165" i="39"/>
  <c r="C165" i="39"/>
  <c r="B165" i="39"/>
  <c r="L164" i="39"/>
  <c r="K164" i="39"/>
  <c r="J164" i="39"/>
  <c r="I164" i="39"/>
  <c r="H164" i="39"/>
  <c r="G164" i="39"/>
  <c r="F164" i="39"/>
  <c r="E164" i="39"/>
  <c r="D164" i="39"/>
  <c r="C164" i="39"/>
  <c r="B164" i="39"/>
  <c r="L163" i="39"/>
  <c r="K163" i="39"/>
  <c r="J163" i="39"/>
  <c r="I163" i="39"/>
  <c r="H163" i="39"/>
  <c r="G163" i="39"/>
  <c r="F163" i="39"/>
  <c r="E163" i="39"/>
  <c r="D163" i="39"/>
  <c r="C163" i="39"/>
  <c r="B163" i="39"/>
  <c r="L162" i="39"/>
  <c r="K162" i="39"/>
  <c r="J162" i="39"/>
  <c r="I162" i="39"/>
  <c r="H162" i="39"/>
  <c r="G162" i="39"/>
  <c r="F162" i="39"/>
  <c r="E162" i="39"/>
  <c r="D162" i="39"/>
  <c r="C162" i="39"/>
  <c r="B162" i="39"/>
  <c r="L161" i="39"/>
  <c r="K161" i="39"/>
  <c r="J161" i="39"/>
  <c r="I161" i="39"/>
  <c r="H161" i="39"/>
  <c r="G161" i="39"/>
  <c r="F161" i="39"/>
  <c r="E161" i="39"/>
  <c r="D161" i="39"/>
  <c r="C161" i="39"/>
  <c r="B161" i="39"/>
  <c r="L160" i="39"/>
  <c r="K160" i="39"/>
  <c r="J160" i="39"/>
  <c r="I160" i="39"/>
  <c r="H160" i="39"/>
  <c r="G160" i="39"/>
  <c r="F160" i="39"/>
  <c r="E160" i="39"/>
  <c r="D160" i="39"/>
  <c r="C160" i="39"/>
  <c r="B160" i="39"/>
  <c r="L159" i="39"/>
  <c r="K159" i="39"/>
  <c r="J159" i="39"/>
  <c r="I159" i="39"/>
  <c r="H159" i="39"/>
  <c r="F159" i="39"/>
  <c r="E159" i="39"/>
  <c r="D159" i="39"/>
  <c r="C159" i="39"/>
  <c r="L158" i="39"/>
  <c r="K158" i="39"/>
  <c r="I158" i="39"/>
  <c r="H158" i="39"/>
  <c r="F158" i="39"/>
  <c r="E158" i="39"/>
  <c r="D158" i="39"/>
  <c r="C158" i="39"/>
  <c r="L157" i="39"/>
  <c r="K157" i="39"/>
  <c r="I157" i="39"/>
  <c r="H157" i="39"/>
  <c r="F157" i="39"/>
  <c r="E157" i="39"/>
  <c r="D157" i="39"/>
  <c r="C157" i="39"/>
  <c r="L156" i="39"/>
  <c r="K156" i="39"/>
  <c r="I156" i="39"/>
  <c r="H156" i="39"/>
  <c r="F156" i="39"/>
  <c r="E156" i="39"/>
  <c r="D156" i="39"/>
  <c r="C156" i="39"/>
  <c r="L155" i="39"/>
  <c r="K155" i="39"/>
  <c r="I155" i="39"/>
  <c r="H155" i="39"/>
  <c r="F155" i="39"/>
  <c r="E155" i="39"/>
  <c r="D155" i="39"/>
  <c r="C155" i="39"/>
  <c r="L154" i="39"/>
  <c r="K154" i="39"/>
  <c r="I154" i="39"/>
  <c r="H154" i="39"/>
  <c r="F154" i="39"/>
  <c r="E154" i="39"/>
  <c r="D154" i="39"/>
  <c r="C154" i="39"/>
  <c r="L153" i="39"/>
  <c r="K153" i="39"/>
  <c r="I153" i="39"/>
  <c r="H153" i="39"/>
  <c r="F153" i="39"/>
  <c r="E153" i="39"/>
  <c r="D153" i="39"/>
  <c r="C153" i="39"/>
  <c r="L152" i="39"/>
  <c r="K152" i="39"/>
  <c r="I152" i="39"/>
  <c r="H152" i="39"/>
  <c r="F152" i="39"/>
  <c r="E152" i="39"/>
  <c r="D152" i="39"/>
  <c r="C152" i="39"/>
  <c r="L151" i="39"/>
  <c r="K151" i="39"/>
  <c r="I151" i="39"/>
  <c r="H151" i="39"/>
  <c r="F151" i="39"/>
  <c r="E151" i="39"/>
  <c r="D151" i="39"/>
  <c r="C151" i="39"/>
  <c r="L150" i="39"/>
  <c r="K150" i="39"/>
  <c r="I150" i="39"/>
  <c r="H150" i="39"/>
  <c r="F150" i="39"/>
  <c r="E150" i="39"/>
  <c r="D150" i="39"/>
  <c r="C150" i="39"/>
  <c r="L149" i="39"/>
  <c r="K149" i="39"/>
  <c r="I149" i="39"/>
  <c r="H149" i="39"/>
  <c r="F149" i="39"/>
  <c r="E149" i="39"/>
  <c r="D149" i="39"/>
  <c r="C149" i="39"/>
  <c r="L148" i="39"/>
  <c r="K148" i="39"/>
  <c r="I148" i="39"/>
  <c r="H148" i="39"/>
  <c r="F148" i="39"/>
  <c r="E148" i="39"/>
  <c r="D148" i="39"/>
  <c r="C148" i="39"/>
  <c r="L147" i="39"/>
  <c r="K147" i="39"/>
  <c r="I147" i="39"/>
  <c r="H147" i="39"/>
  <c r="F147" i="39"/>
  <c r="E147" i="39"/>
  <c r="D147" i="39"/>
  <c r="C147" i="39"/>
  <c r="L146" i="39"/>
  <c r="K146" i="39"/>
  <c r="I146" i="39"/>
  <c r="H146" i="39"/>
  <c r="F146" i="39"/>
  <c r="E146" i="39"/>
  <c r="D146" i="39"/>
  <c r="C146" i="39"/>
  <c r="L145" i="39"/>
  <c r="K145" i="39"/>
  <c r="I145" i="39"/>
  <c r="H145" i="39"/>
  <c r="F145" i="39"/>
  <c r="E145" i="39"/>
  <c r="D145" i="39"/>
  <c r="C145" i="39"/>
  <c r="L144" i="39"/>
  <c r="K144" i="39"/>
  <c r="I144" i="39"/>
  <c r="H144" i="39"/>
  <c r="F144" i="39"/>
  <c r="E144" i="39"/>
  <c r="D144" i="39"/>
  <c r="C144" i="39"/>
  <c r="L143" i="39"/>
  <c r="K143" i="39"/>
  <c r="I143" i="39"/>
  <c r="H143" i="39"/>
  <c r="F143" i="39"/>
  <c r="E143" i="39"/>
  <c r="D143" i="39"/>
  <c r="C143" i="39"/>
  <c r="L142" i="39"/>
  <c r="K142" i="39"/>
  <c r="I142" i="39"/>
  <c r="H142" i="39"/>
  <c r="F142" i="39"/>
  <c r="E142" i="39"/>
  <c r="D142" i="39"/>
  <c r="C142" i="39"/>
  <c r="L141" i="39"/>
  <c r="K141" i="39"/>
  <c r="I141" i="39"/>
  <c r="H141" i="39"/>
  <c r="F141" i="39"/>
  <c r="E141" i="39"/>
  <c r="D141" i="39"/>
  <c r="C141" i="39"/>
  <c r="L140" i="39"/>
  <c r="K140" i="39"/>
  <c r="I140" i="39"/>
  <c r="H140" i="39"/>
  <c r="F140" i="39"/>
  <c r="E140" i="39"/>
  <c r="D140" i="39"/>
  <c r="C140" i="39"/>
  <c r="L139" i="39"/>
  <c r="K139" i="39"/>
  <c r="I139" i="39"/>
  <c r="H139" i="39"/>
  <c r="F139" i="39"/>
  <c r="E139" i="39"/>
  <c r="D139" i="39"/>
  <c r="C139" i="39"/>
  <c r="L138" i="39"/>
  <c r="K138" i="39"/>
  <c r="I138" i="39"/>
  <c r="H138" i="39"/>
  <c r="F138" i="39"/>
  <c r="E138" i="39"/>
  <c r="D138" i="39"/>
  <c r="C138" i="39"/>
  <c r="L137" i="39"/>
  <c r="K137" i="39"/>
  <c r="I137" i="39"/>
  <c r="H137" i="39"/>
  <c r="F137" i="39"/>
  <c r="E137" i="39"/>
  <c r="D137" i="39"/>
  <c r="C137" i="39"/>
  <c r="L136" i="39"/>
  <c r="K136" i="39"/>
  <c r="I136" i="39"/>
  <c r="H136" i="39"/>
  <c r="F136" i="39"/>
  <c r="E136" i="39"/>
  <c r="D136" i="39"/>
  <c r="C136" i="39"/>
  <c r="L135" i="39"/>
  <c r="I135" i="39"/>
  <c r="H135" i="39"/>
  <c r="F135" i="39"/>
  <c r="E135" i="39"/>
  <c r="D135" i="39"/>
  <c r="C135" i="39"/>
  <c r="L134" i="39"/>
  <c r="I134" i="39"/>
  <c r="H134" i="39"/>
  <c r="F134" i="39"/>
  <c r="E134" i="39"/>
  <c r="D134" i="39"/>
  <c r="C134" i="39"/>
  <c r="L133" i="39"/>
  <c r="I133" i="39"/>
  <c r="H133" i="39"/>
  <c r="F133" i="39"/>
  <c r="E133" i="39"/>
  <c r="D133" i="39"/>
  <c r="C133" i="39"/>
  <c r="L132" i="39"/>
  <c r="I132" i="39"/>
  <c r="H132" i="39"/>
  <c r="F132" i="39"/>
  <c r="E132" i="39"/>
  <c r="D132" i="39"/>
  <c r="C132" i="39"/>
  <c r="L131" i="39"/>
  <c r="I131" i="39"/>
  <c r="H131" i="39"/>
  <c r="F131" i="39"/>
  <c r="E131" i="39"/>
  <c r="D131" i="39"/>
  <c r="C131" i="39"/>
  <c r="L130" i="39"/>
  <c r="I130" i="39"/>
  <c r="H130" i="39"/>
  <c r="F130" i="39"/>
  <c r="E130" i="39"/>
  <c r="D130" i="39"/>
  <c r="C130" i="39"/>
  <c r="L129" i="39"/>
  <c r="H129" i="39"/>
  <c r="G129" i="39"/>
  <c r="F129" i="39"/>
  <c r="E129" i="39"/>
  <c r="D129" i="39"/>
  <c r="C129" i="39"/>
  <c r="B129" i="39"/>
  <c r="L128" i="39"/>
  <c r="H128" i="39"/>
  <c r="G128" i="39"/>
  <c r="F128" i="39"/>
  <c r="E128" i="39"/>
  <c r="D128" i="39"/>
  <c r="C128" i="39"/>
  <c r="B128" i="39"/>
  <c r="L127" i="39"/>
  <c r="H127" i="39"/>
  <c r="G127" i="39"/>
  <c r="F127" i="39"/>
  <c r="E127" i="39"/>
  <c r="D127" i="39"/>
  <c r="C127" i="39"/>
  <c r="B127" i="39"/>
  <c r="L126" i="39"/>
  <c r="H126" i="39"/>
  <c r="G126" i="39"/>
  <c r="F126" i="39"/>
  <c r="E126" i="39"/>
  <c r="D126" i="39"/>
  <c r="C126" i="39"/>
  <c r="B126" i="39"/>
  <c r="L125" i="39"/>
  <c r="H125" i="39"/>
  <c r="G125" i="39"/>
  <c r="F125" i="39"/>
  <c r="E125" i="39"/>
  <c r="D125" i="39"/>
  <c r="C125" i="39"/>
  <c r="B125" i="39"/>
  <c r="L124" i="39"/>
  <c r="H124" i="39"/>
  <c r="G124" i="39"/>
  <c r="F124" i="39"/>
  <c r="E124" i="39"/>
  <c r="D124" i="39"/>
  <c r="C124" i="39"/>
  <c r="B124" i="39"/>
  <c r="L123" i="39"/>
  <c r="H123" i="39"/>
  <c r="G123" i="39"/>
  <c r="F123" i="39"/>
  <c r="E123" i="39"/>
  <c r="D123" i="39"/>
  <c r="C123" i="39"/>
  <c r="B123" i="39"/>
  <c r="L122" i="39"/>
  <c r="H122" i="39"/>
  <c r="G122" i="39"/>
  <c r="F122" i="39"/>
  <c r="E122" i="39"/>
  <c r="D122" i="39"/>
  <c r="C122" i="39"/>
  <c r="B122" i="39"/>
  <c r="L121" i="39"/>
  <c r="H121" i="39"/>
  <c r="G121" i="39"/>
  <c r="F121" i="39"/>
  <c r="E121" i="39"/>
  <c r="D121" i="39"/>
  <c r="C121" i="39"/>
  <c r="B121" i="39"/>
  <c r="L120" i="39"/>
  <c r="H120" i="39"/>
  <c r="G120" i="39"/>
  <c r="F120" i="39"/>
  <c r="E120" i="39"/>
  <c r="D120" i="39"/>
  <c r="C120" i="39"/>
  <c r="B120" i="39"/>
  <c r="L119" i="39"/>
  <c r="H119" i="39"/>
  <c r="G119" i="39"/>
  <c r="F119" i="39"/>
  <c r="E119" i="39"/>
  <c r="D119" i="39"/>
  <c r="C119" i="39"/>
  <c r="B119" i="39"/>
  <c r="L118" i="39"/>
  <c r="H118" i="39"/>
  <c r="G118" i="39"/>
  <c r="F118" i="39"/>
  <c r="E118" i="39"/>
  <c r="D118" i="39"/>
  <c r="C118" i="39"/>
  <c r="B118" i="39"/>
  <c r="L117" i="39"/>
  <c r="H117" i="39"/>
  <c r="G117" i="39"/>
  <c r="F117" i="39"/>
  <c r="E117" i="39"/>
  <c r="D117" i="39"/>
  <c r="C117" i="39"/>
  <c r="B117" i="39"/>
  <c r="L116" i="39"/>
  <c r="H116" i="39"/>
  <c r="G116" i="39"/>
  <c r="F116" i="39"/>
  <c r="E116" i="39"/>
  <c r="D116" i="39"/>
  <c r="C116" i="39"/>
  <c r="B116" i="39"/>
  <c r="L115" i="39"/>
  <c r="H115" i="39"/>
  <c r="G115" i="39"/>
  <c r="F115" i="39"/>
  <c r="E115" i="39"/>
  <c r="D115" i="39"/>
  <c r="C115" i="39"/>
  <c r="B115" i="39"/>
  <c r="L114" i="39"/>
  <c r="H114" i="39"/>
  <c r="G114" i="39"/>
  <c r="F114" i="39"/>
  <c r="E114" i="39"/>
  <c r="D114" i="39"/>
  <c r="C114" i="39"/>
  <c r="B114" i="39"/>
  <c r="L113" i="39"/>
  <c r="H113" i="39"/>
  <c r="G113" i="39"/>
  <c r="F113" i="39"/>
  <c r="E113" i="39"/>
  <c r="D113" i="39"/>
  <c r="C113" i="39"/>
  <c r="B113" i="39"/>
  <c r="L112" i="39"/>
  <c r="H112" i="39"/>
  <c r="G112" i="39"/>
  <c r="F112" i="39"/>
  <c r="E112" i="39"/>
  <c r="D112" i="39"/>
  <c r="C112" i="39"/>
  <c r="B112" i="39"/>
  <c r="L111" i="39"/>
  <c r="H111" i="39"/>
  <c r="G111" i="39"/>
  <c r="F111" i="39"/>
  <c r="E111" i="39"/>
  <c r="D111" i="39"/>
  <c r="C111" i="39"/>
  <c r="B111" i="39"/>
  <c r="L110" i="39"/>
  <c r="H110" i="39"/>
  <c r="G110" i="39"/>
  <c r="F110" i="39"/>
  <c r="E110" i="39"/>
  <c r="D110" i="39"/>
  <c r="C110" i="39"/>
  <c r="B110" i="39"/>
  <c r="L109" i="39"/>
  <c r="I109" i="39"/>
  <c r="H109" i="39"/>
  <c r="G109" i="39"/>
  <c r="F109" i="39"/>
  <c r="E109" i="39"/>
  <c r="D109" i="39"/>
  <c r="C109" i="39"/>
  <c r="B109" i="39"/>
  <c r="L108" i="39"/>
  <c r="I108" i="39"/>
  <c r="E108" i="39"/>
  <c r="C108" i="39"/>
  <c r="B108" i="39"/>
  <c r="L107" i="39"/>
  <c r="E107" i="39"/>
  <c r="C107" i="39"/>
  <c r="B107" i="39"/>
  <c r="L106" i="39"/>
  <c r="E106" i="39"/>
  <c r="C106" i="39"/>
  <c r="B106" i="39"/>
  <c r="L105" i="39"/>
  <c r="E105" i="39"/>
  <c r="C105" i="39"/>
  <c r="B105" i="39"/>
  <c r="L104" i="39"/>
  <c r="I104" i="39"/>
  <c r="E104" i="39"/>
  <c r="C104" i="39"/>
  <c r="B104" i="39"/>
  <c r="L103" i="39"/>
  <c r="E103" i="39"/>
  <c r="C103" i="39"/>
  <c r="B103" i="39"/>
  <c r="L102" i="39"/>
  <c r="I102" i="39"/>
  <c r="E102" i="39"/>
  <c r="C102" i="39"/>
  <c r="B102" i="39"/>
  <c r="L101" i="39"/>
  <c r="E101" i="39"/>
  <c r="C101" i="39"/>
  <c r="B101" i="39"/>
  <c r="L100" i="39"/>
  <c r="H100" i="39"/>
  <c r="E100" i="39"/>
  <c r="C100" i="39"/>
  <c r="B100" i="39"/>
  <c r="L99" i="39"/>
  <c r="I99" i="39"/>
  <c r="H99" i="39"/>
  <c r="G99" i="39"/>
  <c r="F99" i="39"/>
  <c r="E99" i="39"/>
  <c r="D99" i="39"/>
  <c r="C99" i="39"/>
  <c r="B99" i="39"/>
  <c r="L98" i="39"/>
  <c r="I98" i="39"/>
  <c r="G98" i="39"/>
  <c r="D98" i="39"/>
  <c r="C98" i="39"/>
  <c r="B98" i="39"/>
  <c r="L97" i="39"/>
  <c r="I97" i="39"/>
  <c r="H97" i="39"/>
  <c r="G97" i="39"/>
  <c r="D97" i="39"/>
  <c r="C97" i="39"/>
  <c r="B97" i="39"/>
  <c r="L96" i="39"/>
  <c r="I96" i="39"/>
  <c r="H96" i="39"/>
  <c r="G96" i="39"/>
  <c r="D96" i="39"/>
  <c r="C96" i="39"/>
  <c r="B96" i="39"/>
  <c r="L95" i="39"/>
  <c r="I95" i="39"/>
  <c r="H95" i="39"/>
  <c r="G95" i="39"/>
  <c r="D95" i="39"/>
  <c r="C95" i="39"/>
  <c r="B95" i="39"/>
  <c r="L94" i="39"/>
  <c r="I94" i="39"/>
  <c r="H94" i="39"/>
  <c r="G94" i="39"/>
  <c r="D94" i="39"/>
  <c r="C94" i="39"/>
  <c r="B94" i="39"/>
  <c r="L93" i="39"/>
  <c r="I93" i="39"/>
  <c r="G93" i="39"/>
  <c r="D93" i="39"/>
  <c r="C93" i="39"/>
  <c r="B93" i="39"/>
  <c r="L92" i="39"/>
  <c r="I92" i="39"/>
  <c r="G92" i="39"/>
  <c r="D92" i="39"/>
  <c r="C92" i="39"/>
  <c r="B92" i="39"/>
  <c r="L91" i="39"/>
  <c r="G91" i="39"/>
  <c r="B91" i="39"/>
  <c r="L90" i="39"/>
  <c r="B90" i="39"/>
  <c r="L89" i="39"/>
  <c r="H89" i="39"/>
  <c r="G89" i="39"/>
  <c r="B89" i="39"/>
  <c r="B90" i="38"/>
  <c r="G90" i="38"/>
  <c r="H90" i="38"/>
  <c r="J90" i="38"/>
  <c r="M90" i="38"/>
  <c r="B91" i="38"/>
  <c r="G91" i="38"/>
  <c r="H91" i="38"/>
  <c r="J91" i="38"/>
  <c r="M91" i="38"/>
  <c r="B92" i="38"/>
  <c r="C92" i="38"/>
  <c r="D92" i="38"/>
  <c r="E92" i="38"/>
  <c r="F92" i="38"/>
  <c r="G92" i="38"/>
  <c r="H92" i="38"/>
  <c r="J92" i="38"/>
  <c r="M92" i="38"/>
  <c r="B93" i="38"/>
  <c r="C93" i="38"/>
  <c r="D93" i="38"/>
  <c r="G93" i="38"/>
  <c r="M93" i="38"/>
  <c r="B94" i="38"/>
  <c r="C94" i="38"/>
  <c r="D94" i="38"/>
  <c r="E94" i="38"/>
  <c r="F94" i="38"/>
  <c r="G94" i="38"/>
  <c r="M94" i="38"/>
  <c r="B95" i="38"/>
  <c r="C95" i="38"/>
  <c r="D95" i="38"/>
  <c r="E95" i="38"/>
  <c r="F95" i="38"/>
  <c r="G95" i="38"/>
  <c r="M95" i="38"/>
  <c r="B96" i="38"/>
  <c r="C96" i="38"/>
  <c r="D96" i="38"/>
  <c r="E96" i="38"/>
  <c r="F96" i="38"/>
  <c r="G96" i="38"/>
  <c r="M96" i="38"/>
  <c r="B97" i="38"/>
  <c r="C97" i="38"/>
  <c r="D97" i="38"/>
  <c r="G97" i="38"/>
  <c r="M97" i="38"/>
  <c r="B98" i="38"/>
  <c r="C98" i="38"/>
  <c r="D98" i="38"/>
  <c r="E98" i="38"/>
  <c r="F98" i="38"/>
  <c r="G98" i="38"/>
  <c r="M98" i="38"/>
  <c r="B99" i="38"/>
  <c r="C99" i="38"/>
  <c r="D99" i="38"/>
  <c r="E99" i="38"/>
  <c r="F99" i="38"/>
  <c r="G99" i="38"/>
  <c r="H99" i="38"/>
  <c r="I99" i="38"/>
  <c r="M99" i="38"/>
  <c r="B100" i="38"/>
  <c r="C100" i="38"/>
  <c r="E100" i="38"/>
  <c r="H100" i="38"/>
  <c r="I100" i="38"/>
  <c r="M100" i="38"/>
  <c r="B101" i="38"/>
  <c r="C101" i="38"/>
  <c r="E101" i="38"/>
  <c r="I101" i="38"/>
  <c r="M101" i="38"/>
  <c r="B102" i="38"/>
  <c r="C102" i="38"/>
  <c r="E102" i="38"/>
  <c r="I102" i="38"/>
  <c r="M102" i="38"/>
  <c r="B103" i="38"/>
  <c r="C103" i="38"/>
  <c r="E103" i="38"/>
  <c r="I103" i="38"/>
  <c r="M103" i="38"/>
  <c r="B104" i="38"/>
  <c r="C104" i="38"/>
  <c r="E104" i="38"/>
  <c r="I104" i="38"/>
  <c r="M104" i="38"/>
  <c r="B105" i="38"/>
  <c r="C105" i="38"/>
  <c r="E105" i="38"/>
  <c r="I105" i="38"/>
  <c r="M105" i="38"/>
  <c r="B106" i="38"/>
  <c r="C106" i="38"/>
  <c r="E106" i="38"/>
  <c r="I106" i="38"/>
  <c r="M106" i="38"/>
  <c r="B107" i="38"/>
  <c r="C107" i="38"/>
  <c r="E107" i="38"/>
  <c r="I107" i="38"/>
  <c r="M107" i="38"/>
  <c r="B108" i="38"/>
  <c r="C108" i="38"/>
  <c r="E108" i="38"/>
  <c r="I108" i="38"/>
  <c r="M108" i="38"/>
  <c r="B109" i="38"/>
  <c r="C109" i="38"/>
  <c r="D109" i="38"/>
  <c r="E109" i="38"/>
  <c r="F109" i="38"/>
  <c r="G109" i="38"/>
  <c r="H109" i="38"/>
  <c r="I109" i="38"/>
  <c r="M109" i="38"/>
  <c r="B110" i="38"/>
  <c r="C110" i="38"/>
  <c r="D110" i="38"/>
  <c r="E110" i="38"/>
  <c r="F110" i="38"/>
  <c r="G110" i="38"/>
  <c r="H110" i="38"/>
  <c r="I110" i="38"/>
  <c r="M110" i="38"/>
  <c r="B111" i="38"/>
  <c r="C111" i="38"/>
  <c r="D111" i="38"/>
  <c r="E111" i="38"/>
  <c r="F111" i="38"/>
  <c r="G111" i="38"/>
  <c r="H111" i="38"/>
  <c r="I111" i="38"/>
  <c r="M111" i="38"/>
  <c r="B112" i="38"/>
  <c r="C112" i="38"/>
  <c r="D112" i="38"/>
  <c r="E112" i="38"/>
  <c r="F112" i="38"/>
  <c r="G112" i="38"/>
  <c r="H112" i="38"/>
  <c r="I112" i="38"/>
  <c r="M112" i="38"/>
  <c r="B113" i="38"/>
  <c r="C113" i="38"/>
  <c r="D113" i="38"/>
  <c r="E113" i="38"/>
  <c r="F113" i="38"/>
  <c r="G113" i="38"/>
  <c r="H113" i="38"/>
  <c r="I113" i="38"/>
  <c r="M113" i="38"/>
  <c r="B114" i="38"/>
  <c r="C114" i="38"/>
  <c r="D114" i="38"/>
  <c r="E114" i="38"/>
  <c r="F114" i="38"/>
  <c r="G114" i="38"/>
  <c r="H114" i="38"/>
  <c r="I114" i="38"/>
  <c r="M114" i="38"/>
  <c r="B115" i="38"/>
  <c r="C115" i="38"/>
  <c r="D115" i="38"/>
  <c r="E115" i="38"/>
  <c r="F115" i="38"/>
  <c r="G115" i="38"/>
  <c r="H115" i="38"/>
  <c r="I115" i="38"/>
  <c r="M115" i="38"/>
  <c r="B116" i="38"/>
  <c r="C116" i="38"/>
  <c r="D116" i="38"/>
  <c r="E116" i="38"/>
  <c r="F116" i="38"/>
  <c r="G116" i="38"/>
  <c r="H116" i="38"/>
  <c r="I116" i="38"/>
  <c r="M116" i="38"/>
  <c r="B117" i="38"/>
  <c r="C117" i="38"/>
  <c r="D117" i="38"/>
  <c r="E117" i="38"/>
  <c r="F117" i="38"/>
  <c r="G117" i="38"/>
  <c r="H117" i="38"/>
  <c r="I117" i="38"/>
  <c r="M117" i="38"/>
  <c r="B118" i="38"/>
  <c r="C118" i="38"/>
  <c r="D118" i="38"/>
  <c r="E118" i="38"/>
  <c r="F118" i="38"/>
  <c r="G118" i="38"/>
  <c r="H118" i="38"/>
  <c r="I118" i="38"/>
  <c r="M118" i="38"/>
  <c r="B119" i="38"/>
  <c r="C119" i="38"/>
  <c r="D119" i="38"/>
  <c r="E119" i="38"/>
  <c r="F119" i="38"/>
  <c r="G119" i="38"/>
  <c r="H119" i="38"/>
  <c r="I119" i="38"/>
  <c r="M119" i="38"/>
  <c r="B120" i="38"/>
  <c r="C120" i="38"/>
  <c r="D120" i="38"/>
  <c r="E120" i="38"/>
  <c r="F120" i="38"/>
  <c r="G120" i="38"/>
  <c r="H120" i="38"/>
  <c r="I120" i="38"/>
  <c r="M120" i="38"/>
  <c r="B121" i="38"/>
  <c r="C121" i="38"/>
  <c r="D121" i="38"/>
  <c r="E121" i="38"/>
  <c r="F121" i="38"/>
  <c r="G121" i="38"/>
  <c r="H121" i="38"/>
  <c r="I121" i="38"/>
  <c r="M121" i="38"/>
  <c r="B122" i="38"/>
  <c r="C122" i="38"/>
  <c r="D122" i="38"/>
  <c r="E122" i="38"/>
  <c r="F122" i="38"/>
  <c r="G122" i="38"/>
  <c r="H122" i="38"/>
  <c r="I122" i="38"/>
  <c r="M122" i="38"/>
  <c r="B123" i="38"/>
  <c r="C123" i="38"/>
  <c r="D123" i="38"/>
  <c r="E123" i="38"/>
  <c r="F123" i="38"/>
  <c r="G123" i="38"/>
  <c r="H123" i="38"/>
  <c r="I123" i="38"/>
  <c r="M123" i="38"/>
  <c r="B124" i="38"/>
  <c r="C124" i="38"/>
  <c r="D124" i="38"/>
  <c r="E124" i="38"/>
  <c r="F124" i="38"/>
  <c r="G124" i="38"/>
  <c r="H124" i="38"/>
  <c r="I124" i="38"/>
  <c r="M124" i="38"/>
  <c r="B125" i="38"/>
  <c r="C125" i="38"/>
  <c r="D125" i="38"/>
  <c r="E125" i="38"/>
  <c r="F125" i="38"/>
  <c r="G125" i="38"/>
  <c r="H125" i="38"/>
  <c r="I125" i="38"/>
  <c r="M125" i="38"/>
  <c r="B126" i="38"/>
  <c r="C126" i="38"/>
  <c r="D126" i="38"/>
  <c r="E126" i="38"/>
  <c r="F126" i="38"/>
  <c r="G126" i="38"/>
  <c r="H126" i="38"/>
  <c r="I126" i="38"/>
  <c r="M126" i="38"/>
  <c r="B127" i="38"/>
  <c r="C127" i="38"/>
  <c r="D127" i="38"/>
  <c r="E127" i="38"/>
  <c r="F127" i="38"/>
  <c r="G127" i="38"/>
  <c r="H127" i="38"/>
  <c r="I127" i="38"/>
  <c r="M127" i="38"/>
  <c r="B128" i="38"/>
  <c r="C128" i="38"/>
  <c r="D128" i="38"/>
  <c r="E128" i="38"/>
  <c r="F128" i="38"/>
  <c r="G128" i="38"/>
  <c r="H128" i="38"/>
  <c r="I128" i="38"/>
  <c r="M128" i="38"/>
  <c r="B129" i="38"/>
  <c r="C129" i="38"/>
  <c r="D129" i="38"/>
  <c r="E129" i="38"/>
  <c r="F129" i="38"/>
  <c r="G129" i="38"/>
  <c r="H129" i="38"/>
  <c r="I129" i="38"/>
  <c r="M129" i="38"/>
  <c r="B130" i="38"/>
  <c r="C130" i="38"/>
  <c r="D130" i="38"/>
  <c r="E130" i="38"/>
  <c r="F130" i="38"/>
  <c r="G51" i="38"/>
  <c r="G130" i="38"/>
  <c r="H130" i="38"/>
  <c r="I130" i="38"/>
  <c r="M130" i="38"/>
  <c r="B131" i="38"/>
  <c r="C131" i="38"/>
  <c r="D131" i="38"/>
  <c r="E131" i="38"/>
  <c r="F131" i="38"/>
  <c r="G52" i="38"/>
  <c r="G131" i="38"/>
  <c r="H131" i="38"/>
  <c r="I131" i="38"/>
  <c r="M131" i="38"/>
  <c r="B132" i="38"/>
  <c r="C132" i="38"/>
  <c r="D132" i="38"/>
  <c r="E132" i="38"/>
  <c r="F132" i="38"/>
  <c r="G53" i="38"/>
  <c r="G132" i="38"/>
  <c r="H132" i="38"/>
  <c r="I132" i="38"/>
  <c r="M132" i="38"/>
  <c r="B133" i="38"/>
  <c r="C133" i="38"/>
  <c r="D133" i="38"/>
  <c r="E133" i="38"/>
  <c r="F133" i="38"/>
  <c r="G54" i="38"/>
  <c r="G133" i="38"/>
  <c r="H133" i="38"/>
  <c r="I54" i="38"/>
  <c r="I133" i="38"/>
  <c r="M133" i="38"/>
  <c r="B134" i="38"/>
  <c r="C134" i="38"/>
  <c r="D134" i="38"/>
  <c r="E134" i="38"/>
  <c r="F134" i="38"/>
  <c r="G55" i="38"/>
  <c r="G134" i="38"/>
  <c r="H134" i="38"/>
  <c r="I55" i="38"/>
  <c r="I134" i="38"/>
  <c r="M134" i="38"/>
  <c r="B135" i="38"/>
  <c r="C135" i="38"/>
  <c r="D135" i="38"/>
  <c r="E135" i="38"/>
  <c r="F135" i="38"/>
  <c r="G56" i="38"/>
  <c r="G135" i="38"/>
  <c r="H135" i="38"/>
  <c r="I56" i="38"/>
  <c r="I135" i="38"/>
  <c r="M135" i="38"/>
  <c r="B136" i="38"/>
  <c r="C136" i="38"/>
  <c r="D136" i="38"/>
  <c r="E136" i="38"/>
  <c r="F136" i="38"/>
  <c r="G57" i="38"/>
  <c r="G136" i="38"/>
  <c r="H136" i="38"/>
  <c r="I57" i="38"/>
  <c r="I136" i="38"/>
  <c r="L136" i="38"/>
  <c r="M136" i="38"/>
  <c r="B137" i="38"/>
  <c r="C137" i="38"/>
  <c r="D137" i="38"/>
  <c r="E137" i="38"/>
  <c r="F137" i="38"/>
  <c r="G58" i="38"/>
  <c r="G137" i="38"/>
  <c r="H137" i="38"/>
  <c r="I58" i="38"/>
  <c r="I137" i="38"/>
  <c r="L137" i="38"/>
  <c r="M137" i="38"/>
  <c r="B138" i="38"/>
  <c r="C138" i="38"/>
  <c r="D138" i="38"/>
  <c r="E138" i="38"/>
  <c r="F138" i="38"/>
  <c r="G59" i="38"/>
  <c r="G138" i="38"/>
  <c r="H138" i="38"/>
  <c r="I59" i="38"/>
  <c r="I138" i="38"/>
  <c r="L138" i="38"/>
  <c r="M138" i="38"/>
  <c r="B139" i="38"/>
  <c r="C139" i="38"/>
  <c r="D139" i="38"/>
  <c r="E139" i="38"/>
  <c r="F139" i="38"/>
  <c r="G60" i="38"/>
  <c r="G139" i="38"/>
  <c r="H139" i="38"/>
  <c r="I60" i="38"/>
  <c r="I139" i="38"/>
  <c r="L139" i="38"/>
  <c r="M139" i="38"/>
  <c r="B140" i="38"/>
  <c r="C140" i="38"/>
  <c r="D140" i="38"/>
  <c r="E140" i="38"/>
  <c r="F140" i="38"/>
  <c r="G61" i="38"/>
  <c r="G140" i="38"/>
  <c r="H140" i="38"/>
  <c r="I61" i="38"/>
  <c r="I140" i="38"/>
  <c r="L140" i="38"/>
  <c r="M140" i="38"/>
  <c r="B141" i="38"/>
  <c r="C141" i="38"/>
  <c r="D141" i="38"/>
  <c r="E141" i="38"/>
  <c r="F141" i="38"/>
  <c r="G62" i="38"/>
  <c r="G141" i="38"/>
  <c r="H141" i="38"/>
  <c r="I62" i="38"/>
  <c r="I141" i="38"/>
  <c r="L141" i="38"/>
  <c r="M141" i="38"/>
  <c r="B142" i="38"/>
  <c r="C142" i="38"/>
  <c r="D142" i="38"/>
  <c r="E142" i="38"/>
  <c r="F142" i="38"/>
  <c r="G63" i="38"/>
  <c r="G142" i="38"/>
  <c r="H142" i="38"/>
  <c r="I63" i="38"/>
  <c r="I142" i="38"/>
  <c r="L142" i="38"/>
  <c r="M142" i="38"/>
  <c r="B143" i="38"/>
  <c r="C143" i="38"/>
  <c r="D143" i="38"/>
  <c r="E143" i="38"/>
  <c r="F143" i="38"/>
  <c r="G64" i="38"/>
  <c r="G143" i="38"/>
  <c r="H143" i="38"/>
  <c r="I64" i="38"/>
  <c r="I143" i="38"/>
  <c r="L143" i="38"/>
  <c r="M143" i="38"/>
  <c r="B144" i="38"/>
  <c r="C144" i="38"/>
  <c r="D144" i="38"/>
  <c r="E144" i="38"/>
  <c r="F144" i="38"/>
  <c r="G65" i="38"/>
  <c r="G144" i="38"/>
  <c r="H144" i="38"/>
  <c r="I65" i="38"/>
  <c r="I144" i="38"/>
  <c r="L144" i="38"/>
  <c r="M144" i="38"/>
  <c r="B145" i="38"/>
  <c r="C145" i="38"/>
  <c r="D145" i="38"/>
  <c r="E145" i="38"/>
  <c r="F145" i="38"/>
  <c r="G66" i="38"/>
  <c r="G145" i="38"/>
  <c r="H145" i="38"/>
  <c r="I66" i="38"/>
  <c r="I145" i="38"/>
  <c r="L145" i="38"/>
  <c r="M145" i="38"/>
  <c r="B146" i="38"/>
  <c r="C146" i="38"/>
  <c r="D146" i="38"/>
  <c r="E146" i="38"/>
  <c r="F146" i="38"/>
  <c r="G67" i="38"/>
  <c r="G146" i="38"/>
  <c r="H146" i="38"/>
  <c r="I67" i="38"/>
  <c r="I146" i="38"/>
  <c r="L146" i="38"/>
  <c r="M146" i="38"/>
  <c r="B147" i="38"/>
  <c r="C147" i="38"/>
  <c r="D147" i="38"/>
  <c r="E147" i="38"/>
  <c r="F147" i="38"/>
  <c r="G68" i="38"/>
  <c r="G147" i="38"/>
  <c r="H147" i="38"/>
  <c r="I68" i="38"/>
  <c r="I147" i="38"/>
  <c r="L147" i="38"/>
  <c r="M147" i="38"/>
  <c r="B148" i="38"/>
  <c r="C148" i="38"/>
  <c r="D148" i="38"/>
  <c r="E148" i="38"/>
  <c r="F148" i="38"/>
  <c r="G69" i="38"/>
  <c r="G148" i="38"/>
  <c r="H148" i="38"/>
  <c r="I69" i="38"/>
  <c r="I148" i="38"/>
  <c r="L148" i="38"/>
  <c r="M148" i="38"/>
  <c r="B149" i="38"/>
  <c r="C149" i="38"/>
  <c r="D149" i="38"/>
  <c r="E149" i="38"/>
  <c r="F149" i="38"/>
  <c r="G70" i="38"/>
  <c r="G149" i="38"/>
  <c r="H149" i="38"/>
  <c r="I70" i="38"/>
  <c r="I149" i="38"/>
  <c r="L149" i="38"/>
  <c r="M149" i="38"/>
  <c r="B150" i="38"/>
  <c r="C150" i="38"/>
  <c r="D150" i="38"/>
  <c r="E150" i="38"/>
  <c r="F150" i="38"/>
  <c r="G71" i="38"/>
  <c r="G150" i="38"/>
  <c r="H150" i="38"/>
  <c r="I71" i="38"/>
  <c r="I150" i="38"/>
  <c r="L150" i="38"/>
  <c r="M150" i="38"/>
  <c r="B151" i="38"/>
  <c r="C151" i="38"/>
  <c r="D151" i="38"/>
  <c r="E151" i="38"/>
  <c r="F151" i="38"/>
  <c r="G72" i="38"/>
  <c r="G151" i="38"/>
  <c r="H151" i="38"/>
  <c r="I72" i="38"/>
  <c r="I151" i="38"/>
  <c r="L151" i="38"/>
  <c r="M151" i="38"/>
  <c r="B152" i="38"/>
  <c r="C152" i="38"/>
  <c r="D152" i="38"/>
  <c r="E152" i="38"/>
  <c r="F152" i="38"/>
  <c r="G73" i="38"/>
  <c r="G152" i="38"/>
  <c r="H152" i="38"/>
  <c r="I73" i="38"/>
  <c r="I152" i="38"/>
  <c r="L152" i="38"/>
  <c r="M152" i="38"/>
  <c r="B153" i="38"/>
  <c r="C153" i="38"/>
  <c r="D153" i="38"/>
  <c r="E153" i="38"/>
  <c r="F153" i="38"/>
  <c r="G74" i="38"/>
  <c r="G153" i="38"/>
  <c r="H153" i="38"/>
  <c r="I74" i="38"/>
  <c r="I153" i="38"/>
  <c r="L153" i="38"/>
  <c r="M153" i="38"/>
  <c r="B154" i="38"/>
  <c r="C154" i="38"/>
  <c r="D154" i="38"/>
  <c r="E154" i="38"/>
  <c r="F154" i="38"/>
  <c r="G75" i="38"/>
  <c r="G154" i="38"/>
  <c r="H154" i="38"/>
  <c r="I75" i="38"/>
  <c r="I154" i="38"/>
  <c r="L154" i="38"/>
  <c r="M154" i="38"/>
  <c r="B155" i="38"/>
  <c r="C155" i="38"/>
  <c r="D155" i="38"/>
  <c r="E155" i="38"/>
  <c r="F155" i="38"/>
  <c r="G76" i="38"/>
  <c r="G155" i="38"/>
  <c r="H155" i="38"/>
  <c r="I76" i="38"/>
  <c r="I155" i="38"/>
  <c r="L155" i="38"/>
  <c r="M155" i="38"/>
  <c r="B156" i="38"/>
  <c r="C156" i="38"/>
  <c r="D156" i="38"/>
  <c r="E156" i="38"/>
  <c r="F156" i="38"/>
  <c r="G77" i="38"/>
  <c r="G156" i="38"/>
  <c r="H156" i="38"/>
  <c r="I77" i="38"/>
  <c r="I156" i="38"/>
  <c r="L156" i="38"/>
  <c r="M156" i="38"/>
  <c r="B157" i="38"/>
  <c r="C157" i="38"/>
  <c r="D157" i="38"/>
  <c r="E157" i="38"/>
  <c r="F157" i="38"/>
  <c r="G78" i="38"/>
  <c r="G157" i="38"/>
  <c r="H157" i="38"/>
  <c r="I78" i="38"/>
  <c r="I157" i="38"/>
  <c r="L157" i="38"/>
  <c r="M157" i="38"/>
  <c r="B158" i="38"/>
  <c r="C158" i="38"/>
  <c r="D158" i="38"/>
  <c r="E158" i="38"/>
  <c r="F158" i="38"/>
  <c r="G79" i="38"/>
  <c r="G158" i="38"/>
  <c r="H158" i="38"/>
  <c r="I79" i="38"/>
  <c r="I158" i="38"/>
  <c r="L158" i="38"/>
  <c r="M158" i="38"/>
  <c r="B159" i="38"/>
  <c r="C159" i="38"/>
  <c r="D159" i="38"/>
  <c r="E159" i="38"/>
  <c r="F159" i="38"/>
  <c r="G80" i="38"/>
  <c r="G159" i="38"/>
  <c r="H159" i="38"/>
  <c r="I80" i="38"/>
  <c r="I159" i="38"/>
  <c r="K159" i="38"/>
  <c r="L159" i="38"/>
  <c r="M159" i="38"/>
  <c r="B160" i="38"/>
  <c r="C160" i="38"/>
  <c r="D160" i="38"/>
  <c r="E160" i="38"/>
  <c r="F160" i="38"/>
  <c r="G160" i="38"/>
  <c r="H160" i="38"/>
  <c r="I81" i="38"/>
  <c r="I160" i="38"/>
  <c r="K160" i="38"/>
  <c r="L160" i="38"/>
  <c r="M160" i="38"/>
  <c r="B161" i="38"/>
  <c r="C161" i="38"/>
  <c r="D161" i="38"/>
  <c r="E161" i="38"/>
  <c r="F161" i="38"/>
  <c r="G161" i="38"/>
  <c r="H161" i="38"/>
  <c r="I82" i="38"/>
  <c r="I161" i="38"/>
  <c r="K161" i="38"/>
  <c r="L161" i="38"/>
  <c r="M161" i="38"/>
  <c r="B162" i="38"/>
  <c r="C162" i="38"/>
  <c r="D162" i="38"/>
  <c r="E162" i="38"/>
  <c r="F162" i="38"/>
  <c r="G162" i="38"/>
  <c r="H162" i="38"/>
  <c r="I83" i="38"/>
  <c r="I162" i="38"/>
  <c r="K162" i="38"/>
  <c r="L162" i="38"/>
  <c r="M162" i="38"/>
  <c r="B163" i="38"/>
  <c r="C163" i="38"/>
  <c r="D163" i="38"/>
  <c r="E163" i="38"/>
  <c r="F163" i="38"/>
  <c r="G163" i="38"/>
  <c r="H163" i="38"/>
  <c r="I84" i="38"/>
  <c r="I163" i="38"/>
  <c r="K163" i="38"/>
  <c r="L163" i="38"/>
  <c r="M163" i="38"/>
  <c r="B164" i="38"/>
  <c r="C164" i="38"/>
  <c r="D164" i="38"/>
  <c r="E164" i="38"/>
  <c r="F164" i="38"/>
  <c r="G164" i="38"/>
  <c r="H164" i="38"/>
  <c r="I85" i="38"/>
  <c r="I164" i="38"/>
  <c r="K164" i="38"/>
  <c r="L164" i="38"/>
  <c r="M164" i="38"/>
  <c r="B165" i="38"/>
  <c r="C165" i="38"/>
  <c r="D165" i="38"/>
  <c r="E165" i="38"/>
  <c r="F165" i="38"/>
  <c r="G165" i="38"/>
  <c r="H165" i="38"/>
  <c r="I86" i="38"/>
  <c r="I165" i="38"/>
  <c r="K165" i="38"/>
  <c r="L165" i="38"/>
  <c r="M165" i="38"/>
  <c r="B166" i="38"/>
  <c r="C166" i="38"/>
  <c r="D166" i="38"/>
  <c r="E166" i="38"/>
  <c r="F166" i="38"/>
  <c r="G166" i="38"/>
  <c r="H166" i="38"/>
  <c r="I87" i="38"/>
  <c r="I166" i="38"/>
  <c r="K166" i="38"/>
  <c r="L166" i="38"/>
  <c r="M166" i="38"/>
  <c r="G89" i="38"/>
  <c r="H89" i="38"/>
  <c r="J89" i="38"/>
  <c r="M89" i="38"/>
  <c r="B89" i="38"/>
  <c r="H18" i="38"/>
  <c r="G18" i="38"/>
  <c r="G17" i="38"/>
  <c r="G16" i="38"/>
  <c r="G15" i="38"/>
  <c r="G13" i="38"/>
  <c r="G12" i="38"/>
  <c r="G11" i="38"/>
  <c r="B11" i="38"/>
  <c r="G10" i="38"/>
  <c r="C89" i="37"/>
  <c r="D89" i="37"/>
  <c r="G89" i="37"/>
  <c r="H89" i="37"/>
  <c r="L89" i="37"/>
  <c r="L90" i="37"/>
  <c r="C91" i="37"/>
  <c r="D91" i="37"/>
  <c r="G91" i="37"/>
  <c r="L91" i="37"/>
  <c r="C92" i="37"/>
  <c r="D92" i="37"/>
  <c r="G92" i="37"/>
  <c r="I92" i="37"/>
  <c r="L92" i="37"/>
  <c r="C93" i="37"/>
  <c r="D93" i="37"/>
  <c r="G93" i="37"/>
  <c r="I93" i="37"/>
  <c r="L93" i="37"/>
  <c r="C94" i="37"/>
  <c r="D94" i="37"/>
  <c r="G94" i="37"/>
  <c r="H94" i="37"/>
  <c r="I94" i="37"/>
  <c r="L94" i="37"/>
  <c r="C95" i="37"/>
  <c r="D95" i="37"/>
  <c r="G95" i="37"/>
  <c r="H95" i="37"/>
  <c r="I95" i="37"/>
  <c r="L95" i="37"/>
  <c r="C96" i="37"/>
  <c r="D96" i="37"/>
  <c r="G96" i="37"/>
  <c r="H96" i="37"/>
  <c r="I96" i="37"/>
  <c r="L96" i="37"/>
  <c r="C97" i="37"/>
  <c r="D97" i="37"/>
  <c r="G97" i="37"/>
  <c r="H97" i="37"/>
  <c r="I97" i="37"/>
  <c r="L97" i="37"/>
  <c r="C98" i="37"/>
  <c r="D98" i="37"/>
  <c r="G98" i="37"/>
  <c r="H98" i="37"/>
  <c r="I98" i="37"/>
  <c r="L98" i="37"/>
  <c r="C99" i="37"/>
  <c r="D99" i="37"/>
  <c r="E99" i="37"/>
  <c r="F99" i="37"/>
  <c r="G99" i="37"/>
  <c r="H99" i="37"/>
  <c r="I99" i="37"/>
  <c r="L99" i="37"/>
  <c r="C100" i="37"/>
  <c r="D100" i="37"/>
  <c r="E100" i="37"/>
  <c r="F100" i="37"/>
  <c r="G100" i="37"/>
  <c r="H100" i="37"/>
  <c r="L100" i="37"/>
  <c r="C101" i="37"/>
  <c r="D101" i="37"/>
  <c r="E101" i="37"/>
  <c r="F101" i="37"/>
  <c r="G101" i="37"/>
  <c r="H101" i="37"/>
  <c r="L101" i="37"/>
  <c r="C102" i="37"/>
  <c r="D102" i="37"/>
  <c r="E102" i="37"/>
  <c r="F102" i="37"/>
  <c r="G102" i="37"/>
  <c r="H102" i="37"/>
  <c r="I102" i="37"/>
  <c r="L102" i="37"/>
  <c r="C103" i="37"/>
  <c r="D103" i="37"/>
  <c r="E103" i="37"/>
  <c r="F103" i="37"/>
  <c r="G103" i="37"/>
  <c r="H103" i="37"/>
  <c r="L103" i="37"/>
  <c r="C104" i="37"/>
  <c r="D104" i="37"/>
  <c r="E104" i="37"/>
  <c r="F104" i="37"/>
  <c r="G104" i="37"/>
  <c r="H104" i="37"/>
  <c r="I104" i="37"/>
  <c r="L104" i="37"/>
  <c r="C105" i="37"/>
  <c r="D105" i="37"/>
  <c r="E105" i="37"/>
  <c r="F105" i="37"/>
  <c r="G105" i="37"/>
  <c r="H105" i="37"/>
  <c r="L105" i="37"/>
  <c r="C106" i="37"/>
  <c r="D106" i="37"/>
  <c r="E106" i="37"/>
  <c r="F106" i="37"/>
  <c r="G106" i="37"/>
  <c r="H106" i="37"/>
  <c r="L106" i="37"/>
  <c r="C107" i="37"/>
  <c r="D107" i="37"/>
  <c r="E107" i="37"/>
  <c r="F107" i="37"/>
  <c r="G107" i="37"/>
  <c r="H107" i="37"/>
  <c r="L107" i="37"/>
  <c r="C108" i="37"/>
  <c r="D108" i="37"/>
  <c r="E108" i="37"/>
  <c r="F108" i="37"/>
  <c r="G108" i="37"/>
  <c r="H108" i="37"/>
  <c r="I108" i="37"/>
  <c r="L108" i="37"/>
  <c r="C109" i="37"/>
  <c r="D109" i="37"/>
  <c r="E109" i="37"/>
  <c r="F109" i="37"/>
  <c r="G109" i="37"/>
  <c r="H109" i="37"/>
  <c r="I109" i="37"/>
  <c r="L109" i="37"/>
  <c r="C110" i="37"/>
  <c r="D110" i="37"/>
  <c r="E110" i="37"/>
  <c r="F110" i="37"/>
  <c r="G110" i="37"/>
  <c r="H110" i="37"/>
  <c r="L110" i="37"/>
  <c r="C111" i="37"/>
  <c r="D111" i="37"/>
  <c r="E111" i="37"/>
  <c r="F111" i="37"/>
  <c r="G111" i="37"/>
  <c r="H111" i="37"/>
  <c r="L111" i="37"/>
  <c r="C112" i="37"/>
  <c r="D112" i="37"/>
  <c r="E112" i="37"/>
  <c r="F112" i="37"/>
  <c r="G112" i="37"/>
  <c r="H112" i="37"/>
  <c r="L112" i="37"/>
  <c r="C113" i="37"/>
  <c r="D113" i="37"/>
  <c r="E113" i="37"/>
  <c r="F113" i="37"/>
  <c r="G113" i="37"/>
  <c r="H113" i="37"/>
  <c r="L113" i="37"/>
  <c r="C114" i="37"/>
  <c r="D114" i="37"/>
  <c r="E114" i="37"/>
  <c r="F114" i="37"/>
  <c r="G114" i="37"/>
  <c r="H114" i="37"/>
  <c r="L114" i="37"/>
  <c r="C115" i="37"/>
  <c r="D115" i="37"/>
  <c r="E115" i="37"/>
  <c r="F115" i="37"/>
  <c r="G115" i="37"/>
  <c r="H115" i="37"/>
  <c r="L115" i="37"/>
  <c r="C116" i="37"/>
  <c r="D116" i="37"/>
  <c r="E116" i="37"/>
  <c r="F116" i="37"/>
  <c r="G116" i="37"/>
  <c r="H116" i="37"/>
  <c r="L116" i="37"/>
  <c r="C117" i="37"/>
  <c r="D117" i="37"/>
  <c r="E117" i="37"/>
  <c r="F117" i="37"/>
  <c r="G117" i="37"/>
  <c r="H117" i="37"/>
  <c r="L117" i="37"/>
  <c r="C118" i="37"/>
  <c r="D118" i="37"/>
  <c r="E118" i="37"/>
  <c r="F118" i="37"/>
  <c r="G118" i="37"/>
  <c r="H118" i="37"/>
  <c r="L118" i="37"/>
  <c r="C119" i="37"/>
  <c r="D119" i="37"/>
  <c r="E119" i="37"/>
  <c r="F119" i="37"/>
  <c r="G119" i="37"/>
  <c r="H119" i="37"/>
  <c r="L119" i="37"/>
  <c r="C120" i="37"/>
  <c r="D120" i="37"/>
  <c r="E120" i="37"/>
  <c r="F120" i="37"/>
  <c r="G120" i="37"/>
  <c r="H120" i="37"/>
  <c r="L120" i="37"/>
  <c r="C121" i="37"/>
  <c r="D121" i="37"/>
  <c r="E121" i="37"/>
  <c r="F121" i="37"/>
  <c r="G121" i="37"/>
  <c r="H121" i="37"/>
  <c r="L121" i="37"/>
  <c r="C122" i="37"/>
  <c r="D122" i="37"/>
  <c r="E122" i="37"/>
  <c r="F122" i="37"/>
  <c r="G122" i="37"/>
  <c r="H122" i="37"/>
  <c r="L122" i="37"/>
  <c r="C123" i="37"/>
  <c r="D123" i="37"/>
  <c r="E123" i="37"/>
  <c r="F123" i="37"/>
  <c r="G123" i="37"/>
  <c r="H123" i="37"/>
  <c r="L123" i="37"/>
  <c r="C124" i="37"/>
  <c r="D124" i="37"/>
  <c r="E124" i="37"/>
  <c r="F124" i="37"/>
  <c r="G124" i="37"/>
  <c r="H124" i="37"/>
  <c r="L124" i="37"/>
  <c r="C125" i="37"/>
  <c r="D125" i="37"/>
  <c r="E125" i="37"/>
  <c r="F125" i="37"/>
  <c r="G125" i="37"/>
  <c r="H125" i="37"/>
  <c r="L125" i="37"/>
  <c r="C126" i="37"/>
  <c r="D126" i="37"/>
  <c r="E126" i="37"/>
  <c r="F126" i="37"/>
  <c r="G126" i="37"/>
  <c r="H126" i="37"/>
  <c r="L126" i="37"/>
  <c r="C127" i="37"/>
  <c r="D127" i="37"/>
  <c r="E127" i="37"/>
  <c r="F127" i="37"/>
  <c r="G127" i="37"/>
  <c r="H127" i="37"/>
  <c r="L127" i="37"/>
  <c r="C128" i="37"/>
  <c r="D128" i="37"/>
  <c r="E128" i="37"/>
  <c r="F128" i="37"/>
  <c r="G128" i="37"/>
  <c r="H128" i="37"/>
  <c r="L128" i="37"/>
  <c r="C129" i="37"/>
  <c r="D129" i="37"/>
  <c r="E129" i="37"/>
  <c r="F129" i="37"/>
  <c r="G129" i="37"/>
  <c r="H129" i="37"/>
  <c r="L129" i="37"/>
  <c r="C130" i="37"/>
  <c r="D130" i="37"/>
  <c r="E130" i="37"/>
  <c r="F130" i="37"/>
  <c r="H130" i="37"/>
  <c r="I130" i="37"/>
  <c r="L130" i="37"/>
  <c r="C131" i="37"/>
  <c r="D131" i="37"/>
  <c r="E131" i="37"/>
  <c r="F131" i="37"/>
  <c r="H131" i="37"/>
  <c r="I131" i="37"/>
  <c r="L131" i="37"/>
  <c r="C132" i="37"/>
  <c r="D132" i="37"/>
  <c r="E132" i="37"/>
  <c r="F132" i="37"/>
  <c r="H132" i="37"/>
  <c r="I132" i="37"/>
  <c r="L132" i="37"/>
  <c r="C133" i="37"/>
  <c r="D133" i="37"/>
  <c r="E133" i="37"/>
  <c r="F133" i="37"/>
  <c r="H133" i="37"/>
  <c r="I133" i="37"/>
  <c r="L133" i="37"/>
  <c r="C134" i="37"/>
  <c r="D134" i="37"/>
  <c r="E134" i="37"/>
  <c r="F134" i="37"/>
  <c r="H134" i="37"/>
  <c r="I134" i="37"/>
  <c r="L134" i="37"/>
  <c r="C135" i="37"/>
  <c r="D135" i="37"/>
  <c r="E135" i="37"/>
  <c r="F135" i="37"/>
  <c r="H135" i="37"/>
  <c r="I135" i="37"/>
  <c r="L135" i="37"/>
  <c r="C136" i="37"/>
  <c r="D136" i="37"/>
  <c r="E136" i="37"/>
  <c r="F136" i="37"/>
  <c r="H136" i="37"/>
  <c r="I136" i="37"/>
  <c r="K136" i="37"/>
  <c r="L136" i="37"/>
  <c r="C137" i="37"/>
  <c r="D137" i="37"/>
  <c r="E137" i="37"/>
  <c r="F137" i="37"/>
  <c r="H137" i="37"/>
  <c r="I137" i="37"/>
  <c r="K137" i="37"/>
  <c r="L137" i="37"/>
  <c r="C138" i="37"/>
  <c r="D138" i="37"/>
  <c r="E138" i="37"/>
  <c r="F138" i="37"/>
  <c r="H138" i="37"/>
  <c r="I138" i="37"/>
  <c r="K138" i="37"/>
  <c r="L138" i="37"/>
  <c r="C139" i="37"/>
  <c r="D139" i="37"/>
  <c r="E139" i="37"/>
  <c r="F139" i="37"/>
  <c r="H139" i="37"/>
  <c r="I139" i="37"/>
  <c r="K139" i="37"/>
  <c r="L139" i="37"/>
  <c r="C140" i="37"/>
  <c r="D140" i="37"/>
  <c r="E140" i="37"/>
  <c r="F140" i="37"/>
  <c r="H140" i="37"/>
  <c r="I140" i="37"/>
  <c r="K140" i="37"/>
  <c r="L140" i="37"/>
  <c r="C141" i="37"/>
  <c r="D141" i="37"/>
  <c r="E141" i="37"/>
  <c r="F141" i="37"/>
  <c r="H141" i="37"/>
  <c r="I141" i="37"/>
  <c r="K141" i="37"/>
  <c r="L141" i="37"/>
  <c r="C142" i="37"/>
  <c r="D142" i="37"/>
  <c r="E142" i="37"/>
  <c r="F142" i="37"/>
  <c r="H142" i="37"/>
  <c r="I142" i="37"/>
  <c r="K142" i="37"/>
  <c r="L142" i="37"/>
  <c r="C143" i="37"/>
  <c r="D143" i="37"/>
  <c r="E143" i="37"/>
  <c r="F143" i="37"/>
  <c r="H143" i="37"/>
  <c r="I143" i="37"/>
  <c r="K143" i="37"/>
  <c r="L143" i="37"/>
  <c r="C144" i="37"/>
  <c r="D144" i="37"/>
  <c r="E144" i="37"/>
  <c r="F144" i="37"/>
  <c r="H144" i="37"/>
  <c r="I144" i="37"/>
  <c r="K144" i="37"/>
  <c r="L144" i="37"/>
  <c r="C145" i="37"/>
  <c r="D145" i="37"/>
  <c r="E145" i="37"/>
  <c r="F145" i="37"/>
  <c r="H145" i="37"/>
  <c r="I145" i="37"/>
  <c r="K145" i="37"/>
  <c r="L145" i="37"/>
  <c r="C146" i="37"/>
  <c r="D146" i="37"/>
  <c r="E146" i="37"/>
  <c r="F146" i="37"/>
  <c r="H146" i="37"/>
  <c r="I146" i="37"/>
  <c r="K146" i="37"/>
  <c r="L146" i="37"/>
  <c r="C147" i="37"/>
  <c r="D147" i="37"/>
  <c r="E147" i="37"/>
  <c r="F147" i="37"/>
  <c r="H147" i="37"/>
  <c r="I147" i="37"/>
  <c r="K147" i="37"/>
  <c r="L147" i="37"/>
  <c r="C148" i="37"/>
  <c r="D148" i="37"/>
  <c r="E148" i="37"/>
  <c r="F148" i="37"/>
  <c r="H148" i="37"/>
  <c r="I148" i="37"/>
  <c r="K148" i="37"/>
  <c r="L148" i="37"/>
  <c r="C149" i="37"/>
  <c r="D149" i="37"/>
  <c r="E149" i="37"/>
  <c r="F149" i="37"/>
  <c r="H149" i="37"/>
  <c r="I149" i="37"/>
  <c r="K149" i="37"/>
  <c r="L149" i="37"/>
  <c r="C150" i="37"/>
  <c r="D150" i="37"/>
  <c r="E150" i="37"/>
  <c r="F150" i="37"/>
  <c r="H150" i="37"/>
  <c r="I150" i="37"/>
  <c r="K150" i="37"/>
  <c r="L150" i="37"/>
  <c r="C151" i="37"/>
  <c r="D151" i="37"/>
  <c r="E151" i="37"/>
  <c r="F151" i="37"/>
  <c r="H151" i="37"/>
  <c r="I151" i="37"/>
  <c r="K151" i="37"/>
  <c r="L151" i="37"/>
  <c r="C152" i="37"/>
  <c r="D152" i="37"/>
  <c r="E152" i="37"/>
  <c r="F152" i="37"/>
  <c r="H152" i="37"/>
  <c r="I152" i="37"/>
  <c r="K152" i="37"/>
  <c r="L152" i="37"/>
  <c r="C153" i="37"/>
  <c r="D153" i="37"/>
  <c r="E153" i="37"/>
  <c r="F153" i="37"/>
  <c r="H153" i="37"/>
  <c r="I153" i="37"/>
  <c r="K153" i="37"/>
  <c r="L153" i="37"/>
  <c r="C154" i="37"/>
  <c r="D154" i="37"/>
  <c r="E154" i="37"/>
  <c r="F154" i="37"/>
  <c r="H154" i="37"/>
  <c r="I154" i="37"/>
  <c r="K154" i="37"/>
  <c r="L154" i="37"/>
  <c r="C155" i="37"/>
  <c r="D155" i="37"/>
  <c r="E155" i="37"/>
  <c r="F155" i="37"/>
  <c r="H155" i="37"/>
  <c r="I155" i="37"/>
  <c r="K155" i="37"/>
  <c r="L155" i="37"/>
  <c r="C156" i="37"/>
  <c r="D156" i="37"/>
  <c r="E156" i="37"/>
  <c r="F156" i="37"/>
  <c r="H156" i="37"/>
  <c r="I156" i="37"/>
  <c r="K156" i="37"/>
  <c r="L156" i="37"/>
  <c r="C157" i="37"/>
  <c r="D157" i="37"/>
  <c r="E157" i="37"/>
  <c r="F157" i="37"/>
  <c r="H157" i="37"/>
  <c r="I157" i="37"/>
  <c r="K157" i="37"/>
  <c r="L157" i="37"/>
  <c r="C158" i="37"/>
  <c r="D158" i="37"/>
  <c r="E158" i="37"/>
  <c r="F158" i="37"/>
  <c r="H158" i="37"/>
  <c r="I158" i="37"/>
  <c r="K158" i="37"/>
  <c r="L158" i="37"/>
  <c r="C159" i="37"/>
  <c r="D159" i="37"/>
  <c r="E159" i="37"/>
  <c r="F159" i="37"/>
  <c r="H159" i="37"/>
  <c r="I159" i="37"/>
  <c r="J159" i="37"/>
  <c r="K159" i="37"/>
  <c r="L159" i="37"/>
  <c r="C160" i="37"/>
  <c r="D160" i="37"/>
  <c r="E160" i="37"/>
  <c r="F160" i="37"/>
  <c r="G160" i="37"/>
  <c r="H160" i="37"/>
  <c r="I160" i="37"/>
  <c r="J160" i="37"/>
  <c r="K160" i="37"/>
  <c r="L160" i="37"/>
  <c r="C161" i="37"/>
  <c r="D161" i="37"/>
  <c r="E161" i="37"/>
  <c r="F161" i="37"/>
  <c r="G161" i="37"/>
  <c r="H161" i="37"/>
  <c r="I161" i="37"/>
  <c r="J161" i="37"/>
  <c r="K161" i="37"/>
  <c r="L161" i="37"/>
  <c r="C162" i="37"/>
  <c r="D162" i="37"/>
  <c r="E162" i="37"/>
  <c r="F162" i="37"/>
  <c r="G162" i="37"/>
  <c r="H162" i="37"/>
  <c r="I162" i="37"/>
  <c r="J162" i="37"/>
  <c r="K162" i="37"/>
  <c r="L162" i="37"/>
  <c r="C163" i="37"/>
  <c r="D163" i="37"/>
  <c r="E163" i="37"/>
  <c r="F163" i="37"/>
  <c r="G163" i="37"/>
  <c r="H163" i="37"/>
  <c r="I163" i="37"/>
  <c r="J163" i="37"/>
  <c r="K163" i="37"/>
  <c r="L163" i="37"/>
  <c r="C164" i="37"/>
  <c r="D164" i="37"/>
  <c r="E164" i="37"/>
  <c r="F164" i="37"/>
  <c r="G164" i="37"/>
  <c r="H164" i="37"/>
  <c r="I164" i="37"/>
  <c r="J164" i="37"/>
  <c r="K164" i="37"/>
  <c r="L164" i="37"/>
  <c r="C165" i="37"/>
  <c r="D165" i="37"/>
  <c r="E165" i="37"/>
  <c r="F165" i="37"/>
  <c r="G165" i="37"/>
  <c r="H165" i="37"/>
  <c r="I165" i="37"/>
  <c r="J165" i="37"/>
  <c r="K165" i="37"/>
  <c r="L165" i="37"/>
  <c r="C166" i="37"/>
  <c r="D166" i="37"/>
  <c r="E166" i="37"/>
  <c r="F166" i="37"/>
  <c r="G166" i="37"/>
  <c r="H166" i="37"/>
  <c r="I166" i="37"/>
  <c r="J166" i="37"/>
  <c r="K166" i="37"/>
  <c r="L166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B112" i="37"/>
  <c r="B113" i="37"/>
  <c r="B114" i="37"/>
  <c r="B115" i="37"/>
  <c r="B116" i="37"/>
  <c r="B117" i="37"/>
  <c r="B118" i="37"/>
  <c r="B119" i="37"/>
  <c r="B120" i="37"/>
  <c r="B121" i="37"/>
  <c r="B122" i="37"/>
  <c r="B123" i="37"/>
  <c r="B124" i="37"/>
  <c r="B125" i="37"/>
  <c r="B126" i="37"/>
  <c r="B127" i="37"/>
  <c r="B128" i="37"/>
  <c r="B129" i="37"/>
  <c r="B160" i="37"/>
  <c r="B161" i="37"/>
  <c r="B162" i="37"/>
  <c r="B163" i="37"/>
  <c r="B164" i="37"/>
  <c r="B165" i="37"/>
  <c r="B166" i="37"/>
  <c r="B89" i="37"/>
  <c r="DF70" i="2"/>
  <c r="CO70" i="2"/>
  <c r="AK70" i="2"/>
  <c r="AZ70" i="2"/>
  <c r="BP70" i="2"/>
  <c r="AL70" i="2"/>
  <c r="BQ70" i="2"/>
  <c r="AM70" i="2"/>
  <c r="BR70" i="2"/>
  <c r="DI70" i="2"/>
  <c r="CR69" i="2"/>
  <c r="CR70" i="2"/>
  <c r="AN70" i="2"/>
  <c r="BC70" i="2"/>
  <c r="BS70" i="2"/>
  <c r="AO70" i="2"/>
  <c r="BT70" i="2"/>
  <c r="AP70" i="2"/>
  <c r="BU70" i="2"/>
  <c r="AQ70" i="2"/>
  <c r="BV70" i="2"/>
  <c r="AS70" i="2"/>
  <c r="BX70" i="2"/>
  <c r="AT70" i="2"/>
  <c r="BY70" i="2"/>
  <c r="AU70" i="2"/>
  <c r="BZ70" i="2"/>
  <c r="AV70" i="2"/>
  <c r="CA70" i="2"/>
  <c r="AW70" i="2"/>
  <c r="CB70" i="2"/>
  <c r="AX70" i="2"/>
  <c r="CC70" i="2"/>
  <c r="R70" i="2"/>
  <c r="X69" i="2"/>
  <c r="X70" i="2"/>
  <c r="U70" i="2"/>
  <c r="DF69" i="2"/>
  <c r="CO69" i="2"/>
  <c r="AK69" i="2"/>
  <c r="AZ69" i="2"/>
  <c r="BP69" i="2"/>
  <c r="AL69" i="2"/>
  <c r="BA69" i="2"/>
  <c r="BQ69" i="2"/>
  <c r="AM69" i="2"/>
  <c r="BR69" i="2"/>
  <c r="DI69" i="2"/>
  <c r="AN69" i="2"/>
  <c r="BC69" i="2"/>
  <c r="BS69" i="2"/>
  <c r="AO69" i="2"/>
  <c r="BT69" i="2"/>
  <c r="AP69" i="2"/>
  <c r="BU69" i="2"/>
  <c r="AQ69" i="2"/>
  <c r="BV69" i="2"/>
  <c r="AS69" i="2"/>
  <c r="BX69" i="2"/>
  <c r="AT69" i="2"/>
  <c r="BY69" i="2"/>
  <c r="AU69" i="2"/>
  <c r="BZ69" i="2"/>
  <c r="AV69" i="2"/>
  <c r="CA69" i="2"/>
  <c r="AW69" i="2"/>
  <c r="CB69" i="2"/>
  <c r="AX69" i="2"/>
  <c r="CC69" i="2"/>
  <c r="R69" i="2"/>
  <c r="U69" i="2"/>
  <c r="Q70" i="2"/>
  <c r="W69" i="2"/>
  <c r="W70" i="2"/>
  <c r="T70" i="2"/>
  <c r="Q69" i="2"/>
  <c r="T69" i="2"/>
  <c r="B70" i="2"/>
  <c r="P70" i="2"/>
  <c r="AD69" i="2"/>
  <c r="AG69" i="2"/>
  <c r="V69" i="2"/>
  <c r="AD70" i="2"/>
  <c r="AG70" i="2"/>
  <c r="V70" i="2"/>
  <c r="Y70" i="2"/>
  <c r="S70" i="2"/>
  <c r="B69" i="2"/>
  <c r="P69" i="2"/>
  <c r="Y69" i="2"/>
  <c r="S69" i="2"/>
  <c r="AA70" i="2"/>
  <c r="Z70" i="2"/>
  <c r="AA69" i="2"/>
  <c r="Z69" i="2"/>
  <c r="CL68" i="2"/>
  <c r="CM68" i="2"/>
  <c r="DF43" i="2"/>
  <c r="DH43" i="2"/>
  <c r="DJ43" i="2"/>
  <c r="DK43" i="2"/>
  <c r="DL43" i="2"/>
  <c r="DM43" i="2"/>
  <c r="DO43" i="2"/>
  <c r="DP43" i="2"/>
  <c r="DQ43" i="2"/>
  <c r="DR43" i="2"/>
  <c r="DS43" i="2"/>
  <c r="DF44" i="2"/>
  <c r="DH44" i="2"/>
  <c r="DJ44" i="2"/>
  <c r="DK44" i="2"/>
  <c r="DL44" i="2"/>
  <c r="DM44" i="2"/>
  <c r="DO44" i="2"/>
  <c r="DP44" i="2"/>
  <c r="DQ44" i="2"/>
  <c r="DR44" i="2"/>
  <c r="DS44" i="2"/>
  <c r="DF45" i="2"/>
  <c r="DH45" i="2"/>
  <c r="DJ45" i="2"/>
  <c r="DK45" i="2"/>
  <c r="DL45" i="2"/>
  <c r="DM45" i="2"/>
  <c r="DO45" i="2"/>
  <c r="DP45" i="2"/>
  <c r="DQ45" i="2"/>
  <c r="DR45" i="2"/>
  <c r="DS45" i="2"/>
  <c r="DF46" i="2"/>
  <c r="DH46" i="2"/>
  <c r="DJ46" i="2"/>
  <c r="DK46" i="2"/>
  <c r="DL46" i="2"/>
  <c r="DM46" i="2"/>
  <c r="DO46" i="2"/>
  <c r="DP46" i="2"/>
  <c r="DQ46" i="2"/>
  <c r="DR46" i="2"/>
  <c r="DS46" i="2"/>
  <c r="DF47" i="2"/>
  <c r="DG47" i="2"/>
  <c r="DH47" i="2"/>
  <c r="DJ47" i="2"/>
  <c r="DK47" i="2"/>
  <c r="DL47" i="2"/>
  <c r="DM47" i="2"/>
  <c r="DO47" i="2"/>
  <c r="DP47" i="2"/>
  <c r="DQ47" i="2"/>
  <c r="DR47" i="2"/>
  <c r="DS47" i="2"/>
  <c r="DF48" i="2"/>
  <c r="DG48" i="2"/>
  <c r="DH48" i="2"/>
  <c r="DJ48" i="2"/>
  <c r="DK48" i="2"/>
  <c r="DL48" i="2"/>
  <c r="DM48" i="2"/>
  <c r="DO48" i="2"/>
  <c r="DP48" i="2"/>
  <c r="DQ48" i="2"/>
  <c r="DR48" i="2"/>
  <c r="DS48" i="2"/>
  <c r="DF49" i="2"/>
  <c r="DG49" i="2"/>
  <c r="DH49" i="2"/>
  <c r="DJ49" i="2"/>
  <c r="DK49" i="2"/>
  <c r="DL49" i="2"/>
  <c r="DM49" i="2"/>
  <c r="DO49" i="2"/>
  <c r="DP49" i="2"/>
  <c r="DQ49" i="2"/>
  <c r="DR49" i="2"/>
  <c r="DS49" i="2"/>
  <c r="DF50" i="2"/>
  <c r="DG50" i="2"/>
  <c r="DH50" i="2"/>
  <c r="DJ50" i="2"/>
  <c r="DK50" i="2"/>
  <c r="DL50" i="2"/>
  <c r="DM50" i="2"/>
  <c r="DO50" i="2"/>
  <c r="DP50" i="2"/>
  <c r="DQ50" i="2"/>
  <c r="DR50" i="2"/>
  <c r="DS50" i="2"/>
  <c r="DF51" i="2"/>
  <c r="DG51" i="2"/>
  <c r="DH51" i="2"/>
  <c r="DJ51" i="2"/>
  <c r="DK51" i="2"/>
  <c r="DL51" i="2"/>
  <c r="DM51" i="2"/>
  <c r="DO51" i="2"/>
  <c r="DP51" i="2"/>
  <c r="DQ51" i="2"/>
  <c r="DR51" i="2"/>
  <c r="DS51" i="2"/>
  <c r="DF52" i="2"/>
  <c r="DG52" i="2"/>
  <c r="DH52" i="2"/>
  <c r="DJ52" i="2"/>
  <c r="DK52" i="2"/>
  <c r="DL52" i="2"/>
  <c r="DM52" i="2"/>
  <c r="DO52" i="2"/>
  <c r="DP52" i="2"/>
  <c r="DQ52" i="2"/>
  <c r="DR52" i="2"/>
  <c r="DS52" i="2"/>
  <c r="DF53" i="2"/>
  <c r="DG53" i="2"/>
  <c r="DH53" i="2"/>
  <c r="DJ53" i="2"/>
  <c r="DK53" i="2"/>
  <c r="DL53" i="2"/>
  <c r="DM53" i="2"/>
  <c r="DO53" i="2"/>
  <c r="DP53" i="2"/>
  <c r="DQ53" i="2"/>
  <c r="DR53" i="2"/>
  <c r="DS53" i="2"/>
  <c r="DF54" i="2"/>
  <c r="DG54" i="2"/>
  <c r="DH54" i="2"/>
  <c r="DJ54" i="2"/>
  <c r="DK54" i="2"/>
  <c r="DL54" i="2"/>
  <c r="DM54" i="2"/>
  <c r="DO54" i="2"/>
  <c r="DP54" i="2"/>
  <c r="DQ54" i="2"/>
  <c r="DR54" i="2"/>
  <c r="DS54" i="2"/>
  <c r="DF55" i="2"/>
  <c r="DG55" i="2"/>
  <c r="DH55" i="2"/>
  <c r="DJ55" i="2"/>
  <c r="DK55" i="2"/>
  <c r="DL55" i="2"/>
  <c r="DM55" i="2"/>
  <c r="DO55" i="2"/>
  <c r="DP55" i="2"/>
  <c r="DQ55" i="2"/>
  <c r="DR55" i="2"/>
  <c r="DS55" i="2"/>
  <c r="DF56" i="2"/>
  <c r="DG56" i="2"/>
  <c r="DH56" i="2"/>
  <c r="DJ56" i="2"/>
  <c r="DK56" i="2"/>
  <c r="DL56" i="2"/>
  <c r="DM56" i="2"/>
  <c r="DO56" i="2"/>
  <c r="DP56" i="2"/>
  <c r="DQ56" i="2"/>
  <c r="DR56" i="2"/>
  <c r="DS56" i="2"/>
  <c r="DF57" i="2"/>
  <c r="DG57" i="2"/>
  <c r="DH57" i="2"/>
  <c r="DJ57" i="2"/>
  <c r="DK57" i="2"/>
  <c r="DL57" i="2"/>
  <c r="DM57" i="2"/>
  <c r="DO57" i="2"/>
  <c r="DP57" i="2"/>
  <c r="DQ57" i="2"/>
  <c r="DR57" i="2"/>
  <c r="DS57" i="2"/>
  <c r="DF58" i="2"/>
  <c r="DG58" i="2"/>
  <c r="DH58" i="2"/>
  <c r="DI58" i="2"/>
  <c r="DJ58" i="2"/>
  <c r="DK58" i="2"/>
  <c r="DL58" i="2"/>
  <c r="DN58" i="2"/>
  <c r="DO58" i="2"/>
  <c r="DP58" i="2"/>
  <c r="DQ58" i="2"/>
  <c r="DR58" i="2"/>
  <c r="DS58" i="2"/>
  <c r="DF59" i="2"/>
  <c r="DG59" i="2"/>
  <c r="DH59" i="2"/>
  <c r="DI59" i="2"/>
  <c r="DJ59" i="2"/>
  <c r="DK59" i="2"/>
  <c r="DL59" i="2"/>
  <c r="DN59" i="2"/>
  <c r="DO59" i="2"/>
  <c r="DP59" i="2"/>
  <c r="DQ59" i="2"/>
  <c r="DR59" i="2"/>
  <c r="DS59" i="2"/>
  <c r="DF60" i="2"/>
  <c r="DG60" i="2"/>
  <c r="DH60" i="2"/>
  <c r="DI60" i="2"/>
  <c r="DJ60" i="2"/>
  <c r="DK60" i="2"/>
  <c r="DL60" i="2"/>
  <c r="DN60" i="2"/>
  <c r="DO60" i="2"/>
  <c r="DP60" i="2"/>
  <c r="DQ60" i="2"/>
  <c r="DR60" i="2"/>
  <c r="DS60" i="2"/>
  <c r="DF61" i="2"/>
  <c r="DG61" i="2"/>
  <c r="DH61" i="2"/>
  <c r="DI61" i="2"/>
  <c r="DJ61" i="2"/>
  <c r="DK61" i="2"/>
  <c r="DL61" i="2"/>
  <c r="DN61" i="2"/>
  <c r="DO61" i="2"/>
  <c r="DP61" i="2"/>
  <c r="DQ61" i="2"/>
  <c r="DR61" i="2"/>
  <c r="DS61" i="2"/>
  <c r="DF62" i="2"/>
  <c r="DG62" i="2"/>
  <c r="DH62" i="2"/>
  <c r="DI62" i="2"/>
  <c r="DJ62" i="2"/>
  <c r="DK62" i="2"/>
  <c r="DL62" i="2"/>
  <c r="DN62" i="2"/>
  <c r="DO62" i="2"/>
  <c r="DP62" i="2"/>
  <c r="DQ62" i="2"/>
  <c r="DR62" i="2"/>
  <c r="DS62" i="2"/>
  <c r="DF63" i="2"/>
  <c r="DG63" i="2"/>
  <c r="DH63" i="2"/>
  <c r="DI63" i="2"/>
  <c r="DJ63" i="2"/>
  <c r="DK63" i="2"/>
  <c r="DL63" i="2"/>
  <c r="DN63" i="2"/>
  <c r="DO63" i="2"/>
  <c r="DP63" i="2"/>
  <c r="DQ63" i="2"/>
  <c r="DR63" i="2"/>
  <c r="DS63" i="2"/>
  <c r="DF64" i="2"/>
  <c r="DG64" i="2"/>
  <c r="DH64" i="2"/>
  <c r="DI64" i="2"/>
  <c r="DJ64" i="2"/>
  <c r="DK64" i="2"/>
  <c r="DL64" i="2"/>
  <c r="DN64" i="2"/>
  <c r="DO64" i="2"/>
  <c r="DP64" i="2"/>
  <c r="DQ64" i="2"/>
  <c r="DR64" i="2"/>
  <c r="DS64" i="2"/>
  <c r="DF65" i="2"/>
  <c r="DG65" i="2"/>
  <c r="DH65" i="2"/>
  <c r="DI65" i="2"/>
  <c r="DJ65" i="2"/>
  <c r="DK65" i="2"/>
  <c r="DL65" i="2"/>
  <c r="DN65" i="2"/>
  <c r="DO65" i="2"/>
  <c r="DP65" i="2"/>
  <c r="DQ65" i="2"/>
  <c r="DR65" i="2"/>
  <c r="DS65" i="2"/>
  <c r="DF66" i="2"/>
  <c r="DG66" i="2"/>
  <c r="DH66" i="2"/>
  <c r="DI66" i="2"/>
  <c r="DJ66" i="2"/>
  <c r="DK66" i="2"/>
  <c r="DL66" i="2"/>
  <c r="DN66" i="2"/>
  <c r="DO66" i="2"/>
  <c r="DP66" i="2"/>
  <c r="DQ66" i="2"/>
  <c r="DR66" i="2"/>
  <c r="DS66" i="2"/>
  <c r="DF67" i="2"/>
  <c r="DG67" i="2"/>
  <c r="DH67" i="2"/>
  <c r="DI67" i="2"/>
  <c r="DJ67" i="2"/>
  <c r="DK67" i="2"/>
  <c r="DL67" i="2"/>
  <c r="DN67" i="2"/>
  <c r="DO67" i="2"/>
  <c r="DP67" i="2"/>
  <c r="DQ67" i="2"/>
  <c r="DR67" i="2"/>
  <c r="DS67" i="2"/>
  <c r="DF68" i="2"/>
  <c r="DG68" i="2"/>
  <c r="DH68" i="2"/>
  <c r="DI68" i="2"/>
  <c r="DJ68" i="2"/>
  <c r="DK68" i="2"/>
  <c r="DL68" i="2"/>
  <c r="DN68" i="2"/>
  <c r="DO68" i="2"/>
  <c r="DP68" i="2"/>
  <c r="DQ68" i="2"/>
  <c r="DR68" i="2"/>
  <c r="DS68" i="2"/>
  <c r="DH42" i="2"/>
  <c r="DJ42" i="2"/>
  <c r="DK42" i="2"/>
  <c r="DL42" i="2"/>
  <c r="DM42" i="2"/>
  <c r="DO42" i="2"/>
  <c r="DP42" i="2"/>
  <c r="DQ42" i="2"/>
  <c r="DR42" i="2"/>
  <c r="DS42" i="2"/>
  <c r="DF42" i="2"/>
  <c r="CB43" i="2"/>
  <c r="CC43" i="2"/>
  <c r="CB44" i="2"/>
  <c r="CC44" i="2"/>
  <c r="CB45" i="2"/>
  <c r="CC45" i="2"/>
  <c r="CB46" i="2"/>
  <c r="CC46" i="2"/>
  <c r="CB47" i="2"/>
  <c r="CC47" i="2"/>
  <c r="CB48" i="2"/>
  <c r="CC48" i="2"/>
  <c r="CB49" i="2"/>
  <c r="CC49" i="2"/>
  <c r="CB50" i="2"/>
  <c r="CC50" i="2"/>
  <c r="CB51" i="2"/>
  <c r="CC51" i="2"/>
  <c r="CB52" i="2"/>
  <c r="CC52" i="2"/>
  <c r="CB53" i="2"/>
  <c r="CC53" i="2"/>
  <c r="CB54" i="2"/>
  <c r="CC54" i="2"/>
  <c r="CB55" i="2"/>
  <c r="CC55" i="2"/>
  <c r="CB56" i="2"/>
  <c r="CC56" i="2"/>
  <c r="CB57" i="2"/>
  <c r="CC57" i="2"/>
  <c r="CB58" i="2"/>
  <c r="CC58" i="2"/>
  <c r="CB59" i="2"/>
  <c r="CC59" i="2"/>
  <c r="CB60" i="2"/>
  <c r="CC60" i="2"/>
  <c r="CB61" i="2"/>
  <c r="CC61" i="2"/>
  <c r="CB62" i="2"/>
  <c r="CC62" i="2"/>
  <c r="CB63" i="2"/>
  <c r="CC63" i="2"/>
  <c r="CB64" i="2"/>
  <c r="CC64" i="2"/>
  <c r="CB65" i="2"/>
  <c r="CC65" i="2"/>
  <c r="CB66" i="2"/>
  <c r="CC66" i="2"/>
  <c r="CB67" i="2"/>
  <c r="CC67" i="2"/>
  <c r="CB68" i="2"/>
  <c r="CC68" i="2"/>
  <c r="CB42" i="2"/>
  <c r="CC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42" i="2"/>
  <c r="BZ43" i="2"/>
  <c r="BZ44" i="2"/>
  <c r="BZ45" i="2"/>
  <c r="BZ46" i="2"/>
  <c r="BZ47" i="2"/>
  <c r="BZ48" i="2"/>
  <c r="BZ49" i="2"/>
  <c r="BZ50" i="2"/>
  <c r="BZ51" i="2"/>
  <c r="BZ52" i="2"/>
  <c r="BZ53" i="2"/>
  <c r="BZ54" i="2"/>
  <c r="BZ55" i="2"/>
  <c r="BZ56" i="2"/>
  <c r="BZ57" i="2"/>
  <c r="BZ58" i="2"/>
  <c r="BZ59" i="2"/>
  <c r="BZ60" i="2"/>
  <c r="BZ61" i="2"/>
  <c r="BZ62" i="2"/>
  <c r="BZ63" i="2"/>
  <c r="BZ64" i="2"/>
  <c r="BZ65" i="2"/>
  <c r="BZ66" i="2"/>
  <c r="BZ67" i="2"/>
  <c r="BZ68" i="2"/>
  <c r="BZ42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9" i="2"/>
  <c r="BY60" i="2"/>
  <c r="BY61" i="2"/>
  <c r="BY62" i="2"/>
  <c r="BY63" i="2"/>
  <c r="BY64" i="2"/>
  <c r="BY65" i="2"/>
  <c r="BY66" i="2"/>
  <c r="BY67" i="2"/>
  <c r="BY68" i="2"/>
  <c r="BY58" i="2"/>
  <c r="BX59" i="2"/>
  <c r="BX60" i="2"/>
  <c r="BX61" i="2"/>
  <c r="BX62" i="2"/>
  <c r="BX63" i="2"/>
  <c r="BX64" i="2"/>
  <c r="BX65" i="2"/>
  <c r="BX66" i="2"/>
  <c r="BX67" i="2"/>
  <c r="BX68" i="2"/>
  <c r="BX58" i="2"/>
  <c r="BU58" i="2"/>
  <c r="BV58" i="2"/>
  <c r="BU59" i="2"/>
  <c r="BV59" i="2"/>
  <c r="BU60" i="2"/>
  <c r="BV60" i="2"/>
  <c r="BU61" i="2"/>
  <c r="BV61" i="2"/>
  <c r="BU62" i="2"/>
  <c r="BV62" i="2"/>
  <c r="BU63" i="2"/>
  <c r="BV63" i="2"/>
  <c r="BU64" i="2"/>
  <c r="BV64" i="2"/>
  <c r="BU65" i="2"/>
  <c r="BV65" i="2"/>
  <c r="BU66" i="2"/>
  <c r="BV66" i="2"/>
  <c r="BU67" i="2"/>
  <c r="BV67" i="2"/>
  <c r="BU68" i="2"/>
  <c r="BV68" i="2"/>
  <c r="BT43" i="2"/>
  <c r="BU43" i="2"/>
  <c r="BV43" i="2"/>
  <c r="BW43" i="2"/>
  <c r="BT44" i="2"/>
  <c r="BU44" i="2"/>
  <c r="BV44" i="2"/>
  <c r="BW44" i="2"/>
  <c r="BT45" i="2"/>
  <c r="BU45" i="2"/>
  <c r="BV45" i="2"/>
  <c r="BW45" i="2"/>
  <c r="BT46" i="2"/>
  <c r="BU46" i="2"/>
  <c r="BV46" i="2"/>
  <c r="BW46" i="2"/>
  <c r="BT47" i="2"/>
  <c r="BU47" i="2"/>
  <c r="BV47" i="2"/>
  <c r="BW47" i="2"/>
  <c r="BT48" i="2"/>
  <c r="BU48" i="2"/>
  <c r="BV48" i="2"/>
  <c r="BW48" i="2"/>
  <c r="BT49" i="2"/>
  <c r="BU49" i="2"/>
  <c r="BV49" i="2"/>
  <c r="BW49" i="2"/>
  <c r="BT50" i="2"/>
  <c r="BU50" i="2"/>
  <c r="BV50" i="2"/>
  <c r="BW50" i="2"/>
  <c r="BT51" i="2"/>
  <c r="BU51" i="2"/>
  <c r="BV51" i="2"/>
  <c r="BW51" i="2"/>
  <c r="BT52" i="2"/>
  <c r="BU52" i="2"/>
  <c r="BV52" i="2"/>
  <c r="BW52" i="2"/>
  <c r="BT53" i="2"/>
  <c r="BU53" i="2"/>
  <c r="BV53" i="2"/>
  <c r="BW53" i="2"/>
  <c r="BT54" i="2"/>
  <c r="BU54" i="2"/>
  <c r="BV54" i="2"/>
  <c r="BW54" i="2"/>
  <c r="BT55" i="2"/>
  <c r="BU55" i="2"/>
  <c r="BV55" i="2"/>
  <c r="BW55" i="2"/>
  <c r="BT56" i="2"/>
  <c r="BU56" i="2"/>
  <c r="BV56" i="2"/>
  <c r="BW56" i="2"/>
  <c r="BT57" i="2"/>
  <c r="BU57" i="2"/>
  <c r="BV57" i="2"/>
  <c r="BW57" i="2"/>
  <c r="BU42" i="2"/>
  <c r="BV42" i="2"/>
  <c r="BW42" i="2"/>
  <c r="BT42" i="2"/>
  <c r="BT58" i="2"/>
  <c r="BT59" i="2"/>
  <c r="BT60" i="2"/>
  <c r="BT61" i="2"/>
  <c r="BT62" i="2"/>
  <c r="BT63" i="2"/>
  <c r="BT64" i="2"/>
  <c r="BT65" i="2"/>
  <c r="BT66" i="2"/>
  <c r="BT67" i="2"/>
  <c r="BT68" i="2"/>
  <c r="BS59" i="2"/>
  <c r="BS60" i="2"/>
  <c r="BS61" i="2"/>
  <c r="BS62" i="2"/>
  <c r="BS63" i="2"/>
  <c r="BS64" i="2"/>
  <c r="BS65" i="2"/>
  <c r="BS66" i="2"/>
  <c r="BS67" i="2"/>
  <c r="BS68" i="2"/>
  <c r="BS58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42" i="2"/>
  <c r="BR43" i="2"/>
  <c r="BR44" i="2"/>
  <c r="BR45" i="2"/>
  <c r="BR46" i="2"/>
  <c r="BR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47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42" i="2"/>
  <c r="CL36" i="2"/>
  <c r="CM36" i="2"/>
  <c r="CO37" i="2"/>
  <c r="CL37" i="2"/>
  <c r="CM37" i="2"/>
  <c r="CO38" i="2"/>
  <c r="CL38" i="2"/>
  <c r="CM38" i="2"/>
  <c r="CO39" i="2"/>
  <c r="CL39" i="2"/>
  <c r="CM39" i="2"/>
  <c r="CO40" i="2"/>
  <c r="CL40" i="2"/>
  <c r="CM40" i="2"/>
  <c r="CO41" i="2"/>
  <c r="CL41" i="2"/>
  <c r="CM41" i="2"/>
  <c r="CL42" i="2"/>
  <c r="CM42" i="2"/>
  <c r="CL43" i="2"/>
  <c r="CM43" i="2"/>
  <c r="CL44" i="2"/>
  <c r="CM44" i="2"/>
  <c r="CL45" i="2"/>
  <c r="CM45" i="2"/>
  <c r="CL46" i="2"/>
  <c r="CM46" i="2"/>
  <c r="CL47" i="2"/>
  <c r="CM47" i="2"/>
  <c r="CL48" i="2"/>
  <c r="CM48" i="2"/>
  <c r="CL49" i="2"/>
  <c r="CM49" i="2"/>
  <c r="CL50" i="2"/>
  <c r="CM50" i="2"/>
  <c r="CL51" i="2"/>
  <c r="CM51" i="2"/>
  <c r="CL52" i="2"/>
  <c r="CM52" i="2"/>
  <c r="CL53" i="2"/>
  <c r="CM53" i="2"/>
  <c r="CL54" i="2"/>
  <c r="CM54" i="2"/>
  <c r="CL55" i="2"/>
  <c r="CM55" i="2"/>
  <c r="CL56" i="2"/>
  <c r="CM56" i="2"/>
  <c r="CL57" i="2"/>
  <c r="CM57" i="2"/>
  <c r="CL58" i="2"/>
  <c r="CM58" i="2"/>
  <c r="CL59" i="2"/>
  <c r="CM59" i="2"/>
  <c r="CL60" i="2"/>
  <c r="CM60" i="2"/>
  <c r="CL61" i="2"/>
  <c r="CM61" i="2"/>
  <c r="CL62" i="2"/>
  <c r="CM62" i="2"/>
  <c r="CL63" i="2"/>
  <c r="CM63" i="2"/>
  <c r="CL64" i="2"/>
  <c r="CM64" i="2"/>
  <c r="CL65" i="2"/>
  <c r="CM65" i="2"/>
  <c r="CL66" i="2"/>
  <c r="CM66" i="2"/>
  <c r="CL67" i="2"/>
  <c r="CM67" i="2"/>
  <c r="AB67" i="2"/>
  <c r="AC67" i="2"/>
  <c r="AB68" i="2"/>
  <c r="AC68" i="2"/>
  <c r="B67" i="2"/>
  <c r="Y67" i="2"/>
  <c r="B68" i="2"/>
  <c r="Y68" i="2"/>
  <c r="B42" i="2"/>
  <c r="Y42" i="2"/>
  <c r="Z42" i="2"/>
  <c r="B43" i="2"/>
  <c r="Y43" i="2"/>
  <c r="Z43" i="2"/>
  <c r="B44" i="2"/>
  <c r="Y44" i="2"/>
  <c r="Z44" i="2"/>
  <c r="B45" i="2"/>
  <c r="Y45" i="2"/>
  <c r="Z45" i="2"/>
  <c r="B46" i="2"/>
  <c r="Y46" i="2"/>
  <c r="Z46" i="2"/>
  <c r="B47" i="2"/>
  <c r="Y47" i="2"/>
  <c r="Z47" i="2"/>
  <c r="B48" i="2"/>
  <c r="Y48" i="2"/>
  <c r="Z48" i="2"/>
  <c r="B49" i="2"/>
  <c r="Y49" i="2"/>
  <c r="Z49" i="2"/>
  <c r="B50" i="2"/>
  <c r="Y50" i="2"/>
  <c r="Z50" i="2"/>
  <c r="B51" i="2"/>
  <c r="Y51" i="2"/>
  <c r="Z51" i="2"/>
  <c r="B52" i="2"/>
  <c r="Y52" i="2"/>
  <c r="Z52" i="2"/>
  <c r="B53" i="2"/>
  <c r="Y53" i="2"/>
  <c r="Z53" i="2"/>
  <c r="B54" i="2"/>
  <c r="Y54" i="2"/>
  <c r="Z54" i="2"/>
  <c r="B55" i="2"/>
  <c r="Y55" i="2"/>
  <c r="Z55" i="2"/>
  <c r="B56" i="2"/>
  <c r="Y56" i="2"/>
  <c r="Z56" i="2"/>
  <c r="B57" i="2"/>
  <c r="Y57" i="2"/>
  <c r="Z57" i="2"/>
  <c r="B58" i="2"/>
  <c r="Y58" i="2"/>
  <c r="Z58" i="2"/>
  <c r="B59" i="2"/>
  <c r="Y59" i="2"/>
  <c r="Z59" i="2"/>
  <c r="B60" i="2"/>
  <c r="Y60" i="2"/>
  <c r="Z60" i="2"/>
  <c r="B61" i="2"/>
  <c r="Y61" i="2"/>
  <c r="Z61" i="2"/>
  <c r="B62" i="2"/>
  <c r="Y62" i="2"/>
  <c r="Z62" i="2"/>
  <c r="B63" i="2"/>
  <c r="Y63" i="2"/>
  <c r="Z63" i="2"/>
  <c r="B64" i="2"/>
  <c r="Y64" i="2"/>
  <c r="Z64" i="2"/>
  <c r="B65" i="2"/>
  <c r="Y65" i="2"/>
  <c r="Z65" i="2"/>
  <c r="Z67" i="2"/>
  <c r="Z68" i="2"/>
  <c r="B66" i="2"/>
  <c r="Y66" i="2"/>
  <c r="Z66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44" i="2"/>
  <c r="L43" i="2"/>
  <c r="L42" i="2"/>
  <c r="S52" i="37"/>
  <c r="S53" i="37"/>
  <c r="S54" i="37"/>
  <c r="S55" i="37"/>
  <c r="S56" i="37"/>
  <c r="S57" i="37"/>
  <c r="S58" i="37"/>
  <c r="S59" i="37"/>
  <c r="S60" i="37"/>
  <c r="S61" i="37"/>
  <c r="S62" i="37"/>
  <c r="S63" i="37"/>
  <c r="S64" i="37"/>
  <c r="S65" i="37"/>
  <c r="S66" i="37"/>
  <c r="S67" i="37"/>
  <c r="S68" i="37"/>
  <c r="S69" i="37"/>
  <c r="S70" i="37"/>
  <c r="S71" i="37"/>
  <c r="S72" i="37"/>
  <c r="S73" i="37"/>
  <c r="S74" i="37"/>
  <c r="S75" i="37"/>
  <c r="S76" i="37"/>
  <c r="S77" i="37"/>
  <c r="S78" i="37"/>
  <c r="S79" i="37"/>
  <c r="S80" i="37"/>
  <c r="S81" i="37"/>
  <c r="S82" i="37"/>
  <c r="S83" i="37"/>
  <c r="S84" i="37"/>
  <c r="S85" i="37"/>
  <c r="S51" i="37"/>
  <c r="F27" i="2"/>
  <c r="F28" i="2"/>
  <c r="F29" i="2"/>
  <c r="F30" i="2"/>
  <c r="F31" i="2"/>
  <c r="F32" i="2"/>
  <c r="F36" i="2"/>
  <c r="O46" i="37"/>
  <c r="P46" i="37"/>
  <c r="O47" i="37"/>
  <c r="P47" i="37"/>
  <c r="O48" i="37"/>
  <c r="P48" i="37"/>
  <c r="O49" i="37"/>
  <c r="P49" i="37"/>
  <c r="O50" i="37"/>
  <c r="P50" i="37"/>
  <c r="O51" i="37"/>
  <c r="P51" i="37"/>
  <c r="O52" i="37"/>
  <c r="P52" i="37"/>
  <c r="O53" i="37"/>
  <c r="P53" i="37"/>
  <c r="O54" i="37"/>
  <c r="P54" i="37"/>
  <c r="O55" i="37"/>
  <c r="P55" i="37"/>
  <c r="O56" i="37"/>
  <c r="P56" i="37"/>
  <c r="O57" i="37"/>
  <c r="P57" i="37"/>
  <c r="O58" i="37"/>
  <c r="P58" i="37"/>
  <c r="O59" i="37"/>
  <c r="P59" i="37"/>
  <c r="O60" i="37"/>
  <c r="P60" i="37"/>
  <c r="O61" i="37"/>
  <c r="P61" i="37"/>
  <c r="O62" i="37"/>
  <c r="P62" i="37"/>
  <c r="O63" i="37"/>
  <c r="P63" i="37"/>
  <c r="O64" i="37"/>
  <c r="P64" i="37"/>
  <c r="O65" i="37"/>
  <c r="P65" i="37"/>
  <c r="O66" i="37"/>
  <c r="P66" i="37"/>
  <c r="O67" i="37"/>
  <c r="P67" i="37"/>
  <c r="O68" i="37"/>
  <c r="P68" i="37"/>
  <c r="O69" i="37"/>
  <c r="P69" i="37"/>
  <c r="O70" i="37"/>
  <c r="P70" i="37"/>
  <c r="O71" i="37"/>
  <c r="P71" i="37"/>
  <c r="O72" i="37"/>
  <c r="P72" i="37"/>
  <c r="O73" i="37"/>
  <c r="P73" i="37"/>
  <c r="O74" i="37"/>
  <c r="P74" i="37"/>
  <c r="O75" i="37"/>
  <c r="P75" i="37"/>
  <c r="O76" i="37"/>
  <c r="P76" i="37"/>
  <c r="O77" i="37"/>
  <c r="P77" i="37"/>
  <c r="O78" i="37"/>
  <c r="P78" i="37"/>
  <c r="O79" i="37"/>
  <c r="P79" i="37"/>
  <c r="O80" i="37"/>
  <c r="P80" i="37"/>
  <c r="O81" i="37"/>
  <c r="P81" i="37"/>
  <c r="O82" i="37"/>
  <c r="P82" i="37"/>
  <c r="O83" i="37"/>
  <c r="P83" i="37"/>
  <c r="O84" i="37"/>
  <c r="P84" i="37"/>
  <c r="O85" i="37"/>
  <c r="P85" i="37"/>
  <c r="O45" i="37"/>
  <c r="P45" i="37"/>
  <c r="F11" i="2"/>
  <c r="BN32" i="2"/>
  <c r="F25" i="2"/>
  <c r="F14" i="2"/>
  <c r="F18" i="2"/>
  <c r="AD25" i="2"/>
  <c r="G9" i="29"/>
  <c r="G10" i="29"/>
  <c r="G11" i="29"/>
  <c r="G12" i="29"/>
  <c r="G13" i="29"/>
  <c r="N32" i="2"/>
  <c r="AB36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3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42" i="2"/>
  <c r="F52" i="2"/>
  <c r="F47" i="2"/>
  <c r="F42" i="2"/>
  <c r="G51" i="37"/>
  <c r="G130" i="37"/>
  <c r="G52" i="37"/>
  <c r="G131" i="37"/>
  <c r="G53" i="37"/>
  <c r="G132" i="37"/>
  <c r="G54" i="37"/>
  <c r="G133" i="37"/>
  <c r="G55" i="37"/>
  <c r="G134" i="37"/>
  <c r="G56" i="37"/>
  <c r="G135" i="37"/>
  <c r="G57" i="37"/>
  <c r="G136" i="37"/>
  <c r="G58" i="37"/>
  <c r="G137" i="37"/>
  <c r="G59" i="37"/>
  <c r="G138" i="37"/>
  <c r="G60" i="37"/>
  <c r="G139" i="37"/>
  <c r="G61" i="37"/>
  <c r="G140" i="37"/>
  <c r="G62" i="37"/>
  <c r="G141" i="37"/>
  <c r="G63" i="37"/>
  <c r="G142" i="37"/>
  <c r="G64" i="37"/>
  <c r="G143" i="37"/>
  <c r="G65" i="37"/>
  <c r="G144" i="37"/>
  <c r="G66" i="37"/>
  <c r="G145" i="37"/>
  <c r="G67" i="37"/>
  <c r="G146" i="37"/>
  <c r="G68" i="37"/>
  <c r="G147" i="37"/>
  <c r="G69" i="37"/>
  <c r="G148" i="37"/>
  <c r="G70" i="37"/>
  <c r="G149" i="37"/>
  <c r="G71" i="37"/>
  <c r="G150" i="37"/>
  <c r="G72" i="37"/>
  <c r="G151" i="37"/>
  <c r="G73" i="37"/>
  <c r="G152" i="37"/>
  <c r="G74" i="37"/>
  <c r="G153" i="37"/>
  <c r="G75" i="37"/>
  <c r="G154" i="37"/>
  <c r="G76" i="37"/>
  <c r="G155" i="37"/>
  <c r="G77" i="37"/>
  <c r="G156" i="37"/>
  <c r="G78" i="37"/>
  <c r="G157" i="37"/>
  <c r="G79" i="37"/>
  <c r="G158" i="37"/>
  <c r="G80" i="37"/>
  <c r="G159" i="37"/>
  <c r="B130" i="37"/>
  <c r="B131" i="37"/>
  <c r="B132" i="37"/>
  <c r="B133" i="37"/>
  <c r="B134" i="37"/>
  <c r="B135" i="37"/>
  <c r="B136" i="37"/>
  <c r="B137" i="37"/>
  <c r="B138" i="37"/>
  <c r="B139" i="37"/>
  <c r="B140" i="37"/>
  <c r="B141" i="37"/>
  <c r="B142" i="37"/>
  <c r="B143" i="37"/>
  <c r="B144" i="37"/>
  <c r="B145" i="37"/>
  <c r="B146" i="37"/>
  <c r="B147" i="37"/>
  <c r="B148" i="37"/>
  <c r="B149" i="37"/>
  <c r="B150" i="37"/>
  <c r="B151" i="37"/>
  <c r="B152" i="37"/>
  <c r="B153" i="37"/>
  <c r="B154" i="37"/>
  <c r="B155" i="37"/>
  <c r="B156" i="37"/>
  <c r="B157" i="37"/>
  <c r="B158" i="37"/>
  <c r="B159" i="37"/>
  <c r="B51" i="39"/>
  <c r="B130" i="39"/>
  <c r="G51" i="39"/>
  <c r="G130" i="39"/>
  <c r="B52" i="39"/>
  <c r="B131" i="39"/>
  <c r="G52" i="39"/>
  <c r="G131" i="39"/>
  <c r="B53" i="39"/>
  <c r="B132" i="39"/>
  <c r="G53" i="39"/>
  <c r="G132" i="39"/>
  <c r="B54" i="39"/>
  <c r="B133" i="39"/>
  <c r="G54" i="39"/>
  <c r="G133" i="39"/>
  <c r="B55" i="39"/>
  <c r="B134" i="39"/>
  <c r="G55" i="39"/>
  <c r="G134" i="39"/>
  <c r="B56" i="39"/>
  <c r="B135" i="39"/>
  <c r="G56" i="39"/>
  <c r="G135" i="39"/>
  <c r="B57" i="39"/>
  <c r="B136" i="39"/>
  <c r="G57" i="39"/>
  <c r="G136" i="39"/>
  <c r="B58" i="39"/>
  <c r="B137" i="39"/>
  <c r="G58" i="39"/>
  <c r="G137" i="39"/>
  <c r="B59" i="39"/>
  <c r="B138" i="39"/>
  <c r="G59" i="39"/>
  <c r="G138" i="39"/>
  <c r="B60" i="39"/>
  <c r="B139" i="39"/>
  <c r="G60" i="39"/>
  <c r="G139" i="39"/>
  <c r="B61" i="39"/>
  <c r="B140" i="39"/>
  <c r="G61" i="39"/>
  <c r="G140" i="39"/>
  <c r="B62" i="39"/>
  <c r="B141" i="39"/>
  <c r="G62" i="39"/>
  <c r="G141" i="39"/>
  <c r="B63" i="39"/>
  <c r="B142" i="39"/>
  <c r="G63" i="39"/>
  <c r="G142" i="39"/>
  <c r="B64" i="39"/>
  <c r="B143" i="39"/>
  <c r="G64" i="39"/>
  <c r="G143" i="39"/>
  <c r="B65" i="39"/>
  <c r="B144" i="39"/>
  <c r="G65" i="39"/>
  <c r="G144" i="39"/>
  <c r="B66" i="39"/>
  <c r="B145" i="39"/>
  <c r="G66" i="39"/>
  <c r="G145" i="39"/>
  <c r="B67" i="39"/>
  <c r="B146" i="39"/>
  <c r="G67" i="39"/>
  <c r="G146" i="39"/>
  <c r="B68" i="39"/>
  <c r="B147" i="39"/>
  <c r="G68" i="39"/>
  <c r="G147" i="39"/>
  <c r="B69" i="39"/>
  <c r="B148" i="39"/>
  <c r="G69" i="39"/>
  <c r="G148" i="39"/>
  <c r="B70" i="39"/>
  <c r="B149" i="39"/>
  <c r="G70" i="39"/>
  <c r="G149" i="39"/>
  <c r="B71" i="39"/>
  <c r="B150" i="39"/>
  <c r="G71" i="39"/>
  <c r="G150" i="39"/>
  <c r="B72" i="39"/>
  <c r="B151" i="39"/>
  <c r="G72" i="39"/>
  <c r="G151" i="39"/>
  <c r="B73" i="39"/>
  <c r="B152" i="39"/>
  <c r="G73" i="39"/>
  <c r="G152" i="39"/>
  <c r="B74" i="39"/>
  <c r="B153" i="39"/>
  <c r="G74" i="39"/>
  <c r="G153" i="39"/>
  <c r="B75" i="39"/>
  <c r="B154" i="39"/>
  <c r="G75" i="39"/>
  <c r="G154" i="39"/>
  <c r="B76" i="39"/>
  <c r="B155" i="39"/>
  <c r="G76" i="39"/>
  <c r="G155" i="39"/>
  <c r="B77" i="39"/>
  <c r="B156" i="39"/>
  <c r="G77" i="39"/>
  <c r="G156" i="39"/>
  <c r="B78" i="39"/>
  <c r="B157" i="39"/>
  <c r="G78" i="39"/>
  <c r="G157" i="39"/>
  <c r="B79" i="39"/>
  <c r="B158" i="39"/>
  <c r="G79" i="39"/>
  <c r="G158" i="39"/>
  <c r="B80" i="39"/>
  <c r="B159" i="39"/>
  <c r="G80" i="39"/>
  <c r="G159" i="39"/>
  <c r="H108" i="38"/>
  <c r="G29" i="38"/>
  <c r="G108" i="38"/>
  <c r="F108" i="38"/>
  <c r="D108" i="38"/>
  <c r="H107" i="38"/>
  <c r="G28" i="38"/>
  <c r="G107" i="38"/>
  <c r="F107" i="38"/>
  <c r="D107" i="38"/>
  <c r="H106" i="38"/>
  <c r="G27" i="38"/>
  <c r="G106" i="38"/>
  <c r="F106" i="38"/>
  <c r="D106" i="38"/>
  <c r="H105" i="38"/>
  <c r="G26" i="38"/>
  <c r="G105" i="38"/>
  <c r="F105" i="38"/>
  <c r="D105" i="38"/>
  <c r="H104" i="38"/>
  <c r="G25" i="38"/>
  <c r="G104" i="38"/>
  <c r="F104" i="38"/>
  <c r="D104" i="38"/>
  <c r="H103" i="38"/>
  <c r="G24" i="38"/>
  <c r="G103" i="38"/>
  <c r="F103" i="38"/>
  <c r="D103" i="38"/>
  <c r="H102" i="38"/>
  <c r="G23" i="38"/>
  <c r="G102" i="38"/>
  <c r="F102" i="38"/>
  <c r="D102" i="38"/>
  <c r="H101" i="38"/>
  <c r="G22" i="38"/>
  <c r="G101" i="38"/>
  <c r="F101" i="38"/>
  <c r="D101" i="38"/>
  <c r="G21" i="38"/>
  <c r="G100" i="38"/>
  <c r="F100" i="38"/>
  <c r="D100" i="38"/>
  <c r="D21" i="39"/>
  <c r="D100" i="39"/>
  <c r="F21" i="39"/>
  <c r="F100" i="39"/>
  <c r="G21" i="39"/>
  <c r="G100" i="39"/>
  <c r="D22" i="39"/>
  <c r="D101" i="39"/>
  <c r="F22" i="39"/>
  <c r="F101" i="39"/>
  <c r="G22" i="39"/>
  <c r="G101" i="39"/>
  <c r="H22" i="39"/>
  <c r="H101" i="39"/>
  <c r="D23" i="39"/>
  <c r="D102" i="39"/>
  <c r="F23" i="39"/>
  <c r="F102" i="39"/>
  <c r="G23" i="39"/>
  <c r="G102" i="39"/>
  <c r="H23" i="39"/>
  <c r="H102" i="39"/>
  <c r="D24" i="39"/>
  <c r="D103" i="39"/>
  <c r="F24" i="39"/>
  <c r="F103" i="39"/>
  <c r="G24" i="39"/>
  <c r="G103" i="39"/>
  <c r="H24" i="39"/>
  <c r="H103" i="39"/>
  <c r="D25" i="39"/>
  <c r="D104" i="39"/>
  <c r="F25" i="39"/>
  <c r="F104" i="39"/>
  <c r="G25" i="39"/>
  <c r="G104" i="39"/>
  <c r="H25" i="39"/>
  <c r="H104" i="39"/>
  <c r="D26" i="39"/>
  <c r="D105" i="39"/>
  <c r="F26" i="39"/>
  <c r="F105" i="39"/>
  <c r="G26" i="39"/>
  <c r="G105" i="39"/>
  <c r="H26" i="39"/>
  <c r="H105" i="39"/>
  <c r="D27" i="39"/>
  <c r="D106" i="39"/>
  <c r="F27" i="39"/>
  <c r="F106" i="39"/>
  <c r="G27" i="39"/>
  <c r="G106" i="39"/>
  <c r="H27" i="39"/>
  <c r="H106" i="39"/>
  <c r="D28" i="39"/>
  <c r="D107" i="39"/>
  <c r="F28" i="39"/>
  <c r="F107" i="39"/>
  <c r="G28" i="39"/>
  <c r="G107" i="39"/>
  <c r="H28" i="39"/>
  <c r="H107" i="39"/>
  <c r="D29" i="39"/>
  <c r="D108" i="39"/>
  <c r="F29" i="39"/>
  <c r="F108" i="39"/>
  <c r="G29" i="39"/>
  <c r="G108" i="39"/>
  <c r="H29" i="39"/>
  <c r="H108" i="39"/>
</calcChain>
</file>

<file path=xl/comments1.xml><?xml version="1.0" encoding="utf-8"?>
<comments xmlns="http://schemas.openxmlformats.org/spreadsheetml/2006/main">
  <authors>
    <author>Gabriel Zucman</author>
  </authors>
  <commentList>
    <comment ref="A13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June 30</t>
        </r>
      </text>
    </comment>
    <comment ref="G14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Wartime intragov loans</t>
        </r>
      </text>
    </comment>
  </commentList>
</comments>
</file>

<file path=xl/comments2.xml><?xml version="1.0" encoding="utf-8"?>
<comments xmlns="http://schemas.openxmlformats.org/spreadsheetml/2006/main">
  <authors>
    <author>Gabriel Zucman</author>
  </authors>
  <commentList>
    <comment ref="B12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Data for 1897</t>
        </r>
      </text>
    </comment>
    <comment ref="A13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June 30</t>
        </r>
      </text>
    </comment>
    <comment ref="G14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Wartime intragov loans</t>
        </r>
      </text>
    </comment>
  </commentList>
</comments>
</file>

<file path=xl/comments3.xml><?xml version="1.0" encoding="utf-8"?>
<comments xmlns="http://schemas.openxmlformats.org/spreadsheetml/2006/main">
  <authors>
    <author>Gabriel Zucman</author>
  </authors>
  <commentList>
    <comment ref="A13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June 30</t>
        </r>
      </text>
    </comment>
    <comment ref="D14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Includes 0.1 in gov liabilities (probably loans)</t>
        </r>
      </text>
    </comment>
  </commentList>
</comments>
</file>

<file path=xl/comments4.xml><?xml version="1.0" encoding="utf-8"?>
<comments xmlns="http://schemas.openxmlformats.org/spreadsheetml/2006/main">
  <authors>
    <author>Gabriel Zucman</author>
  </authors>
  <commentList>
    <comment ref="I18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Revised commerce figure, at year-end. The 2300 figure in US Treasury 1997 is probably not at year-end</t>
        </r>
      </text>
    </comment>
  </commentList>
</comments>
</file>

<file path=xl/sharedStrings.xml><?xml version="1.0" encoding="utf-8"?>
<sst xmlns="http://schemas.openxmlformats.org/spreadsheetml/2006/main" count="729" uniqueCount="226">
  <si>
    <t>Belgium and Luxembourg</t>
  </si>
  <si>
    <t>Ireland</t>
  </si>
  <si>
    <t>Switzerland</t>
  </si>
  <si>
    <t>Channel Islands and Isle of Man</t>
  </si>
  <si>
    <t>Panama</t>
  </si>
  <si>
    <t>Bahamas</t>
  </si>
  <si>
    <t>Bermuda</t>
  </si>
  <si>
    <t>British West Indies</t>
  </si>
  <si>
    <t>Cayman Islands</t>
  </si>
  <si>
    <t>Netherlands Antilles</t>
  </si>
  <si>
    <t>Hong-Kong</t>
  </si>
  <si>
    <t>Lebanon</t>
  </si>
  <si>
    <t>Malaysia</t>
  </si>
  <si>
    <t>Singapore</t>
  </si>
  <si>
    <t>Total</t>
  </si>
  <si>
    <t>Other</t>
  </si>
  <si>
    <t>equity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</si>
  <si>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</si>
  <si>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</si>
  <si>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</si>
  <si>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</si>
  <si>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</si>
  <si>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</si>
  <si>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</si>
  <si>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</si>
  <si>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</si>
  <si>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</si>
  <si>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</si>
  <si>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</si>
  <si>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</si>
  <si>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</si>
  <si>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 xml:space="preserve">. </t>
  </si>
  <si>
    <t>Industrial countries</t>
  </si>
  <si>
    <t>Emerging and developing</t>
  </si>
  <si>
    <t>Offshore financial centers</t>
  </si>
  <si>
    <t>Of which China</t>
  </si>
  <si>
    <t>Raw Data source</t>
  </si>
  <si>
    <t>Note</t>
  </si>
  <si>
    <t>Series</t>
  </si>
  <si>
    <t>Country code TIC</t>
  </si>
  <si>
    <t>Bertaut &amp; Tryon (2007)</t>
  </si>
  <si>
    <t>Total long term portfolio liabilities viz all countries, dec. 31</t>
  </si>
  <si>
    <t>Wilkins (2004)</t>
  </si>
  <si>
    <t>Total long-term portfolio liabilities</t>
  </si>
  <si>
    <t>1914, 1941: July, 1st. See DataWilkins.xls</t>
  </si>
  <si>
    <t>Total long term portfolio liabilities viz all countries</t>
  </si>
  <si>
    <t>TIC survey was at year end until from 74 to 94, before 74 don't know</t>
  </si>
  <si>
    <t>Total liabilities vis a vis other/unknown countries</t>
  </si>
  <si>
    <t>Long-term portfolio liabilities viz OFCs</t>
  </si>
  <si>
    <t>Of which: Switzerland</t>
  </si>
  <si>
    <t>Long-term portfolio liabilities viz industrial countries</t>
  </si>
  <si>
    <t>Long-term portfolio liabilities viz emerging countries</t>
  </si>
  <si>
    <t>long term debt</t>
  </si>
  <si>
    <t>international orga</t>
  </si>
  <si>
    <t>Total long term portfolio liabilities viz foreign official institutions, dec. 31</t>
  </si>
  <si>
    <t>[1']</t>
  </si>
  <si>
    <t>Unknown and IOs</t>
  </si>
  <si>
    <t>Long-term portfolio liabilities viz China</t>
  </si>
  <si>
    <t>Long-term portfolio liabilities viz Middle East oil exporters</t>
  </si>
  <si>
    <t>Of which Middle East oil exporters</t>
  </si>
  <si>
    <t>Private holdings</t>
  </si>
  <si>
    <t>Equity</t>
  </si>
  <si>
    <t>Sum of all countries + international organizations + country unknown</t>
  </si>
  <si>
    <t>OFCs: equities</t>
  </si>
  <si>
    <t>Equity liabilities vis a vis other/unknown countries</t>
  </si>
  <si>
    <t>Long term debt liabilities vis a vis other/unknown countries</t>
  </si>
  <si>
    <t>Of which: Middle East oil exporters</t>
  </si>
  <si>
    <t>Of which: China</t>
  </si>
  <si>
    <t>Equities</t>
  </si>
  <si>
    <t>[15]</t>
  </si>
  <si>
    <t>[16]</t>
  </si>
  <si>
    <t>U.S. equity stock market capitalization</t>
  </si>
  <si>
    <t>Equities in OFCs / U.S. equity market cap</t>
  </si>
  <si>
    <t>OFCs / Total private foreign investments</t>
  </si>
  <si>
    <t>U.S. portfolio equities owned by foreigners / U.S. equity market cap</t>
  </si>
  <si>
    <t>Short Term Debt</t>
  </si>
  <si>
    <t>[17]</t>
  </si>
  <si>
    <t>[18]</t>
  </si>
  <si>
    <t>[19]</t>
  </si>
  <si>
    <t>[20]</t>
  </si>
  <si>
    <t>[21]</t>
  </si>
  <si>
    <t>[22]</t>
  </si>
  <si>
    <t>[23]</t>
  </si>
  <si>
    <t>[24]</t>
  </si>
  <si>
    <t>U.S. Treasury 1997 Report</t>
  </si>
  <si>
    <t>For 74-78, Treasury Historical Data</t>
  </si>
  <si>
    <t>See formula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</si>
  <si>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</si>
  <si>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</si>
  <si>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</si>
  <si>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</si>
  <si>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</si>
  <si>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</si>
  <si>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</si>
  <si>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</si>
  <si>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</si>
  <si>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</si>
  <si>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Total short term debt liabilities</t>
  </si>
  <si>
    <t>TIC banking liabilities</t>
  </si>
  <si>
    <t>[63]</t>
  </si>
  <si>
    <t>[64]</t>
  </si>
  <si>
    <t>Private Holdings</t>
  </si>
  <si>
    <t>Public Holdings</t>
  </si>
  <si>
    <t>Emerging countries</t>
  </si>
  <si>
    <t>OFCs</t>
  </si>
  <si>
    <t>[67]</t>
  </si>
  <si>
    <t>International organizations</t>
  </si>
  <si>
    <t>Other Asia</t>
  </si>
  <si>
    <t>Other Asia = grosso modo Middle East oil between 81 and 2002 (then beginning in 2003, creation of Asian oil exp category, but no data on sec holdings)</t>
  </si>
  <si>
    <t>Hong Kong</t>
  </si>
  <si>
    <t>China</t>
  </si>
  <si>
    <t>Total S.T. Debt</t>
  </si>
  <si>
    <t xml:space="preserve">All long term securities </t>
  </si>
  <si>
    <t>[68]</t>
  </si>
  <si>
    <t>[69]</t>
  </si>
  <si>
    <t>[70]</t>
  </si>
  <si>
    <t>[71]</t>
  </si>
  <si>
    <t>[72]</t>
  </si>
  <si>
    <t>[100]</t>
  </si>
  <si>
    <t>OFCs: all long term securities</t>
  </si>
  <si>
    <t>Country Level Short Term Debt</t>
  </si>
  <si>
    <t>I put all other secs, trusts and estates in long term debt, as does the U.S. Treasury</t>
  </si>
  <si>
    <t>see formula</t>
  </si>
  <si>
    <t xml:space="preserve">In 74, the TIC Survey gave date on small OFCs such as Cyprus, Malta, Monaco etc. </t>
  </si>
  <si>
    <t>Liabilities</t>
  </si>
  <si>
    <t>Belgium &amp; Luxembourg</t>
  </si>
  <si>
    <t>Caribbean</t>
  </si>
  <si>
    <t>Singapore &amp; Hong Kong</t>
  </si>
  <si>
    <t>Ireland, Channel Islands &amp; Isle of Man</t>
  </si>
  <si>
    <t>n.a.</t>
  </si>
  <si>
    <t>Memo: Derivatives</t>
  </si>
  <si>
    <t>Memo: FDI at market value</t>
  </si>
  <si>
    <t>Memo: Gold</t>
  </si>
  <si>
    <t>Of which: Equity</t>
  </si>
  <si>
    <t>Of which: Long-term debt</t>
  </si>
  <si>
    <t>Of which: Short-term portfolio debt</t>
  </si>
  <si>
    <t>FDI at current cost</t>
  </si>
  <si>
    <t>Long-term portfolio</t>
  </si>
  <si>
    <t>Assets (excl. gold)</t>
  </si>
  <si>
    <t>TIC survey was at year end until from 74 to 94, before 74 don't know. Mistaken figure for 1970 (much too low; see FRB/IMA data)</t>
  </si>
  <si>
    <t>Memo: portfolio equity liabilities EWNII Dec. 2011</t>
  </si>
  <si>
    <t>Gap</t>
  </si>
  <si>
    <t>Memo: "Other official foreign assets", BEA IIP</t>
  </si>
  <si>
    <t>Memo: Corporate stocks held by private foreign investors, BEA IIP</t>
  </si>
  <si>
    <t>Implied Fraction of equities in Other official foreign assets</t>
  </si>
  <si>
    <t>June 2011</t>
  </si>
  <si>
    <t>Other liabilities</t>
  </si>
  <si>
    <t>June 2012</t>
  </si>
  <si>
    <t>Before 2011: Bertaut &amp; Tryon data for end December. 2011 and 2012: Results of  the 2012 TIC survey, published April 2013 (data as at June)</t>
  </si>
  <si>
    <t>Memo: ctry unknown + error</t>
  </si>
  <si>
    <t>Memo: BVI</t>
  </si>
  <si>
    <t>Luxembourg &amp; Belgium</t>
  </si>
  <si>
    <t>Unknown &amp; error</t>
  </si>
  <si>
    <t>Of which: foreign official institutions</t>
  </si>
  <si>
    <t>Bertaut &amp; Tryon (March 2012)</t>
  </si>
  <si>
    <t>(Last update: End of June 2013)</t>
  </si>
  <si>
    <t>74-78: TIC Liability Report for March 2000, p . 11; 84 onwards: Bertaut Tryon; 2011-12: 2012 TIC survey</t>
  </si>
  <si>
    <t>Country breakdown of long-term portfolio security liabilities</t>
  </si>
  <si>
    <t>OFCs: long-term debt</t>
  </si>
  <si>
    <t>In recent years 90% of this is Luxembourg</t>
  </si>
  <si>
    <t>In recent years, 90% is Luxembourg</t>
  </si>
  <si>
    <t>14-41: Wilkins; 74-78: Treasury Histo; 84-2010: Bertaut &amp; Tryon (2012); 2011-12: 2012 TIC</t>
  </si>
  <si>
    <t xml:space="preserve">2010-2011: assume same evolution as China + Middle East oil exporters. I put Japan in developing before 1974. </t>
  </si>
  <si>
    <t>Computed as a residual in 2011-2012 (see formula)</t>
  </si>
  <si>
    <t>All data in millions of US$, as at year end up to 2010, as at June 30 in 2011-12</t>
  </si>
  <si>
    <t>In recent years, Lux = 50 %, Belgium = 50%</t>
  </si>
  <si>
    <t>In this sheet: data from USliabilities.data, as generated by do_usliabilities.do. All raw sources are in the RawSources directory</t>
  </si>
  <si>
    <t>In recent years, Lux = 2/3; Belgium = 1/3</t>
  </si>
  <si>
    <t>Other assets</t>
  </si>
  <si>
    <t>Memo: Total portfolio debt</t>
  </si>
  <si>
    <t>Memo: National income</t>
  </si>
  <si>
    <t>billion of current US$</t>
  </si>
  <si>
    <t>% of national income</t>
  </si>
  <si>
    <t>Position data are as at December 31.</t>
  </si>
  <si>
    <t>Memo: Federal public debt owned by foreigners</t>
  </si>
  <si>
    <t>Position data are as at December 31, except portfolio positions for 2011 and 2012 which are as at June 30.</t>
  </si>
  <si>
    <t>Table T1: U.S. net international investment position, 1853-2012</t>
  </si>
  <si>
    <t>Table T2: U.S. gross international assets, 1853-2012</t>
  </si>
  <si>
    <t>Table T3: U.S. gross international liabilities, 1853-2012</t>
  </si>
  <si>
    <t>Net foreign asset position (excl. gold)</t>
  </si>
  <si>
    <t>Net FDI at current cost</t>
  </si>
  <si>
    <t>Net long-term portfolio</t>
  </si>
  <si>
    <t>Net other assets</t>
  </si>
  <si>
    <t>Memo: Net derivatives</t>
  </si>
  <si>
    <t>Position data are as at December 31, except portfolio liabilities positions  for 2011 and 2012 which are as at June 30.</t>
  </si>
  <si>
    <t>Official and Private Holdings</t>
  </si>
  <si>
    <t>Official holdings</t>
  </si>
  <si>
    <r>
      <rPr>
        <sz val="12"/>
        <rFont val="Arial"/>
      </rPr>
      <t xml:space="preserve">Official </t>
    </r>
    <r>
      <rPr>
        <sz val="12"/>
        <rFont val="Arial"/>
      </rPr>
      <t>holdings / Total</t>
    </r>
  </si>
  <si>
    <t>All securities (long term + short term)</t>
  </si>
  <si>
    <t>OFC</t>
  </si>
  <si>
    <t>Official holdings of US securities</t>
  </si>
  <si>
    <t>BEA's IIP</t>
  </si>
  <si>
    <t>Memo: Other foreign official assets</t>
  </si>
  <si>
    <t>Memo: U.S. liabilities reported by U.S. banks and securities brokers, not included elsewhere</t>
  </si>
  <si>
    <t>Equities?</t>
  </si>
  <si>
    <t>US government securities (short-term + long term)</t>
  </si>
  <si>
    <t>BEA IIP line</t>
  </si>
  <si>
    <t>Other debt securities</t>
  </si>
  <si>
    <t>Long-term debt</t>
  </si>
  <si>
    <t>Short-term debt</t>
  </si>
  <si>
    <t>Since 2003, for a number of countries we only know the total amount of TIC banking liabilities (short term portfolio + other banking liab), so for them short-term portfolio is set to 0. This is the case in particular for oil exporters, and for some smallish OFCs (eg Anguilla). My impression is that a large chunck (maybe 2/3) of this residual belongs to oil exporters</t>
  </si>
  <si>
    <t>See stats_stdebt_2011-12 for 2011-2012</t>
  </si>
  <si>
    <t>Of which: oil exporters (est.)</t>
  </si>
  <si>
    <t>Unknown &amp; IOs</t>
  </si>
  <si>
    <t>OFCs (excl. Switzerland) / Total private holdings</t>
  </si>
  <si>
    <t>Memo: total portfolio liabilities (bn US$)</t>
  </si>
  <si>
    <t>Of which: oil exporters</t>
  </si>
  <si>
    <t>All long-term securities</t>
  </si>
  <si>
    <t>Total long-term portfolio Investments from OFCs (bn USD)</t>
  </si>
  <si>
    <t>Total equity Investments from OFCs (bn USD)</t>
  </si>
  <si>
    <t>Total L.T. debt Investments from OFCs (bn USD)</t>
  </si>
  <si>
    <t>Total long-term portfolio liabilities (bn USD)</t>
  </si>
  <si>
    <t>Total private long-term portfolio liabilities (bn USD)</t>
  </si>
  <si>
    <t>Total portfolio equity liabilities (bn USD)</t>
  </si>
  <si>
    <t>Total L.T. debt liabilities (bn USD)</t>
  </si>
  <si>
    <t>Total private portfolio equity liabilities (bn USD)</t>
  </si>
  <si>
    <t>Total private L.T. debt liabilities (bn USD)</t>
  </si>
  <si>
    <t>Total OFCs</t>
  </si>
  <si>
    <t>Table T4: Foreign Holdings of U.S securities: Private vs. Official, 1914-2012</t>
  </si>
  <si>
    <t>Table T5: Foreign Holdings of U.S. Long-Term Securities, by Country Groups, 1914-2012 (bn USD)</t>
  </si>
  <si>
    <t>Table T6: Foreign Holdings of U.S. Long-Term Securities, by Country Groups, 1914-2012 (%)</t>
  </si>
  <si>
    <t>Table T7: Foreign Holdings of U.S. Short Term Securities, 1978-2012 (bn USD)</t>
  </si>
  <si>
    <t>Table T8: Foreign Holdings of U.S. Securities, by Country Groups, 1978-2012 (%)</t>
  </si>
  <si>
    <t>Table T9:  Offshore Holdings of U.S. Long-Term Securities 1941-2012 (% of offshore holdings)</t>
  </si>
  <si>
    <t>Table T10:  Offshore Holdings of U.S. Long-Term Securities 1941-2012 (% of foreign holdings)</t>
  </si>
  <si>
    <t>Table T11:  Offshore Holdings of U.S. Long-Term Securities 1941-2012 (% of private foreign holdings)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</si>
</sst>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\ ;\(\$#,##0\)"/>
    <numFmt numFmtId="165" formatCode="#,##0.0"/>
    <numFmt numFmtId="166" formatCode="0.0000"/>
    <numFmt numFmtId="167" formatCode="0.0"/>
  </numFmts>
  <fonts count="39" x14ac:knownFonts="1">
    <font>
      <sz val="12"/>
      <color theme="1"/>
      <name val="Calibri"/>
      <family val="2"/>
      <scheme val="minor"/>
    </font>
    <font>
      <sz val="12"/>
      <name val="Arial"/>
    </font>
    <font>
      <sz val="12"/>
      <name val="Arial"/>
    </font>
    <font>
      <sz val="12"/>
      <name val="Arial"/>
    </font>
    <font>
      <sz val="12"/>
      <color theme="1"/>
      <name val="Arial"/>
      <family val="2"/>
    </font>
    <font>
      <sz val="12"/>
      <name val="Arial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Verdana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</font>
    <font>
      <i/>
      <sz val="12"/>
      <name val="Arial"/>
    </font>
    <font>
      <sz val="12"/>
      <name val="Arial"/>
    </font>
    <font>
      <b/>
      <sz val="11"/>
      <name val="Arial"/>
    </font>
    <font>
      <sz val="12"/>
      <color indexed="24"/>
      <name val="Arial"/>
    </font>
    <font>
      <b/>
      <sz val="8"/>
      <color indexed="24"/>
      <name val="Times New Roman"/>
    </font>
    <font>
      <sz val="8"/>
      <color indexed="24"/>
      <name val="Times New Roman"/>
    </font>
    <font>
      <sz val="7"/>
      <name val="Helvetica"/>
    </font>
    <font>
      <sz val="12"/>
      <color theme="1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2"/>
      <color theme="1"/>
      <name val="Arial"/>
    </font>
    <font>
      <b/>
      <i/>
      <sz val="12"/>
      <name val="Arial"/>
    </font>
    <font>
      <b/>
      <sz val="12"/>
      <color theme="1"/>
      <name val="Arial"/>
      <family val="2"/>
    </font>
    <font>
      <u/>
      <sz val="10"/>
      <color theme="10"/>
      <name val="Arial"/>
    </font>
    <font>
      <sz val="8"/>
      <color theme="1"/>
      <name val="Arial"/>
    </font>
    <font>
      <u/>
      <sz val="8"/>
      <color theme="10"/>
      <name val="Arial"/>
    </font>
    <font>
      <i/>
      <sz val="8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sz val="8"/>
      <name val="Arial"/>
    </font>
    <font>
      <b/>
      <i/>
      <sz val="12"/>
      <color theme="1"/>
      <name val="Arial"/>
    </font>
    <font>
      <sz val="8"/>
      <name val="Calibri"/>
      <family val="2"/>
      <scheme val="minor"/>
    </font>
    <font>
      <sz val="12"/>
      <name val="Arial Narrow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2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1" fillId="0" borderId="15">
      <alignment horizontal="center"/>
    </xf>
    <xf numFmtId="2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5">
    <xf numFmtId="0" fontId="0" fillId="0" borderId="0" xfId="0"/>
    <xf numFmtId="0" fontId="9" fillId="0" borderId="0" xfId="108" applyBorder="1"/>
    <xf numFmtId="0" fontId="9" fillId="0" borderId="0" xfId="108" applyFill="1"/>
    <xf numFmtId="0" fontId="9" fillId="0" borderId="0" xfId="108"/>
    <xf numFmtId="0" fontId="10" fillId="0" borderId="0" xfId="108" applyFont="1"/>
    <xf numFmtId="0" fontId="11" fillId="0" borderId="0" xfId="109"/>
    <xf numFmtId="0" fontId="9" fillId="0" borderId="6" xfId="108" applyBorder="1"/>
    <xf numFmtId="0" fontId="9" fillId="0" borderId="7" xfId="108" applyFont="1" applyBorder="1"/>
    <xf numFmtId="0" fontId="9" fillId="0" borderId="0" xfId="108" applyFont="1" applyFill="1" applyBorder="1"/>
    <xf numFmtId="0" fontId="9" fillId="0" borderId="0" xfId="108" applyFont="1" applyBorder="1"/>
    <xf numFmtId="0" fontId="9" fillId="0" borderId="6" xfId="108" applyFont="1" applyBorder="1"/>
    <xf numFmtId="0" fontId="9" fillId="0" borderId="8" xfId="108" applyFont="1" applyFill="1" applyBorder="1" applyAlignment="1">
      <alignment horizontal="center"/>
    </xf>
    <xf numFmtId="0" fontId="9" fillId="0" borderId="8" xfId="108" applyFont="1" applyBorder="1" applyAlignment="1">
      <alignment horizontal="center"/>
    </xf>
    <xf numFmtId="0" fontId="9" fillId="0" borderId="0" xfId="108" applyBorder="1" applyAlignment="1">
      <alignment horizontal="center"/>
    </xf>
    <xf numFmtId="0" fontId="9" fillId="0" borderId="16" xfId="108" applyFont="1" applyBorder="1"/>
    <xf numFmtId="0" fontId="14" fillId="0" borderId="18" xfId="108" applyFont="1" applyBorder="1" applyAlignment="1">
      <alignment horizontal="center" vertical="center" wrapText="1"/>
    </xf>
    <xf numFmtId="3" fontId="9" fillId="0" borderId="0" xfId="108" applyNumberFormat="1"/>
    <xf numFmtId="3" fontId="9" fillId="0" borderId="0" xfId="108" applyNumberFormat="1" applyFill="1"/>
    <xf numFmtId="0" fontId="16" fillId="0" borderId="7" xfId="108" applyFont="1" applyBorder="1" applyAlignment="1">
      <alignment horizontal="left" vertical="center"/>
    </xf>
    <xf numFmtId="3" fontId="12" fillId="0" borderId="0" xfId="108" applyNumberFormat="1" applyFont="1" applyFill="1" applyBorder="1" applyAlignment="1">
      <alignment horizontal="center"/>
    </xf>
    <xf numFmtId="3" fontId="16" fillId="0" borderId="0" xfId="108" applyNumberFormat="1" applyFont="1" applyBorder="1" applyAlignment="1">
      <alignment horizontal="center"/>
    </xf>
    <xf numFmtId="0" fontId="9" fillId="0" borderId="0" xfId="108" applyFont="1" applyAlignment="1">
      <alignment horizontal="center"/>
    </xf>
    <xf numFmtId="0" fontId="9" fillId="0" borderId="0" xfId="108" applyFont="1" applyBorder="1" applyAlignment="1">
      <alignment horizontal="center"/>
    </xf>
    <xf numFmtId="3" fontId="16" fillId="0" borderId="0" xfId="108" applyNumberFormat="1" applyFont="1" applyFill="1" applyBorder="1" applyAlignment="1">
      <alignment horizontal="center"/>
    </xf>
    <xf numFmtId="3" fontId="16" fillId="0" borderId="14" xfId="108" applyNumberFormat="1" applyFont="1" applyBorder="1" applyAlignment="1">
      <alignment horizontal="center"/>
    </xf>
    <xf numFmtId="0" fontId="9" fillId="0" borderId="0" xfId="108" applyFont="1" applyFill="1" applyBorder="1" applyAlignment="1">
      <alignment horizontal="center"/>
    </xf>
    <xf numFmtId="0" fontId="15" fillId="0" borderId="10" xfId="108" applyFont="1" applyBorder="1" applyAlignment="1">
      <alignment horizontal="center" vertical="center" wrapText="1"/>
    </xf>
    <xf numFmtId="0" fontId="15" fillId="0" borderId="10" xfId="108" applyFont="1" applyBorder="1" applyAlignment="1">
      <alignment vertical="center" wrapText="1"/>
    </xf>
    <xf numFmtId="0" fontId="16" fillId="0" borderId="7" xfId="108" applyFont="1" applyBorder="1"/>
    <xf numFmtId="0" fontId="16" fillId="0" borderId="16" xfId="108" applyFont="1" applyBorder="1"/>
    <xf numFmtId="165" fontId="15" fillId="0" borderId="0" xfId="108" applyNumberFormat="1" applyFont="1" applyBorder="1" applyAlignment="1">
      <alignment horizontal="center"/>
    </xf>
    <xf numFmtId="3" fontId="15" fillId="0" borderId="0" xfId="108" applyNumberFormat="1" applyFont="1" applyBorder="1" applyAlignment="1">
      <alignment horizontal="center"/>
    </xf>
    <xf numFmtId="3" fontId="15" fillId="0" borderId="0" xfId="108" applyNumberFormat="1" applyFont="1" applyFill="1" applyBorder="1" applyAlignment="1">
      <alignment horizontal="center"/>
    </xf>
    <xf numFmtId="3" fontId="12" fillId="0" borderId="0" xfId="108" applyNumberFormat="1" applyFont="1" applyBorder="1" applyAlignment="1">
      <alignment horizontal="center"/>
    </xf>
    <xf numFmtId="0" fontId="16" fillId="0" borderId="23" xfId="108" applyFont="1" applyBorder="1" applyAlignment="1">
      <alignment horizontal="left" vertical="center"/>
    </xf>
    <xf numFmtId="3" fontId="12" fillId="0" borderId="2" xfId="108" applyNumberFormat="1" applyFont="1" applyFill="1" applyBorder="1" applyAlignment="1">
      <alignment horizontal="center"/>
    </xf>
    <xf numFmtId="3" fontId="15" fillId="0" borderId="2" xfId="108" applyNumberFormat="1" applyFont="1" applyFill="1" applyBorder="1" applyAlignment="1">
      <alignment horizontal="center"/>
    </xf>
    <xf numFmtId="3" fontId="12" fillId="0" borderId="2" xfId="108" applyNumberFormat="1" applyFont="1" applyBorder="1" applyAlignment="1">
      <alignment horizontal="center"/>
    </xf>
    <xf numFmtId="3" fontId="15" fillId="0" borderId="2" xfId="108" applyNumberFormat="1" applyFont="1" applyBorder="1" applyAlignment="1">
      <alignment horizontal="center"/>
    </xf>
    <xf numFmtId="0" fontId="9" fillId="0" borderId="6" xfId="108" applyFont="1" applyBorder="1" applyAlignment="1">
      <alignment horizontal="center"/>
    </xf>
    <xf numFmtId="0" fontId="9" fillId="0" borderId="10" xfId="108" applyFont="1" applyBorder="1" applyAlignment="1">
      <alignment horizontal="center" vertical="center" wrapText="1"/>
    </xf>
    <xf numFmtId="0" fontId="9" fillId="0" borderId="0" xfId="108" applyFill="1" applyBorder="1" applyAlignment="1">
      <alignment horizontal="center"/>
    </xf>
    <xf numFmtId="165" fontId="16" fillId="0" borderId="0" xfId="108" applyNumberFormat="1" applyFont="1" applyFill="1" applyBorder="1" applyAlignment="1">
      <alignment horizontal="center"/>
    </xf>
    <xf numFmtId="165" fontId="16" fillId="0" borderId="0" xfId="108" applyNumberFormat="1" applyFont="1" applyBorder="1" applyAlignment="1">
      <alignment horizontal="center"/>
    </xf>
    <xf numFmtId="3" fontId="16" fillId="0" borderId="2" xfId="108" applyNumberFormat="1" applyFont="1" applyFill="1" applyBorder="1" applyAlignment="1">
      <alignment horizontal="center"/>
    </xf>
    <xf numFmtId="3" fontId="16" fillId="0" borderId="2" xfId="108" applyNumberFormat="1" applyFont="1" applyBorder="1" applyAlignment="1">
      <alignment horizontal="center"/>
    </xf>
    <xf numFmtId="165" fontId="16" fillId="0" borderId="14" xfId="108" applyNumberFormat="1" applyFont="1" applyBorder="1" applyAlignment="1">
      <alignment horizontal="center"/>
    </xf>
    <xf numFmtId="165" fontId="16" fillId="0" borderId="14" xfId="108" applyNumberFormat="1" applyFont="1" applyFill="1" applyBorder="1" applyAlignment="1">
      <alignment horizontal="center"/>
    </xf>
    <xf numFmtId="3" fontId="16" fillId="0" borderId="24" xfId="108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9" fontId="16" fillId="0" borderId="0" xfId="1" applyFont="1" applyBorder="1" applyAlignment="1">
      <alignment horizontal="center"/>
    </xf>
    <xf numFmtId="9" fontId="16" fillId="0" borderId="0" xfId="1" applyFont="1" applyBorder="1"/>
    <xf numFmtId="0" fontId="15" fillId="0" borderId="18" xfId="0" applyFont="1" applyBorder="1" applyAlignment="1">
      <alignment horizontal="center" vertical="center" wrapText="1"/>
    </xf>
    <xf numFmtId="9" fontId="15" fillId="0" borderId="0" xfId="1" applyFont="1" applyBorder="1" applyAlignment="1">
      <alignment horizontal="center"/>
    </xf>
    <xf numFmtId="9" fontId="15" fillId="0" borderId="0" xfId="1" applyFont="1" applyBorder="1"/>
    <xf numFmtId="0" fontId="16" fillId="0" borderId="11" xfId="0" applyFont="1" applyBorder="1" applyAlignment="1">
      <alignment horizontal="center" vertical="center" wrapText="1"/>
    </xf>
    <xf numFmtId="0" fontId="15" fillId="0" borderId="19" xfId="108" applyFont="1" applyBorder="1" applyAlignment="1">
      <alignment horizontal="center" vertical="center" wrapText="1"/>
    </xf>
    <xf numFmtId="9" fontId="15" fillId="0" borderId="14" xfId="1" applyFont="1" applyBorder="1" applyAlignment="1">
      <alignment horizontal="center"/>
    </xf>
    <xf numFmtId="9" fontId="16" fillId="0" borderId="0" xfId="1" applyFont="1" applyFill="1" applyBorder="1" applyAlignment="1">
      <alignment horizontal="center"/>
    </xf>
    <xf numFmtId="0" fontId="10" fillId="0" borderId="6" xfId="108" applyFont="1" applyBorder="1"/>
    <xf numFmtId="0" fontId="9" fillId="0" borderId="6" xfId="108" applyBorder="1" applyAlignment="1">
      <alignment horizontal="center"/>
    </xf>
    <xf numFmtId="9" fontId="16" fillId="0" borderId="2" xfId="1" applyFont="1" applyBorder="1" applyAlignment="1">
      <alignment horizontal="center"/>
    </xf>
    <xf numFmtId="9" fontId="15" fillId="0" borderId="2" xfId="1" applyFont="1" applyBorder="1" applyAlignment="1">
      <alignment horizontal="center"/>
    </xf>
    <xf numFmtId="9" fontId="15" fillId="0" borderId="24" xfId="1" applyFont="1" applyBorder="1" applyAlignment="1">
      <alignment horizontal="center"/>
    </xf>
    <xf numFmtId="9" fontId="16" fillId="0" borderId="2" xfId="1" applyFont="1" applyFill="1" applyBorder="1" applyAlignment="1">
      <alignment horizontal="center"/>
    </xf>
    <xf numFmtId="3" fontId="15" fillId="0" borderId="14" xfId="108" applyNumberFormat="1" applyFont="1" applyBorder="1" applyAlignment="1">
      <alignment horizontal="center"/>
    </xf>
    <xf numFmtId="9" fontId="16" fillId="0" borderId="0" xfId="1" applyNumberFormat="1" applyFont="1" applyBorder="1" applyAlignment="1">
      <alignment horizontal="center"/>
    </xf>
    <xf numFmtId="9" fontId="15" fillId="0" borderId="0" xfId="1" applyNumberFormat="1" applyFont="1" applyBorder="1" applyAlignment="1">
      <alignment horizontal="center"/>
    </xf>
    <xf numFmtId="9" fontId="15" fillId="0" borderId="14" xfId="1" applyNumberFormat="1" applyFont="1" applyBorder="1" applyAlignment="1">
      <alignment horizontal="center"/>
    </xf>
    <xf numFmtId="9" fontId="9" fillId="0" borderId="0" xfId="1" applyFont="1"/>
    <xf numFmtId="9" fontId="12" fillId="0" borderId="0" xfId="1" applyFont="1" applyFill="1" applyBorder="1" applyAlignment="1">
      <alignment horizontal="center"/>
    </xf>
    <xf numFmtId="0" fontId="12" fillId="0" borderId="0" xfId="108" applyFont="1" applyFill="1" applyBorder="1" applyAlignment="1">
      <alignment horizontal="center" vertical="center" wrapText="1"/>
    </xf>
    <xf numFmtId="2" fontId="15" fillId="0" borderId="0" xfId="108" applyNumberFormat="1" applyFont="1" applyBorder="1" applyAlignment="1">
      <alignment horizontal="center" vertical="center" wrapText="1"/>
    </xf>
    <xf numFmtId="167" fontId="15" fillId="0" borderId="0" xfId="108" applyNumberFormat="1" applyFont="1" applyBorder="1" applyAlignment="1">
      <alignment horizontal="center" vertical="center" wrapText="1"/>
    </xf>
    <xf numFmtId="165" fontId="15" fillId="0" borderId="15" xfId="108" applyNumberFormat="1" applyFont="1" applyBorder="1" applyAlignment="1">
      <alignment horizontal="center"/>
    </xf>
    <xf numFmtId="3" fontId="15" fillId="0" borderId="15" xfId="108" applyNumberFormat="1" applyFont="1" applyBorder="1" applyAlignment="1">
      <alignment horizontal="center"/>
    </xf>
    <xf numFmtId="3" fontId="15" fillId="0" borderId="15" xfId="108" applyNumberFormat="1" applyFont="1" applyFill="1" applyBorder="1" applyAlignment="1">
      <alignment horizontal="center"/>
    </xf>
    <xf numFmtId="3" fontId="12" fillId="0" borderId="15" xfId="108" applyNumberFormat="1" applyFont="1" applyBorder="1" applyAlignment="1">
      <alignment horizontal="center"/>
    </xf>
    <xf numFmtId="3" fontId="12" fillId="0" borderId="42" xfId="108" applyNumberFormat="1" applyFont="1" applyBorder="1" applyAlignment="1">
      <alignment horizontal="center"/>
    </xf>
    <xf numFmtId="3" fontId="15" fillId="0" borderId="42" xfId="108" applyNumberFormat="1" applyFont="1" applyFill="1" applyBorder="1" applyAlignment="1">
      <alignment horizontal="center"/>
    </xf>
    <xf numFmtId="167" fontId="12" fillId="0" borderId="44" xfId="108" applyNumberFormat="1" applyFont="1" applyFill="1" applyBorder="1" applyAlignment="1">
      <alignment horizontal="center" vertical="center" wrapText="1"/>
    </xf>
    <xf numFmtId="165" fontId="12" fillId="0" borderId="44" xfId="108" applyNumberFormat="1" applyFont="1" applyFill="1" applyBorder="1" applyAlignment="1">
      <alignment horizontal="center"/>
    </xf>
    <xf numFmtId="3" fontId="12" fillId="0" borderId="44" xfId="108" applyNumberFormat="1" applyFont="1" applyFill="1" applyBorder="1" applyAlignment="1">
      <alignment horizontal="center"/>
    </xf>
    <xf numFmtId="3" fontId="12" fillId="0" borderId="46" xfId="108" applyNumberFormat="1" applyFont="1" applyFill="1" applyBorder="1" applyAlignment="1">
      <alignment horizontal="center"/>
    </xf>
    <xf numFmtId="3" fontId="12" fillId="0" borderId="47" xfId="108" applyNumberFormat="1" applyFont="1" applyFill="1" applyBorder="1" applyAlignment="1">
      <alignment horizontal="center"/>
    </xf>
    <xf numFmtId="0" fontId="14" fillId="0" borderId="0" xfId="108" applyFont="1" applyBorder="1"/>
    <xf numFmtId="167" fontId="25" fillId="0" borderId="0" xfId="0" applyNumberFormat="1" applyFont="1" applyBorder="1" applyAlignment="1">
      <alignment horizontal="center"/>
    </xf>
    <xf numFmtId="0" fontId="12" fillId="0" borderId="44" xfId="108" applyFont="1" applyFill="1" applyBorder="1" applyAlignment="1">
      <alignment horizontal="center" vertical="center" wrapText="1"/>
    </xf>
    <xf numFmtId="0" fontId="15" fillId="0" borderId="0" xfId="108" applyFont="1" applyBorder="1" applyAlignment="1">
      <alignment horizontal="center" vertical="center" wrapText="1"/>
    </xf>
    <xf numFmtId="0" fontId="15" fillId="0" borderId="14" xfId="108" applyFont="1" applyBorder="1" applyAlignment="1">
      <alignment horizontal="center" vertical="center" wrapText="1"/>
    </xf>
    <xf numFmtId="0" fontId="15" fillId="0" borderId="15" xfId="108" applyFont="1" applyBorder="1" applyAlignment="1">
      <alignment horizontal="center" vertical="center" wrapText="1"/>
    </xf>
    <xf numFmtId="0" fontId="15" fillId="0" borderId="0" xfId="108" applyFont="1" applyFill="1" applyBorder="1" applyAlignment="1">
      <alignment horizontal="center" vertical="center" wrapText="1"/>
    </xf>
    <xf numFmtId="0" fontId="4" fillId="0" borderId="0" xfId="0" applyFont="1"/>
    <xf numFmtId="0" fontId="27" fillId="0" borderId="0" xfId="0" applyFont="1"/>
    <xf numFmtId="0" fontId="28" fillId="0" borderId="0" xfId="188" applyFont="1" applyAlignment="1">
      <alignment horizontal="center" vertical="center" wrapText="1"/>
    </xf>
    <xf numFmtId="0" fontId="4" fillId="0" borderId="0" xfId="0" applyFont="1" applyFill="1"/>
    <xf numFmtId="0" fontId="25" fillId="0" borderId="0" xfId="0" applyFont="1"/>
    <xf numFmtId="0" fontId="29" fillId="0" borderId="0" xfId="0" applyFont="1" applyAlignment="1">
      <alignment horizontal="center" vertical="center" wrapText="1"/>
    </xf>
    <xf numFmtId="0" fontId="30" fillId="0" borderId="0" xfId="188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/>
    <xf numFmtId="3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32" fillId="0" borderId="0" xfId="1" applyNumberFormat="1" applyFont="1" applyAlignment="1">
      <alignment horizontal="center"/>
    </xf>
    <xf numFmtId="0" fontId="32" fillId="0" borderId="0" xfId="0" applyFont="1" applyFill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5" fillId="0" borderId="8" xfId="108" applyFont="1" applyFill="1" applyBorder="1" applyAlignment="1">
      <alignment horizontal="center"/>
    </xf>
    <xf numFmtId="0" fontId="35" fillId="0" borderId="8" xfId="108" applyFont="1" applyBorder="1" applyAlignment="1">
      <alignment horizontal="center"/>
    </xf>
    <xf numFmtId="0" fontId="36" fillId="0" borderId="0" xfId="0" applyFont="1"/>
    <xf numFmtId="0" fontId="29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3" fontId="32" fillId="0" borderId="0" xfId="0" applyNumberFormat="1" applyFont="1"/>
    <xf numFmtId="167" fontId="12" fillId="0" borderId="44" xfId="108" applyNumberFormat="1" applyFont="1" applyBorder="1" applyAlignment="1">
      <alignment horizontal="center" vertical="center" wrapText="1"/>
    </xf>
    <xf numFmtId="165" fontId="12" fillId="0" borderId="44" xfId="108" applyNumberFormat="1" applyFont="1" applyBorder="1" applyAlignment="1">
      <alignment horizontal="center"/>
    </xf>
    <xf numFmtId="3" fontId="12" fillId="0" borderId="44" xfId="108" applyNumberFormat="1" applyFont="1" applyBorder="1" applyAlignment="1">
      <alignment horizontal="center"/>
    </xf>
    <xf numFmtId="3" fontId="12" fillId="0" borderId="46" xfId="108" applyNumberFormat="1" applyFont="1" applyBorder="1" applyAlignment="1">
      <alignment horizontal="center"/>
    </xf>
    <xf numFmtId="3" fontId="15" fillId="0" borderId="39" xfId="108" applyNumberFormat="1" applyFont="1" applyBorder="1" applyAlignment="1">
      <alignment horizontal="center"/>
    </xf>
    <xf numFmtId="167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65" fontId="15" fillId="0" borderId="14" xfId="108" applyNumberFormat="1" applyFont="1" applyBorder="1" applyAlignment="1">
      <alignment horizontal="center"/>
    </xf>
    <xf numFmtId="0" fontId="5" fillId="0" borderId="7" xfId="108" applyFont="1" applyBorder="1"/>
    <xf numFmtId="0" fontId="5" fillId="0" borderId="16" xfId="108" applyFont="1" applyBorder="1"/>
    <xf numFmtId="0" fontId="4" fillId="0" borderId="0" xfId="0" applyFont="1" applyAlignment="1">
      <alignment wrapText="1"/>
    </xf>
    <xf numFmtId="0" fontId="5" fillId="0" borderId="7" xfId="108" applyFont="1" applyBorder="1" applyAlignment="1">
      <alignment horizontal="center"/>
    </xf>
    <xf numFmtId="0" fontId="5" fillId="0" borderId="39" xfId="108" applyFont="1" applyFill="1" applyBorder="1" applyAlignment="1">
      <alignment horizontal="center" vertical="center" wrapText="1"/>
    </xf>
    <xf numFmtId="0" fontId="5" fillId="0" borderId="15" xfId="108" applyFont="1" applyBorder="1" applyAlignment="1">
      <alignment horizontal="center" vertical="center" wrapText="1"/>
    </xf>
    <xf numFmtId="0" fontId="5" fillId="0" borderId="15" xfId="108" applyFont="1" applyFill="1" applyBorder="1" applyAlignment="1">
      <alignment horizontal="center" vertical="center" wrapText="1"/>
    </xf>
    <xf numFmtId="166" fontId="5" fillId="0" borderId="0" xfId="108" applyNumberFormat="1" applyFont="1" applyBorder="1" applyAlignment="1">
      <alignment horizontal="center" vertical="center" wrapText="1"/>
    </xf>
    <xf numFmtId="167" fontId="5" fillId="0" borderId="15" xfId="108" applyNumberFormat="1" applyFont="1" applyFill="1" applyBorder="1" applyAlignment="1">
      <alignment horizontal="center" vertical="center" wrapText="1"/>
    </xf>
    <xf numFmtId="9" fontId="4" fillId="0" borderId="0" xfId="1" applyFont="1"/>
    <xf numFmtId="0" fontId="5" fillId="0" borderId="0" xfId="108" applyFont="1" applyFill="1" applyBorder="1" applyAlignment="1">
      <alignment horizontal="center" vertical="center" wrapText="1"/>
    </xf>
    <xf numFmtId="0" fontId="5" fillId="0" borderId="0" xfId="108" applyFont="1" applyBorder="1" applyAlignment="1">
      <alignment horizontal="center" vertical="center" wrapText="1"/>
    </xf>
    <xf numFmtId="167" fontId="5" fillId="0" borderId="15" xfId="108" applyNumberFormat="1" applyFont="1" applyBorder="1" applyAlignment="1">
      <alignment horizontal="center"/>
    </xf>
    <xf numFmtId="0" fontId="5" fillId="0" borderId="7" xfId="108" applyFont="1" applyBorder="1" applyAlignment="1">
      <alignment horizontal="center" vertical="center"/>
    </xf>
    <xf numFmtId="165" fontId="5" fillId="0" borderId="39" xfId="108" applyNumberFormat="1" applyFont="1" applyFill="1" applyBorder="1" applyAlignment="1">
      <alignment horizontal="center"/>
    </xf>
    <xf numFmtId="165" fontId="5" fillId="0" borderId="15" xfId="108" applyNumberFormat="1" applyFont="1" applyBorder="1" applyAlignment="1">
      <alignment horizontal="center"/>
    </xf>
    <xf numFmtId="165" fontId="5" fillId="0" borderId="15" xfId="108" applyNumberFormat="1" applyFont="1" applyFill="1" applyBorder="1" applyAlignment="1">
      <alignment horizontal="center"/>
    </xf>
    <xf numFmtId="3" fontId="5" fillId="0" borderId="39" xfId="108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5" fillId="0" borderId="39" xfId="108" applyNumberFormat="1" applyFont="1" applyFill="1" applyBorder="1" applyAlignment="1">
      <alignment horizontal="center"/>
    </xf>
    <xf numFmtId="3" fontId="5" fillId="0" borderId="15" xfId="108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7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5" fontId="4" fillId="0" borderId="0" xfId="0" applyNumberFormat="1" applyFont="1"/>
    <xf numFmtId="3" fontId="5" fillId="0" borderId="37" xfId="108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0" fontId="4" fillId="0" borderId="0" xfId="1" applyNumberFormat="1" applyFont="1"/>
    <xf numFmtId="1" fontId="4" fillId="0" borderId="0" xfId="0" applyNumberFormat="1" applyFont="1" applyBorder="1"/>
    <xf numFmtId="0" fontId="4" fillId="0" borderId="0" xfId="0" applyFont="1" applyBorder="1"/>
    <xf numFmtId="0" fontId="5" fillId="0" borderId="7" xfId="108" applyFont="1" applyFill="1" applyBorder="1" applyAlignment="1">
      <alignment horizontal="center" vertical="center"/>
    </xf>
    <xf numFmtId="0" fontId="5" fillId="0" borderId="23" xfId="108" applyFont="1" applyFill="1" applyBorder="1" applyAlignment="1">
      <alignment horizontal="center" vertical="center"/>
    </xf>
    <xf numFmtId="3" fontId="5" fillId="0" borderId="41" xfId="108" applyNumberFormat="1" applyFont="1" applyFill="1" applyBorder="1" applyAlignment="1">
      <alignment horizontal="center"/>
    </xf>
    <xf numFmtId="3" fontId="5" fillId="0" borderId="42" xfId="108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0" fontId="4" fillId="0" borderId="2" xfId="0" applyFont="1" applyBorder="1"/>
    <xf numFmtId="165" fontId="12" fillId="0" borderId="15" xfId="108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5" fillId="0" borderId="24" xfId="0" applyNumberFormat="1" applyFont="1" applyBorder="1" applyAlignment="1">
      <alignment horizontal="center"/>
    </xf>
    <xf numFmtId="0" fontId="12" fillId="0" borderId="10" xfId="108" applyFont="1" applyFill="1" applyBorder="1" applyAlignment="1">
      <alignment horizontal="center" vertical="center" wrapText="1"/>
    </xf>
    <xf numFmtId="3" fontId="5" fillId="0" borderId="0" xfId="108" applyNumberFormat="1" applyFont="1" applyFill="1" applyBorder="1" applyAlignment="1">
      <alignment horizontal="center" vertical="center" wrapText="1"/>
    </xf>
    <xf numFmtId="3" fontId="5" fillId="0" borderId="0" xfId="108" applyNumberFormat="1" applyFont="1" applyBorder="1" applyAlignment="1">
      <alignment horizontal="center" vertical="center" wrapText="1"/>
    </xf>
    <xf numFmtId="3" fontId="5" fillId="0" borderId="0" xfId="108" applyNumberFormat="1" applyFont="1" applyBorder="1" applyAlignment="1">
      <alignment horizontal="center"/>
    </xf>
    <xf numFmtId="3" fontId="5" fillId="0" borderId="0" xfId="108" applyNumberFormat="1" applyFont="1" applyFill="1" applyBorder="1" applyAlignment="1">
      <alignment horizontal="center"/>
    </xf>
    <xf numFmtId="3" fontId="5" fillId="0" borderId="2" xfId="108" applyNumberFormat="1" applyFont="1" applyFill="1" applyBorder="1" applyAlignment="1">
      <alignment horizontal="center"/>
    </xf>
    <xf numFmtId="9" fontId="12" fillId="0" borderId="44" xfId="108" applyNumberFormat="1" applyFont="1" applyFill="1" applyBorder="1" applyAlignment="1">
      <alignment horizontal="center" vertical="center" wrapText="1"/>
    </xf>
    <xf numFmtId="9" fontId="5" fillId="0" borderId="39" xfId="108" applyNumberFormat="1" applyFont="1" applyFill="1" applyBorder="1" applyAlignment="1">
      <alignment horizontal="center" vertical="center" wrapText="1"/>
    </xf>
    <xf numFmtId="9" fontId="15" fillId="0" borderId="0" xfId="108" applyNumberFormat="1" applyFont="1" applyBorder="1" applyAlignment="1">
      <alignment horizontal="center" vertical="center" wrapText="1"/>
    </xf>
    <xf numFmtId="9" fontId="5" fillId="0" borderId="15" xfId="108" applyNumberFormat="1" applyFont="1" applyFill="1" applyBorder="1" applyAlignment="1">
      <alignment horizontal="center" vertical="center" wrapText="1"/>
    </xf>
    <xf numFmtId="9" fontId="15" fillId="0" borderId="15" xfId="108" applyNumberFormat="1" applyFont="1" applyBorder="1" applyAlignment="1">
      <alignment horizontal="center" vertical="center" wrapText="1"/>
    </xf>
    <xf numFmtId="9" fontId="5" fillId="0" borderId="0" xfId="108" applyNumberFormat="1" applyFont="1" applyBorder="1" applyAlignment="1">
      <alignment horizontal="center" vertical="center" wrapText="1"/>
    </xf>
    <xf numFmtId="9" fontId="5" fillId="0" borderId="0" xfId="108" applyNumberFormat="1" applyFont="1" applyFill="1" applyBorder="1" applyAlignment="1">
      <alignment horizontal="center" vertical="center" wrapText="1"/>
    </xf>
    <xf numFmtId="9" fontId="15" fillId="0" borderId="0" xfId="108" applyNumberFormat="1" applyFont="1" applyFill="1" applyBorder="1" applyAlignment="1">
      <alignment horizontal="center" vertical="center" wrapText="1"/>
    </xf>
    <xf numFmtId="9" fontId="15" fillId="0" borderId="0" xfId="108" applyNumberFormat="1" applyFont="1" applyBorder="1" applyAlignment="1">
      <alignment horizontal="center"/>
    </xf>
    <xf numFmtId="9" fontId="15" fillId="0" borderId="15" xfId="108" applyNumberFormat="1" applyFont="1" applyBorder="1" applyAlignment="1">
      <alignment horizontal="center"/>
    </xf>
    <xf numFmtId="9" fontId="5" fillId="0" borderId="0" xfId="108" applyNumberFormat="1" applyFont="1" applyBorder="1" applyAlignment="1">
      <alignment horizontal="center"/>
    </xf>
    <xf numFmtId="9" fontId="12" fillId="0" borderId="44" xfId="108" applyNumberFormat="1" applyFont="1" applyFill="1" applyBorder="1" applyAlignment="1">
      <alignment horizontal="center"/>
    </xf>
    <xf numFmtId="9" fontId="5" fillId="0" borderId="39" xfId="108" applyNumberFormat="1" applyFont="1" applyFill="1" applyBorder="1" applyAlignment="1">
      <alignment horizontal="center"/>
    </xf>
    <xf numFmtId="9" fontId="5" fillId="0" borderId="15" xfId="108" applyNumberFormat="1" applyFont="1" applyFill="1" applyBorder="1" applyAlignment="1">
      <alignment horizontal="center"/>
    </xf>
    <xf numFmtId="9" fontId="12" fillId="0" borderId="15" xfId="108" applyNumberFormat="1" applyFont="1" applyBorder="1" applyAlignment="1">
      <alignment horizontal="center"/>
    </xf>
    <xf numFmtId="9" fontId="4" fillId="0" borderId="0" xfId="0" applyNumberFormat="1" applyFont="1"/>
    <xf numFmtId="9" fontId="12" fillId="0" borderId="46" xfId="108" applyNumberFormat="1" applyFont="1" applyFill="1" applyBorder="1" applyAlignment="1">
      <alignment horizontal="center"/>
    </xf>
    <xf numFmtId="9" fontId="5" fillId="0" borderId="37" xfId="108" applyNumberFormat="1" applyFont="1" applyFill="1" applyBorder="1" applyAlignment="1">
      <alignment horizontal="center"/>
    </xf>
    <xf numFmtId="9" fontId="15" fillId="0" borderId="0" xfId="108" applyNumberFormat="1" applyFont="1" applyFill="1" applyBorder="1" applyAlignment="1">
      <alignment horizontal="center"/>
    </xf>
    <xf numFmtId="9" fontId="15" fillId="0" borderId="15" xfId="108" applyNumberFormat="1" applyFont="1" applyFill="1" applyBorder="1" applyAlignment="1">
      <alignment horizontal="center"/>
    </xf>
    <xf numFmtId="9" fontId="5" fillId="0" borderId="0" xfId="108" applyNumberFormat="1" applyFont="1" applyFill="1" applyBorder="1" applyAlignment="1">
      <alignment horizontal="center"/>
    </xf>
    <xf numFmtId="9" fontId="12" fillId="0" borderId="47" xfId="108" applyNumberFormat="1" applyFont="1" applyFill="1" applyBorder="1" applyAlignment="1">
      <alignment horizontal="center"/>
    </xf>
    <xf numFmtId="9" fontId="5" fillId="0" borderId="41" xfId="108" applyNumberFormat="1" applyFont="1" applyFill="1" applyBorder="1" applyAlignment="1">
      <alignment horizontal="center"/>
    </xf>
    <xf numFmtId="9" fontId="12" fillId="0" borderId="42" xfId="108" applyNumberFormat="1" applyFont="1" applyBorder="1" applyAlignment="1">
      <alignment horizontal="center"/>
    </xf>
    <xf numFmtId="9" fontId="15" fillId="0" borderId="2" xfId="108" applyNumberFormat="1" applyFont="1" applyFill="1" applyBorder="1" applyAlignment="1">
      <alignment horizontal="center"/>
    </xf>
    <xf numFmtId="9" fontId="5" fillId="0" borderId="42" xfId="108" applyNumberFormat="1" applyFont="1" applyFill="1" applyBorder="1" applyAlignment="1">
      <alignment horizontal="center"/>
    </xf>
    <xf numFmtId="9" fontId="15" fillId="0" borderId="2" xfId="108" applyNumberFormat="1" applyFont="1" applyBorder="1" applyAlignment="1">
      <alignment horizontal="center"/>
    </xf>
    <xf numFmtId="9" fontId="15" fillId="0" borderId="42" xfId="108" applyNumberFormat="1" applyFont="1" applyFill="1" applyBorder="1" applyAlignment="1">
      <alignment horizontal="center"/>
    </xf>
    <xf numFmtId="9" fontId="5" fillId="0" borderId="6" xfId="108" applyNumberFormat="1" applyFont="1" applyBorder="1" applyAlignment="1">
      <alignment horizontal="center" vertical="center" wrapText="1"/>
    </xf>
    <xf numFmtId="9" fontId="5" fillId="0" borderId="6" xfId="108" applyNumberFormat="1" applyFont="1" applyFill="1" applyBorder="1" applyAlignment="1">
      <alignment horizontal="center" vertical="center" wrapText="1"/>
    </xf>
    <xf numFmtId="9" fontId="5" fillId="0" borderId="6" xfId="108" applyNumberFormat="1" applyFont="1" applyBorder="1" applyAlignment="1">
      <alignment horizontal="center"/>
    </xf>
    <xf numFmtId="9" fontId="5" fillId="0" borderId="6" xfId="108" applyNumberFormat="1" applyFont="1" applyFill="1" applyBorder="1" applyAlignment="1">
      <alignment horizontal="center"/>
    </xf>
    <xf numFmtId="9" fontId="5" fillId="0" borderId="25" xfId="108" applyNumberFormat="1" applyFont="1" applyFill="1" applyBorder="1" applyAlignment="1">
      <alignment horizontal="center"/>
    </xf>
    <xf numFmtId="9" fontId="12" fillId="0" borderId="15" xfId="108" applyNumberFormat="1" applyFont="1" applyBorder="1" applyAlignment="1">
      <alignment horizontal="center" vertical="center" wrapText="1"/>
    </xf>
    <xf numFmtId="9" fontId="12" fillId="0" borderId="15" xfId="108" applyNumberFormat="1" applyFont="1" applyFill="1" applyBorder="1" applyAlignment="1">
      <alignment horizontal="center" vertical="center" wrapText="1"/>
    </xf>
    <xf numFmtId="9" fontId="4" fillId="0" borderId="15" xfId="0" applyNumberFormat="1" applyFont="1" applyBorder="1"/>
    <xf numFmtId="165" fontId="15" fillId="0" borderId="54" xfId="108" applyNumberFormat="1" applyFont="1" applyBorder="1" applyAlignment="1">
      <alignment horizontal="center"/>
    </xf>
    <xf numFmtId="165" fontId="15" fillId="0" borderId="53" xfId="108" applyNumberFormat="1" applyFont="1" applyBorder="1" applyAlignment="1">
      <alignment horizontal="center"/>
    </xf>
    <xf numFmtId="3" fontId="5" fillId="0" borderId="54" xfId="108" applyNumberFormat="1" applyFont="1" applyBorder="1" applyAlignment="1">
      <alignment horizontal="center"/>
    </xf>
    <xf numFmtId="167" fontId="5" fillId="0" borderId="53" xfId="108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9" fontId="4" fillId="0" borderId="0" xfId="1" applyFont="1" applyBorder="1"/>
    <xf numFmtId="0" fontId="4" fillId="0" borderId="50" xfId="0" applyFont="1" applyBorder="1" applyAlignment="1">
      <alignment horizontal="center"/>
    </xf>
    <xf numFmtId="165" fontId="12" fillId="0" borderId="51" xfId="108" applyNumberFormat="1" applyFont="1" applyFill="1" applyBorder="1" applyAlignment="1">
      <alignment horizontal="center"/>
    </xf>
    <xf numFmtId="3" fontId="5" fillId="0" borderId="52" xfId="108" applyNumberFormat="1" applyFont="1" applyFill="1" applyBorder="1" applyAlignment="1">
      <alignment horizontal="center"/>
    </xf>
    <xf numFmtId="3" fontId="12" fillId="0" borderId="53" xfId="108" applyNumberFormat="1" applyFont="1" applyBorder="1" applyAlignment="1">
      <alignment horizontal="center"/>
    </xf>
    <xf numFmtId="3" fontId="15" fillId="0" borderId="54" xfId="108" applyNumberFormat="1" applyFont="1" applyBorder="1" applyAlignment="1">
      <alignment horizontal="center"/>
    </xf>
    <xf numFmtId="3" fontId="5" fillId="0" borderId="53" xfId="108" applyNumberFormat="1" applyFont="1" applyFill="1" applyBorder="1" applyAlignment="1">
      <alignment horizontal="center"/>
    </xf>
    <xf numFmtId="3" fontId="12" fillId="0" borderId="51" xfId="108" applyNumberFormat="1" applyFont="1" applyBorder="1" applyAlignment="1">
      <alignment horizontal="center"/>
    </xf>
    <xf numFmtId="3" fontId="15" fillId="0" borderId="52" xfId="108" applyNumberFormat="1" applyFont="1" applyBorder="1" applyAlignment="1">
      <alignment horizontal="center"/>
    </xf>
    <xf numFmtId="165" fontId="4" fillId="0" borderId="54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15" fillId="0" borderId="53" xfId="108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25" fillId="0" borderId="54" xfId="0" applyNumberFormat="1" applyFont="1" applyBorder="1" applyAlignment="1">
      <alignment horizontal="center"/>
    </xf>
    <xf numFmtId="0" fontId="4" fillId="0" borderId="54" xfId="0" applyFont="1" applyBorder="1"/>
    <xf numFmtId="9" fontId="4" fillId="0" borderId="54" xfId="1" applyFont="1" applyBorder="1"/>
    <xf numFmtId="0" fontId="5" fillId="0" borderId="50" xfId="108" applyFont="1" applyBorder="1" applyAlignment="1">
      <alignment horizontal="center" vertical="center"/>
    </xf>
    <xf numFmtId="165" fontId="5" fillId="0" borderId="52" xfId="108" applyNumberFormat="1" applyFont="1" applyFill="1" applyBorder="1" applyAlignment="1">
      <alignment horizontal="center"/>
    </xf>
    <xf numFmtId="165" fontId="5" fillId="0" borderId="53" xfId="108" applyNumberFormat="1" applyFont="1" applyBorder="1" applyAlignment="1">
      <alignment horizontal="center"/>
    </xf>
    <xf numFmtId="165" fontId="5" fillId="0" borderId="53" xfId="108" applyNumberFormat="1" applyFont="1" applyFill="1" applyBorder="1" applyAlignment="1">
      <alignment horizontal="center"/>
    </xf>
    <xf numFmtId="165" fontId="12" fillId="0" borderId="51" xfId="108" applyNumberFormat="1" applyFont="1" applyBorder="1" applyAlignment="1">
      <alignment horizontal="center"/>
    </xf>
    <xf numFmtId="3" fontId="5" fillId="0" borderId="52" xfId="108" applyNumberFormat="1" applyFont="1" applyBorder="1" applyAlignment="1">
      <alignment horizontal="center"/>
    </xf>
    <xf numFmtId="167" fontId="25" fillId="0" borderId="54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167" fontId="4" fillId="0" borderId="54" xfId="0" applyNumberFormat="1" applyFont="1" applyBorder="1" applyAlignment="1">
      <alignment horizontal="center"/>
    </xf>
    <xf numFmtId="167" fontId="25" fillId="0" borderId="55" xfId="0" applyNumberFormat="1" applyFont="1" applyBorder="1" applyAlignment="1">
      <alignment horizontal="center"/>
    </xf>
    <xf numFmtId="3" fontId="12" fillId="0" borderId="51" xfId="108" applyNumberFormat="1" applyFont="1" applyFill="1" applyBorder="1" applyAlignment="1">
      <alignment horizontal="center"/>
    </xf>
    <xf numFmtId="3" fontId="15" fillId="0" borderId="54" xfId="108" applyNumberFormat="1" applyFont="1" applyFill="1" applyBorder="1" applyAlignment="1">
      <alignment horizontal="center"/>
    </xf>
    <xf numFmtId="3" fontId="15" fillId="0" borderId="53" xfId="108" applyNumberFormat="1" applyFont="1" applyFill="1" applyBorder="1" applyAlignment="1">
      <alignment horizontal="center"/>
    </xf>
    <xf numFmtId="3" fontId="5" fillId="0" borderId="54" xfId="108" applyNumberFormat="1" applyFont="1" applyFill="1" applyBorder="1" applyAlignment="1">
      <alignment horizontal="center"/>
    </xf>
    <xf numFmtId="3" fontId="25" fillId="0" borderId="55" xfId="0" applyNumberFormat="1" applyFont="1" applyBorder="1" applyAlignment="1">
      <alignment horizontal="center"/>
    </xf>
    <xf numFmtId="1" fontId="4" fillId="0" borderId="54" xfId="0" applyNumberFormat="1" applyFont="1" applyBorder="1"/>
    <xf numFmtId="0" fontId="5" fillId="0" borderId="50" xfId="108" applyFont="1" applyFill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/>
    </xf>
    <xf numFmtId="9" fontId="12" fillId="0" borderId="51" xfId="108" applyNumberFormat="1" applyFont="1" applyFill="1" applyBorder="1" applyAlignment="1">
      <alignment horizontal="center"/>
    </xf>
    <xf numFmtId="9" fontId="5" fillId="0" borderId="52" xfId="108" applyNumberFormat="1" applyFont="1" applyFill="1" applyBorder="1" applyAlignment="1">
      <alignment horizontal="center"/>
    </xf>
    <xf numFmtId="9" fontId="12" fillId="0" borderId="53" xfId="108" applyNumberFormat="1" applyFont="1" applyBorder="1" applyAlignment="1">
      <alignment horizontal="center"/>
    </xf>
    <xf numFmtId="9" fontId="15" fillId="0" borderId="54" xfId="108" applyNumberFormat="1" applyFont="1" applyBorder="1" applyAlignment="1">
      <alignment horizontal="center"/>
    </xf>
    <xf numFmtId="9" fontId="5" fillId="0" borderId="53" xfId="108" applyNumberFormat="1" applyFont="1" applyFill="1" applyBorder="1" applyAlignment="1">
      <alignment horizontal="center"/>
    </xf>
    <xf numFmtId="9" fontId="15" fillId="0" borderId="53" xfId="108" applyNumberFormat="1" applyFont="1" applyBorder="1" applyAlignment="1">
      <alignment horizontal="center"/>
    </xf>
    <xf numFmtId="9" fontId="5" fillId="0" borderId="56" xfId="108" applyNumberFormat="1" applyFont="1" applyBorder="1" applyAlignment="1">
      <alignment horizontal="center"/>
    </xf>
    <xf numFmtId="9" fontId="15" fillId="0" borderId="54" xfId="108" applyNumberFormat="1" applyFont="1" applyFill="1" applyBorder="1" applyAlignment="1">
      <alignment horizontal="center"/>
    </xf>
    <xf numFmtId="9" fontId="15" fillId="0" borderId="53" xfId="108" applyNumberFormat="1" applyFont="1" applyFill="1" applyBorder="1" applyAlignment="1">
      <alignment horizontal="center"/>
    </xf>
    <xf numFmtId="9" fontId="5" fillId="0" borderId="56" xfId="108" applyNumberFormat="1" applyFont="1" applyFill="1" applyBorder="1" applyAlignment="1">
      <alignment horizontal="center"/>
    </xf>
    <xf numFmtId="3" fontId="5" fillId="0" borderId="6" xfId="108" applyNumberFormat="1" applyFont="1" applyBorder="1" applyAlignment="1">
      <alignment horizontal="center" vertical="center" wrapText="1"/>
    </xf>
    <xf numFmtId="3" fontId="5" fillId="0" borderId="6" xfId="108" applyNumberFormat="1" applyFont="1" applyFill="1" applyBorder="1" applyAlignment="1">
      <alignment horizontal="center" vertical="center" wrapText="1"/>
    </xf>
    <xf numFmtId="3" fontId="5" fillId="0" borderId="6" xfId="108" applyNumberFormat="1" applyFont="1" applyBorder="1" applyAlignment="1">
      <alignment horizontal="center"/>
    </xf>
    <xf numFmtId="3" fontId="5" fillId="0" borderId="56" xfId="108" applyNumberFormat="1" applyFont="1" applyBorder="1" applyAlignment="1">
      <alignment horizontal="center"/>
    </xf>
    <xf numFmtId="3" fontId="5" fillId="0" borderId="6" xfId="108" applyNumberFormat="1" applyFont="1" applyFill="1" applyBorder="1" applyAlignment="1">
      <alignment horizontal="center"/>
    </xf>
    <xf numFmtId="3" fontId="5" fillId="0" borderId="56" xfId="108" applyNumberFormat="1" applyFont="1" applyFill="1" applyBorder="1" applyAlignment="1">
      <alignment horizontal="center"/>
    </xf>
    <xf numFmtId="3" fontId="5" fillId="0" borderId="25" xfId="108" applyNumberFormat="1" applyFont="1" applyFill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167" fontId="5" fillId="0" borderId="54" xfId="108" applyNumberFormat="1" applyFont="1" applyBorder="1" applyAlignment="1">
      <alignment horizontal="center"/>
    </xf>
    <xf numFmtId="167" fontId="5" fillId="0" borderId="0" xfId="108" applyNumberFormat="1" applyFont="1" applyBorder="1" applyAlignment="1">
      <alignment horizontal="center"/>
    </xf>
    <xf numFmtId="165" fontId="5" fillId="0" borderId="0" xfId="108" applyNumberFormat="1" applyFont="1" applyBorder="1" applyAlignment="1">
      <alignment horizontal="center"/>
    </xf>
    <xf numFmtId="165" fontId="5" fillId="0" borderId="54" xfId="108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left" vertical="center"/>
    </xf>
    <xf numFmtId="165" fontId="12" fillId="0" borderId="53" xfId="108" applyNumberFormat="1" applyFont="1" applyBorder="1" applyAlignment="1">
      <alignment horizontal="center"/>
    </xf>
    <xf numFmtId="3" fontId="5" fillId="0" borderId="2" xfId="108" applyNumberFormat="1" applyFont="1" applyBorder="1" applyAlignment="1">
      <alignment horizontal="center"/>
    </xf>
    <xf numFmtId="0" fontId="13" fillId="0" borderId="0" xfId="109" applyFont="1" applyBorder="1" applyAlignment="1">
      <alignment horizontal="center" vertical="center"/>
    </xf>
    <xf numFmtId="165" fontId="5" fillId="0" borderId="0" xfId="108" applyNumberFormat="1" applyFont="1" applyFill="1" applyBorder="1" applyAlignment="1">
      <alignment horizontal="center"/>
    </xf>
    <xf numFmtId="0" fontId="9" fillId="0" borderId="0" xfId="108" applyFont="1" applyFill="1"/>
    <xf numFmtId="165" fontId="5" fillId="0" borderId="2" xfId="108" applyNumberFormat="1" applyFont="1" applyFill="1" applyBorder="1" applyAlignment="1">
      <alignment horizontal="center"/>
    </xf>
    <xf numFmtId="9" fontId="32" fillId="0" borderId="0" xfId="1" applyFont="1"/>
    <xf numFmtId="0" fontId="5" fillId="0" borderId="10" xfId="108" applyFont="1" applyFill="1" applyBorder="1" applyAlignment="1">
      <alignment horizontal="center" vertical="center" wrapText="1"/>
    </xf>
    <xf numFmtId="9" fontId="5" fillId="0" borderId="6" xfId="1" applyFont="1" applyBorder="1" applyAlignment="1">
      <alignment horizontal="center"/>
    </xf>
    <xf numFmtId="9" fontId="16" fillId="0" borderId="6" xfId="1" applyFont="1" applyBorder="1" applyAlignment="1">
      <alignment horizontal="center"/>
    </xf>
    <xf numFmtId="9" fontId="16" fillId="0" borderId="25" xfId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12" fillId="0" borderId="11" xfId="108" applyFont="1" applyFill="1" applyBorder="1" applyAlignment="1">
      <alignment horizontal="center" vertical="center" wrapText="1"/>
    </xf>
    <xf numFmtId="165" fontId="5" fillId="0" borderId="14" xfId="108" applyNumberFormat="1" applyFont="1" applyFill="1" applyBorder="1" applyAlignment="1">
      <alignment horizontal="center"/>
    </xf>
    <xf numFmtId="165" fontId="5" fillId="0" borderId="24" xfId="108" applyNumberFormat="1" applyFont="1" applyFill="1" applyBorder="1" applyAlignment="1">
      <alignment horizontal="center"/>
    </xf>
    <xf numFmtId="0" fontId="15" fillId="0" borderId="11" xfId="108" applyFont="1" applyBorder="1" applyAlignment="1">
      <alignment vertical="center" wrapText="1"/>
    </xf>
    <xf numFmtId="3" fontId="5" fillId="0" borderId="14" xfId="108" applyNumberFormat="1" applyFont="1" applyBorder="1" applyAlignment="1">
      <alignment horizontal="center"/>
    </xf>
    <xf numFmtId="3" fontId="15" fillId="0" borderId="24" xfId="108" applyNumberFormat="1" applyFont="1" applyBorder="1" applyAlignment="1">
      <alignment horizontal="center"/>
    </xf>
    <xf numFmtId="0" fontId="16" fillId="0" borderId="57" xfId="108" applyFont="1" applyBorder="1" applyAlignment="1">
      <alignment horizontal="left" vertical="center"/>
    </xf>
    <xf numFmtId="165" fontId="5" fillId="0" borderId="10" xfId="108" applyNumberFormat="1" applyFont="1" applyFill="1" applyBorder="1" applyAlignment="1">
      <alignment horizontal="center"/>
    </xf>
    <xf numFmtId="165" fontId="5" fillId="0" borderId="10" xfId="108" quotePrefix="1" applyNumberFormat="1" applyFont="1" applyFill="1" applyBorder="1" applyAlignment="1">
      <alignment horizontal="center"/>
    </xf>
    <xf numFmtId="165" fontId="5" fillId="0" borderId="11" xfId="108" applyNumberFormat="1" applyFont="1" applyFill="1" applyBorder="1" applyAlignment="1">
      <alignment horizontal="center"/>
    </xf>
    <xf numFmtId="165" fontId="15" fillId="0" borderId="21" xfId="108" applyNumberFormat="1" applyFont="1" applyBorder="1" applyAlignment="1">
      <alignment horizontal="center"/>
    </xf>
    <xf numFmtId="3" fontId="5" fillId="0" borderId="10" xfId="108" applyNumberFormat="1" applyFont="1" applyBorder="1" applyAlignment="1">
      <alignment horizontal="center"/>
    </xf>
    <xf numFmtId="165" fontId="15" fillId="0" borderId="10" xfId="108" applyNumberFormat="1" applyFont="1" applyBorder="1" applyAlignment="1">
      <alignment horizontal="center"/>
    </xf>
    <xf numFmtId="165" fontId="15" fillId="0" borderId="11" xfId="108" applyNumberFormat="1" applyFont="1" applyBorder="1" applyAlignment="1">
      <alignment horizontal="center"/>
    </xf>
    <xf numFmtId="3" fontId="15" fillId="0" borderId="10" xfId="108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9" fontId="16" fillId="0" borderId="12" xfId="1" applyFont="1" applyBorder="1" applyAlignment="1">
      <alignment horizontal="center"/>
    </xf>
    <xf numFmtId="0" fontId="16" fillId="0" borderId="50" xfId="108" applyFont="1" applyBorder="1" applyAlignment="1">
      <alignment horizontal="left" vertical="center"/>
    </xf>
    <xf numFmtId="165" fontId="5" fillId="0" borderId="54" xfId="108" applyNumberFormat="1" applyFont="1" applyFill="1" applyBorder="1" applyAlignment="1">
      <alignment horizontal="center"/>
    </xf>
    <xf numFmtId="165" fontId="5" fillId="0" borderId="55" xfId="108" applyNumberFormat="1" applyFont="1" applyFill="1" applyBorder="1" applyAlignment="1">
      <alignment horizontal="center"/>
    </xf>
    <xf numFmtId="0" fontId="9" fillId="0" borderId="54" xfId="108" applyBorder="1"/>
    <xf numFmtId="165" fontId="15" fillId="0" borderId="55" xfId="108" applyNumberFormat="1" applyFont="1" applyBorder="1" applyAlignment="1">
      <alignment horizontal="center"/>
    </xf>
    <xf numFmtId="165" fontId="26" fillId="0" borderId="54" xfId="108" applyNumberFormat="1" applyFont="1" applyFill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9" fontId="5" fillId="0" borderId="56" xfId="1" applyFont="1" applyBorder="1" applyAlignment="1">
      <alignment horizontal="center"/>
    </xf>
    <xf numFmtId="0" fontId="22" fillId="0" borderId="50" xfId="0" applyFont="1" applyBorder="1" applyAlignment="1">
      <alignment horizontal="left"/>
    </xf>
    <xf numFmtId="9" fontId="16" fillId="0" borderId="56" xfId="1" applyFont="1" applyBorder="1" applyAlignment="1">
      <alignment horizontal="center"/>
    </xf>
    <xf numFmtId="3" fontId="15" fillId="0" borderId="55" xfId="108" applyNumberFormat="1" applyFont="1" applyBorder="1" applyAlignment="1">
      <alignment horizontal="center"/>
    </xf>
    <xf numFmtId="3" fontId="12" fillId="0" borderId="54" xfId="108" applyNumberFormat="1" applyFont="1" applyBorder="1" applyAlignment="1">
      <alignment horizontal="center"/>
    </xf>
    <xf numFmtId="0" fontId="9" fillId="0" borderId="0" xfId="108" applyAlignment="1">
      <alignment horizontal="center"/>
    </xf>
    <xf numFmtId="0" fontId="16" fillId="0" borderId="57" xfId="108" applyFont="1" applyBorder="1" applyAlignment="1">
      <alignment horizontal="center" vertical="center"/>
    </xf>
    <xf numFmtId="0" fontId="16" fillId="0" borderId="7" xfId="108" applyFont="1" applyBorder="1" applyAlignment="1">
      <alignment horizontal="center" vertical="center"/>
    </xf>
    <xf numFmtId="0" fontId="16" fillId="0" borderId="50" xfId="108" applyFont="1" applyBorder="1" applyAlignment="1">
      <alignment horizontal="center" vertical="center"/>
    </xf>
    <xf numFmtId="0" fontId="22" fillId="0" borderId="5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6" fillId="0" borderId="23" xfId="108" applyFont="1" applyBorder="1" applyAlignment="1">
      <alignment horizontal="center" vertical="center"/>
    </xf>
    <xf numFmtId="9" fontId="9" fillId="0" borderId="0" xfId="108" applyNumberFormat="1"/>
    <xf numFmtId="3" fontId="12" fillId="0" borderId="10" xfId="108" applyNumberFormat="1" applyFont="1" applyFill="1" applyBorder="1" applyAlignment="1">
      <alignment horizontal="center"/>
    </xf>
    <xf numFmtId="165" fontId="16" fillId="0" borderId="10" xfId="108" applyNumberFormat="1" applyFont="1" applyBorder="1" applyAlignment="1">
      <alignment horizontal="center"/>
    </xf>
    <xf numFmtId="165" fontId="16" fillId="0" borderId="11" xfId="108" applyNumberFormat="1" applyFont="1" applyBorder="1" applyAlignment="1">
      <alignment horizontal="center"/>
    </xf>
    <xf numFmtId="165" fontId="16" fillId="0" borderId="10" xfId="108" applyNumberFormat="1" applyFont="1" applyFill="1" applyBorder="1" applyAlignment="1">
      <alignment horizontal="center"/>
    </xf>
    <xf numFmtId="3" fontId="12" fillId="0" borderId="54" xfId="108" applyNumberFormat="1" applyFont="1" applyFill="1" applyBorder="1" applyAlignment="1">
      <alignment horizontal="center"/>
    </xf>
    <xf numFmtId="165" fontId="16" fillId="0" borderId="54" xfId="108" applyNumberFormat="1" applyFont="1" applyBorder="1" applyAlignment="1">
      <alignment horizontal="center"/>
    </xf>
    <xf numFmtId="165" fontId="16" fillId="0" borderId="55" xfId="108" applyNumberFormat="1" applyFont="1" applyFill="1" applyBorder="1" applyAlignment="1">
      <alignment horizontal="center"/>
    </xf>
    <xf numFmtId="165" fontId="16" fillId="0" borderId="54" xfId="108" applyNumberFormat="1" applyFont="1" applyBorder="1" applyAlignment="1">
      <alignment horizontal="center" vertical="center" wrapText="1"/>
    </xf>
    <xf numFmtId="165" fontId="16" fillId="0" borderId="54" xfId="108" applyNumberFormat="1" applyFont="1" applyFill="1" applyBorder="1" applyAlignment="1">
      <alignment horizontal="center"/>
    </xf>
    <xf numFmtId="3" fontId="12" fillId="0" borderId="59" xfId="108" applyNumberFormat="1" applyFont="1" applyFill="1" applyBorder="1" applyAlignment="1">
      <alignment horizontal="center"/>
    </xf>
    <xf numFmtId="165" fontId="15" fillId="0" borderId="59" xfId="108" applyNumberFormat="1" applyFont="1" applyBorder="1" applyAlignment="1">
      <alignment horizontal="center"/>
    </xf>
    <xf numFmtId="165" fontId="16" fillId="0" borderId="59" xfId="108" applyNumberFormat="1" applyFont="1" applyBorder="1" applyAlignment="1">
      <alignment horizontal="center"/>
    </xf>
    <xf numFmtId="165" fontId="16" fillId="0" borderId="60" xfId="108" applyNumberFormat="1" applyFont="1" applyBorder="1" applyAlignment="1">
      <alignment horizontal="center"/>
    </xf>
    <xf numFmtId="165" fontId="15" fillId="0" borderId="59" xfId="108" applyNumberFormat="1" applyFont="1" applyFill="1" applyBorder="1" applyAlignment="1">
      <alignment horizontal="center"/>
    </xf>
    <xf numFmtId="3" fontId="16" fillId="0" borderId="54" xfId="108" applyNumberFormat="1" applyFont="1" applyBorder="1" applyAlignment="1">
      <alignment horizontal="center"/>
    </xf>
    <xf numFmtId="3" fontId="16" fillId="0" borderId="55" xfId="108" applyNumberFormat="1" applyFont="1" applyBorder="1" applyAlignment="1">
      <alignment horizontal="center"/>
    </xf>
    <xf numFmtId="3" fontId="16" fillId="0" borderId="54" xfId="108" applyNumberFormat="1" applyFont="1" applyFill="1" applyBorder="1" applyAlignment="1">
      <alignment horizontal="center"/>
    </xf>
    <xf numFmtId="3" fontId="15" fillId="0" borderId="59" xfId="108" applyNumberFormat="1" applyFont="1" applyBorder="1" applyAlignment="1">
      <alignment horizontal="center"/>
    </xf>
    <xf numFmtId="3" fontId="16" fillId="0" borderId="59" xfId="108" applyNumberFormat="1" applyFont="1" applyBorder="1" applyAlignment="1">
      <alignment horizontal="center"/>
    </xf>
    <xf numFmtId="3" fontId="16" fillId="0" borderId="60" xfId="108" applyNumberFormat="1" applyFont="1" applyBorder="1" applyAlignment="1">
      <alignment horizontal="center"/>
    </xf>
    <xf numFmtId="3" fontId="16" fillId="0" borderId="59" xfId="108" applyNumberFormat="1" applyFont="1" applyFill="1" applyBorder="1" applyAlignment="1">
      <alignment horizontal="center"/>
    </xf>
    <xf numFmtId="3" fontId="15" fillId="0" borderId="59" xfId="108" applyNumberFormat="1" applyFont="1" applyFill="1" applyBorder="1" applyAlignment="1">
      <alignment horizontal="center"/>
    </xf>
    <xf numFmtId="165" fontId="16" fillId="0" borderId="12" xfId="110" applyNumberFormat="1" applyFont="1" applyBorder="1" applyAlignment="1">
      <alignment horizontal="center"/>
    </xf>
    <xf numFmtId="165" fontId="16" fillId="0" borderId="6" xfId="110" applyNumberFormat="1" applyFont="1" applyBorder="1" applyAlignment="1">
      <alignment horizontal="center"/>
    </xf>
    <xf numFmtId="165" fontId="16" fillId="0" borderId="56" xfId="110" applyNumberFormat="1" applyFont="1" applyBorder="1" applyAlignment="1">
      <alignment horizontal="center"/>
    </xf>
    <xf numFmtId="165" fontId="16" fillId="0" borderId="61" xfId="110" applyNumberFormat="1" applyFont="1" applyBorder="1" applyAlignment="1">
      <alignment horizontal="center"/>
    </xf>
    <xf numFmtId="3" fontId="16" fillId="0" borderId="6" xfId="110" applyNumberFormat="1" applyFont="1" applyBorder="1" applyAlignment="1">
      <alignment horizontal="center"/>
    </xf>
    <xf numFmtId="3" fontId="16" fillId="0" borderId="56" xfId="110" applyNumberFormat="1" applyFont="1" applyBorder="1" applyAlignment="1">
      <alignment horizontal="center"/>
    </xf>
    <xf numFmtId="3" fontId="16" fillId="0" borderId="61" xfId="110" applyNumberFormat="1" applyFont="1" applyBorder="1" applyAlignment="1">
      <alignment horizontal="center"/>
    </xf>
    <xf numFmtId="3" fontId="16" fillId="0" borderId="25" xfId="110" applyNumberFormat="1" applyFont="1" applyBorder="1" applyAlignment="1">
      <alignment horizontal="center"/>
    </xf>
    <xf numFmtId="165" fontId="3" fillId="0" borderId="10" xfId="108" applyNumberFormat="1" applyFont="1" applyBorder="1" applyAlignment="1">
      <alignment horizontal="center"/>
    </xf>
    <xf numFmtId="165" fontId="3" fillId="0" borderId="0" xfId="108" applyNumberFormat="1" applyFont="1" applyBorder="1" applyAlignment="1">
      <alignment horizontal="center"/>
    </xf>
    <xf numFmtId="165" fontId="3" fillId="0" borderId="54" xfId="108" applyNumberFormat="1" applyFont="1" applyBorder="1" applyAlignment="1">
      <alignment horizontal="center"/>
    </xf>
    <xf numFmtId="165" fontId="3" fillId="0" borderId="59" xfId="108" applyNumberFormat="1" applyFont="1" applyBorder="1" applyAlignment="1">
      <alignment horizontal="center"/>
    </xf>
    <xf numFmtId="3" fontId="3" fillId="0" borderId="0" xfId="108" applyNumberFormat="1" applyFont="1" applyFill="1" applyBorder="1" applyAlignment="1">
      <alignment horizontal="center"/>
    </xf>
    <xf numFmtId="3" fontId="3" fillId="0" borderId="54" xfId="108" applyNumberFormat="1" applyFont="1" applyBorder="1" applyAlignment="1">
      <alignment horizontal="center"/>
    </xf>
    <xf numFmtId="3" fontId="3" fillId="0" borderId="59" xfId="108" applyNumberFormat="1" applyFont="1" applyBorder="1" applyAlignment="1">
      <alignment horizontal="center"/>
    </xf>
    <xf numFmtId="0" fontId="15" fillId="0" borderId="10" xfId="108" applyFont="1" applyBorder="1" applyAlignment="1">
      <alignment horizontal="center" vertical="center" wrapText="1"/>
    </xf>
    <xf numFmtId="0" fontId="15" fillId="0" borderId="19" xfId="108" applyFont="1" applyBorder="1" applyAlignment="1">
      <alignment horizontal="center" vertical="center" wrapText="1"/>
    </xf>
    <xf numFmtId="9" fontId="16" fillId="0" borderId="10" xfId="1" applyFont="1" applyBorder="1" applyAlignment="1">
      <alignment horizontal="center"/>
    </xf>
    <xf numFmtId="0" fontId="16" fillId="0" borderId="10" xfId="108" applyFont="1" applyBorder="1" applyAlignment="1">
      <alignment horizontal="center"/>
    </xf>
    <xf numFmtId="0" fontId="16" fillId="0" borderId="15" xfId="108" applyFont="1" applyBorder="1" applyAlignment="1">
      <alignment horizontal="center"/>
    </xf>
    <xf numFmtId="0" fontId="16" fillId="0" borderId="0" xfId="108" applyFont="1" applyBorder="1" applyAlignment="1">
      <alignment horizontal="center"/>
    </xf>
    <xf numFmtId="0" fontId="16" fillId="0" borderId="53" xfId="108" applyFont="1" applyBorder="1" applyAlignment="1">
      <alignment horizontal="center"/>
    </xf>
    <xf numFmtId="9" fontId="16" fillId="0" borderId="54" xfId="1" applyFont="1" applyBorder="1" applyAlignment="1">
      <alignment horizontal="center"/>
    </xf>
    <xf numFmtId="0" fontId="16" fillId="0" borderId="54" xfId="108" applyFont="1" applyBorder="1" applyAlignment="1">
      <alignment horizontal="center"/>
    </xf>
    <xf numFmtId="9" fontId="16" fillId="0" borderId="15" xfId="1" applyFont="1" applyBorder="1" applyAlignment="1">
      <alignment horizontal="center"/>
    </xf>
    <xf numFmtId="9" fontId="16" fillId="0" borderId="53" xfId="1" applyFont="1" applyBorder="1" applyAlignment="1">
      <alignment horizontal="center"/>
    </xf>
    <xf numFmtId="9" fontId="16" fillId="0" borderId="42" xfId="1" applyFont="1" applyBorder="1" applyAlignment="1">
      <alignment horizontal="center"/>
    </xf>
    <xf numFmtId="9" fontId="16" fillId="0" borderId="21" xfId="1" applyFont="1" applyBorder="1" applyAlignment="1">
      <alignment horizontal="center"/>
    </xf>
    <xf numFmtId="165" fontId="12" fillId="0" borderId="9" xfId="108" applyNumberFormat="1" applyFont="1" applyFill="1" applyBorder="1" applyAlignment="1">
      <alignment horizontal="center"/>
    </xf>
    <xf numFmtId="165" fontId="12" fillId="0" borderId="13" xfId="108" applyNumberFormat="1" applyFont="1" applyFill="1" applyBorder="1" applyAlignment="1">
      <alignment horizontal="center"/>
    </xf>
    <xf numFmtId="165" fontId="12" fillId="0" borderId="62" xfId="108" applyNumberFormat="1" applyFont="1" applyFill="1" applyBorder="1" applyAlignment="1">
      <alignment horizontal="center"/>
    </xf>
    <xf numFmtId="3" fontId="12" fillId="0" borderId="13" xfId="108" applyNumberFormat="1" applyFont="1" applyFill="1" applyBorder="1" applyAlignment="1">
      <alignment horizontal="center"/>
    </xf>
    <xf numFmtId="3" fontId="12" fillId="0" borderId="62" xfId="108" applyNumberFormat="1" applyFont="1" applyFill="1" applyBorder="1" applyAlignment="1">
      <alignment horizontal="center"/>
    </xf>
    <xf numFmtId="3" fontId="12" fillId="0" borderId="63" xfId="108" applyNumberFormat="1" applyFont="1" applyFill="1" applyBorder="1" applyAlignment="1">
      <alignment horizontal="center"/>
    </xf>
    <xf numFmtId="3" fontId="12" fillId="0" borderId="9" xfId="108" applyNumberFormat="1" applyFont="1" applyFill="1" applyBorder="1" applyAlignment="1">
      <alignment horizontal="center"/>
    </xf>
    <xf numFmtId="3" fontId="12" fillId="0" borderId="64" xfId="108" applyNumberFormat="1" applyFont="1" applyFill="1" applyBorder="1" applyAlignment="1">
      <alignment horizontal="center"/>
    </xf>
    <xf numFmtId="0" fontId="16" fillId="0" borderId="58" xfId="108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3" fontId="16" fillId="0" borderId="14" xfId="108" applyNumberFormat="1" applyFont="1" applyFill="1" applyBorder="1" applyAlignment="1">
      <alignment horizontal="center"/>
    </xf>
    <xf numFmtId="3" fontId="17" fillId="0" borderId="6" xfId="108" applyNumberFormat="1" applyFont="1" applyBorder="1" applyAlignment="1">
      <alignment horizontal="center"/>
    </xf>
    <xf numFmtId="9" fontId="16" fillId="0" borderId="14" xfId="1" applyFont="1" applyBorder="1" applyAlignment="1">
      <alignment horizontal="center"/>
    </xf>
    <xf numFmtId="9" fontId="16" fillId="0" borderId="24" xfId="1" applyFont="1" applyBorder="1" applyAlignment="1">
      <alignment horizontal="center"/>
    </xf>
    <xf numFmtId="9" fontId="15" fillId="0" borderId="54" xfId="1" applyFont="1" applyBorder="1" applyAlignment="1">
      <alignment horizontal="center"/>
    </xf>
    <xf numFmtId="9" fontId="15" fillId="0" borderId="55" xfId="1" applyFont="1" applyBorder="1" applyAlignment="1">
      <alignment horizontal="center"/>
    </xf>
    <xf numFmtId="9" fontId="16" fillId="0" borderId="54" xfId="1" applyFont="1" applyFill="1" applyBorder="1" applyAlignment="1">
      <alignment horizontal="center"/>
    </xf>
    <xf numFmtId="9" fontId="16" fillId="0" borderId="55" xfId="1" applyFont="1" applyBorder="1" applyAlignment="1">
      <alignment horizontal="center"/>
    </xf>
    <xf numFmtId="9" fontId="15" fillId="0" borderId="55" xfId="1" applyNumberFormat="1" applyFont="1" applyBorder="1" applyAlignment="1">
      <alignment horizontal="center"/>
    </xf>
    <xf numFmtId="9" fontId="15" fillId="0" borderId="54" xfId="1" applyFont="1" applyFill="1" applyBorder="1" applyAlignment="1">
      <alignment horizontal="center"/>
    </xf>
    <xf numFmtId="3" fontId="16" fillId="0" borderId="55" xfId="108" applyNumberFormat="1" applyFont="1" applyFill="1" applyBorder="1" applyAlignment="1">
      <alignment horizontal="center"/>
    </xf>
    <xf numFmtId="3" fontId="17" fillId="0" borderId="56" xfId="108" applyNumberFormat="1" applyFont="1" applyBorder="1" applyAlignment="1">
      <alignment horizontal="center"/>
    </xf>
    <xf numFmtId="165" fontId="2" fillId="0" borderId="10" xfId="108" applyNumberFormat="1" applyFont="1" applyBorder="1" applyAlignment="1">
      <alignment horizontal="center"/>
    </xf>
    <xf numFmtId="165" fontId="2" fillId="0" borderId="0" xfId="108" applyNumberFormat="1" applyFont="1" applyBorder="1" applyAlignment="1">
      <alignment horizontal="center"/>
    </xf>
    <xf numFmtId="165" fontId="2" fillId="0" borderId="54" xfId="108" applyNumberFormat="1" applyFont="1" applyBorder="1" applyAlignment="1">
      <alignment horizontal="center"/>
    </xf>
    <xf numFmtId="165" fontId="2" fillId="0" borderId="59" xfId="108" applyNumberFormat="1" applyFont="1" applyBorder="1" applyAlignment="1">
      <alignment horizontal="center"/>
    </xf>
    <xf numFmtId="165" fontId="2" fillId="0" borderId="0" xfId="108" applyNumberFormat="1" applyFont="1" applyFill="1" applyBorder="1" applyAlignment="1">
      <alignment horizontal="center"/>
    </xf>
    <xf numFmtId="3" fontId="2" fillId="0" borderId="54" xfId="108" applyNumberFormat="1" applyFont="1" applyBorder="1" applyAlignment="1">
      <alignment horizontal="center"/>
    </xf>
    <xf numFmtId="3" fontId="2" fillId="0" borderId="59" xfId="108" applyNumberFormat="1" applyFont="1" applyBorder="1" applyAlignment="1">
      <alignment horizontal="center"/>
    </xf>
    <xf numFmtId="3" fontId="2" fillId="0" borderId="0" xfId="108" applyNumberFormat="1" applyFont="1" applyBorder="1" applyAlignment="1">
      <alignment horizontal="center"/>
    </xf>
    <xf numFmtId="3" fontId="2" fillId="0" borderId="2" xfId="108" applyNumberFormat="1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0" fontId="27" fillId="0" borderId="8" xfId="0" applyFont="1" applyBorder="1"/>
    <xf numFmtId="9" fontId="2" fillId="0" borderId="31" xfId="1" applyFont="1" applyBorder="1" applyAlignment="1">
      <alignment horizontal="center"/>
    </xf>
    <xf numFmtId="9" fontId="2" fillId="0" borderId="34" xfId="1" applyFont="1" applyBorder="1" applyAlignment="1">
      <alignment horizontal="center"/>
    </xf>
    <xf numFmtId="10" fontId="9" fillId="0" borderId="0" xfId="1" applyNumberFormat="1" applyFont="1"/>
    <xf numFmtId="0" fontId="16" fillId="0" borderId="14" xfId="0" applyFont="1" applyBorder="1" applyAlignment="1">
      <alignment horizontal="center" vertical="center" wrapText="1"/>
    </xf>
    <xf numFmtId="3" fontId="2" fillId="0" borderId="6" xfId="108" applyNumberFormat="1" applyFont="1" applyBorder="1" applyAlignment="1">
      <alignment horizontal="center"/>
    </xf>
    <xf numFmtId="3" fontId="2" fillId="0" borderId="25" xfId="108" applyNumberFormat="1" applyFont="1" applyBorder="1" applyAlignment="1">
      <alignment horizontal="center"/>
    </xf>
    <xf numFmtId="9" fontId="16" fillId="0" borderId="13" xfId="1" applyNumberFormat="1" applyFont="1" applyBorder="1"/>
    <xf numFmtId="9" fontId="16" fillId="0" borderId="13" xfId="1" applyFont="1" applyBorder="1"/>
    <xf numFmtId="9" fontId="16" fillId="0" borderId="63" xfId="1" applyFont="1" applyBorder="1"/>
    <xf numFmtId="0" fontId="9" fillId="0" borderId="4" xfId="108" applyBorder="1"/>
    <xf numFmtId="9" fontId="16" fillId="0" borderId="62" xfId="1" applyFont="1" applyBorder="1"/>
    <xf numFmtId="3" fontId="2" fillId="0" borderId="56" xfId="108" applyNumberFormat="1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3" fontId="15" fillId="0" borderId="11" xfId="108" applyNumberFormat="1" applyFont="1" applyBorder="1" applyAlignment="1">
      <alignment horizontal="center"/>
    </xf>
    <xf numFmtId="3" fontId="16" fillId="0" borderId="10" xfId="108" applyNumberFormat="1" applyFont="1" applyFill="1" applyBorder="1" applyAlignment="1">
      <alignment horizontal="center"/>
    </xf>
    <xf numFmtId="3" fontId="16" fillId="0" borderId="10" xfId="108" applyNumberFormat="1" applyFont="1" applyBorder="1" applyAlignment="1">
      <alignment horizontal="center"/>
    </xf>
    <xf numFmtId="3" fontId="15" fillId="0" borderId="10" xfId="108" applyNumberFormat="1" applyFont="1" applyFill="1" applyBorder="1" applyAlignment="1">
      <alignment horizontal="center"/>
    </xf>
    <xf numFmtId="9" fontId="2" fillId="0" borderId="65" xfId="1" applyFont="1" applyBorder="1" applyAlignment="1">
      <alignment horizontal="center"/>
    </xf>
    <xf numFmtId="9" fontId="2" fillId="0" borderId="70" xfId="1" applyFont="1" applyBorder="1" applyAlignment="1">
      <alignment horizontal="center"/>
    </xf>
    <xf numFmtId="3" fontId="12" fillId="0" borderId="15" xfId="108" applyNumberFormat="1" applyFont="1" applyFill="1" applyBorder="1" applyAlignment="1">
      <alignment horizontal="center"/>
    </xf>
    <xf numFmtId="3" fontId="12" fillId="0" borderId="42" xfId="108" applyNumberFormat="1" applyFont="1" applyFill="1" applyBorder="1" applyAlignment="1">
      <alignment horizontal="center"/>
    </xf>
    <xf numFmtId="9" fontId="12" fillId="0" borderId="2" xfId="1" applyFont="1" applyFill="1" applyBorder="1" applyAlignment="1">
      <alignment horizontal="center"/>
    </xf>
    <xf numFmtId="9" fontId="15" fillId="0" borderId="6" xfId="1" applyFont="1" applyBorder="1" applyAlignment="1">
      <alignment horizontal="center"/>
    </xf>
    <xf numFmtId="9" fontId="15" fillId="0" borderId="25" xfId="1" applyFont="1" applyBorder="1" applyAlignment="1">
      <alignment horizontal="center"/>
    </xf>
    <xf numFmtId="165" fontId="12" fillId="0" borderId="21" xfId="108" applyNumberFormat="1" applyFont="1" applyFill="1" applyBorder="1" applyAlignment="1">
      <alignment horizontal="center"/>
    </xf>
    <xf numFmtId="9" fontId="15" fillId="0" borderId="10" xfId="1" applyFont="1" applyBorder="1" applyAlignment="1">
      <alignment horizontal="center"/>
    </xf>
    <xf numFmtId="9" fontId="16" fillId="0" borderId="10" xfId="1" applyFont="1" applyFill="1" applyBorder="1" applyAlignment="1">
      <alignment horizontal="center"/>
    </xf>
    <xf numFmtId="9" fontId="15" fillId="0" borderId="12" xfId="1" applyFont="1" applyBorder="1" applyAlignment="1">
      <alignment horizontal="center"/>
    </xf>
    <xf numFmtId="3" fontId="12" fillId="0" borderId="53" xfId="108" applyNumberFormat="1" applyFont="1" applyFill="1" applyBorder="1" applyAlignment="1">
      <alignment horizontal="center"/>
    </xf>
    <xf numFmtId="9" fontId="15" fillId="0" borderId="56" xfId="1" applyFont="1" applyBorder="1" applyAlignment="1">
      <alignment horizontal="center"/>
    </xf>
    <xf numFmtId="9" fontId="15" fillId="0" borderId="54" xfId="1" applyNumberFormat="1" applyFont="1" applyBorder="1" applyAlignment="1">
      <alignment horizontal="center"/>
    </xf>
    <xf numFmtId="9" fontId="15" fillId="0" borderId="2" xfId="1" applyNumberFormat="1" applyFont="1" applyBorder="1" applyAlignment="1">
      <alignment horizontal="center"/>
    </xf>
    <xf numFmtId="9" fontId="12" fillId="0" borderId="10" xfId="1" applyFont="1" applyFill="1" applyBorder="1" applyAlignment="1">
      <alignment horizontal="center"/>
    </xf>
    <xf numFmtId="9" fontId="12" fillId="0" borderId="54" xfId="1" applyFont="1" applyFill="1" applyBorder="1" applyAlignment="1">
      <alignment horizontal="center"/>
    </xf>
    <xf numFmtId="0" fontId="13" fillId="0" borderId="3" xfId="109" applyFont="1" applyBorder="1" applyAlignment="1">
      <alignment horizontal="center" vertical="center"/>
    </xf>
    <xf numFmtId="0" fontId="13" fillId="0" borderId="4" xfId="109" applyFont="1" applyBorder="1" applyAlignment="1">
      <alignment horizontal="center" vertical="center"/>
    </xf>
    <xf numFmtId="0" fontId="13" fillId="0" borderId="5" xfId="109" applyFont="1" applyBorder="1" applyAlignment="1">
      <alignment horizontal="center" vertical="center"/>
    </xf>
    <xf numFmtId="0" fontId="12" fillId="0" borderId="43" xfId="108" applyFont="1" applyFill="1" applyBorder="1" applyAlignment="1">
      <alignment horizontal="center" vertical="center" wrapText="1"/>
    </xf>
    <xf numFmtId="0" fontId="12" fillId="0" borderId="44" xfId="108" applyFont="1" applyFill="1" applyBorder="1" applyAlignment="1">
      <alignment horizontal="center" vertical="center" wrapText="1"/>
    </xf>
    <xf numFmtId="0" fontId="5" fillId="0" borderId="38" xfId="108" applyFont="1" applyFill="1" applyBorder="1" applyAlignment="1">
      <alignment horizontal="center" vertical="center" wrapText="1"/>
    </xf>
    <xf numFmtId="0" fontId="5" fillId="0" borderId="39" xfId="108" applyFont="1" applyFill="1" applyBorder="1" applyAlignment="1">
      <alignment horizontal="center" vertical="center" wrapText="1"/>
    </xf>
    <xf numFmtId="0" fontId="12" fillId="0" borderId="21" xfId="108" applyFont="1" applyBorder="1" applyAlignment="1">
      <alignment horizontal="center" vertical="center" wrapText="1"/>
    </xf>
    <xf numFmtId="0" fontId="12" fillId="0" borderId="15" xfId="108" applyFont="1" applyBorder="1" applyAlignment="1">
      <alignment horizontal="center" vertical="center" wrapText="1"/>
    </xf>
    <xf numFmtId="0" fontId="15" fillId="0" borderId="10" xfId="108" applyFont="1" applyBorder="1" applyAlignment="1">
      <alignment horizontal="center" vertical="center" wrapText="1"/>
    </xf>
    <xf numFmtId="0" fontId="15" fillId="0" borderId="0" xfId="108" applyFont="1" applyBorder="1" applyAlignment="1">
      <alignment horizontal="center" vertical="center" wrapText="1"/>
    </xf>
    <xf numFmtId="0" fontId="15" fillId="0" borderId="11" xfId="108" applyFont="1" applyBorder="1" applyAlignment="1">
      <alignment horizontal="center" vertical="center" wrapText="1"/>
    </xf>
    <xf numFmtId="0" fontId="15" fillId="0" borderId="14" xfId="108" applyFont="1" applyBorder="1" applyAlignment="1">
      <alignment horizontal="center" vertical="center" wrapText="1"/>
    </xf>
    <xf numFmtId="0" fontId="5" fillId="0" borderId="21" xfId="108" applyFont="1" applyFill="1" applyBorder="1" applyAlignment="1">
      <alignment horizontal="center" vertical="center" wrapText="1"/>
    </xf>
    <xf numFmtId="0" fontId="5" fillId="0" borderId="15" xfId="108" applyFont="1" applyFill="1" applyBorder="1" applyAlignment="1">
      <alignment horizontal="center" vertical="center" wrapText="1"/>
    </xf>
    <xf numFmtId="0" fontId="5" fillId="0" borderId="21" xfId="108" applyFont="1" applyBorder="1" applyAlignment="1">
      <alignment horizontal="center" vertical="center" wrapText="1"/>
    </xf>
    <xf numFmtId="0" fontId="5" fillId="0" borderId="15" xfId="108" applyFont="1" applyBorder="1" applyAlignment="1">
      <alignment horizontal="center" vertical="center" wrapText="1"/>
    </xf>
    <xf numFmtId="0" fontId="5" fillId="0" borderId="10" xfId="108" applyFont="1" applyBorder="1" applyAlignment="1">
      <alignment horizontal="center" vertical="center" wrapText="1"/>
    </xf>
    <xf numFmtId="0" fontId="5" fillId="0" borderId="0" xfId="108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5" fillId="0" borderId="12" xfId="108" applyFont="1" applyBorder="1" applyAlignment="1">
      <alignment horizontal="center" vertical="center" wrapText="1"/>
    </xf>
    <xf numFmtId="0" fontId="5" fillId="0" borderId="6" xfId="108" applyFont="1" applyBorder="1" applyAlignment="1">
      <alignment horizontal="center" vertical="center" wrapText="1"/>
    </xf>
    <xf numFmtId="0" fontId="12" fillId="0" borderId="9" xfId="108" applyFont="1" applyFill="1" applyBorder="1" applyAlignment="1">
      <alignment horizontal="center" vertical="center" wrapText="1"/>
    </xf>
    <xf numFmtId="0" fontId="12" fillId="0" borderId="10" xfId="108" applyFont="1" applyFill="1" applyBorder="1" applyAlignment="1">
      <alignment horizontal="center" vertical="center" wrapText="1"/>
    </xf>
    <xf numFmtId="0" fontId="12" fillId="0" borderId="12" xfId="108" applyFont="1" applyFill="1" applyBorder="1" applyAlignment="1">
      <alignment horizontal="center" vertical="center" wrapText="1"/>
    </xf>
    <xf numFmtId="0" fontId="12" fillId="0" borderId="48" xfId="108" applyFont="1" applyFill="1" applyBorder="1" applyAlignment="1">
      <alignment horizontal="center" vertical="center" wrapText="1"/>
    </xf>
    <xf numFmtId="0" fontId="12" fillId="0" borderId="4" xfId="108" applyFont="1" applyFill="1" applyBorder="1" applyAlignment="1">
      <alignment horizontal="center" vertical="center" wrapText="1"/>
    </xf>
    <xf numFmtId="0" fontId="12" fillId="0" borderId="5" xfId="108" applyFont="1" applyFill="1" applyBorder="1" applyAlignment="1">
      <alignment horizontal="center" vertical="center" wrapText="1"/>
    </xf>
    <xf numFmtId="0" fontId="5" fillId="0" borderId="18" xfId="108" applyFont="1" applyBorder="1" applyAlignment="1">
      <alignment horizontal="center" vertical="center" wrapText="1"/>
    </xf>
    <xf numFmtId="0" fontId="15" fillId="0" borderId="19" xfId="108" applyFont="1" applyBorder="1" applyAlignment="1">
      <alignment horizontal="center" vertical="center" wrapText="1"/>
    </xf>
    <xf numFmtId="0" fontId="5" fillId="0" borderId="20" xfId="108" applyFont="1" applyBorder="1" applyAlignment="1">
      <alignment horizontal="center" vertical="center" wrapText="1"/>
    </xf>
    <xf numFmtId="0" fontId="12" fillId="0" borderId="43" xfId="108" applyFont="1" applyBorder="1" applyAlignment="1">
      <alignment horizontal="center" vertical="center" wrapText="1"/>
    </xf>
    <xf numFmtId="0" fontId="12" fillId="0" borderId="44" xfId="108" applyFont="1" applyBorder="1" applyAlignment="1">
      <alignment horizontal="center" vertical="center" wrapText="1"/>
    </xf>
    <xf numFmtId="0" fontId="12" fillId="0" borderId="45" xfId="108" applyFont="1" applyBorder="1" applyAlignment="1">
      <alignment horizontal="center" vertical="center" wrapText="1"/>
    </xf>
    <xf numFmtId="0" fontId="5" fillId="0" borderId="40" xfId="108" applyFont="1" applyFill="1" applyBorder="1" applyAlignment="1">
      <alignment horizontal="center" vertical="center" wrapText="1"/>
    </xf>
    <xf numFmtId="0" fontId="12" fillId="0" borderId="10" xfId="108" applyFont="1" applyBorder="1" applyAlignment="1">
      <alignment horizontal="center" vertical="center" wrapText="1"/>
    </xf>
    <xf numFmtId="0" fontId="12" fillId="0" borderId="0" xfId="108" applyFont="1" applyBorder="1" applyAlignment="1">
      <alignment horizontal="center" vertical="center" wrapText="1"/>
    </xf>
    <xf numFmtId="0" fontId="12" fillId="0" borderId="18" xfId="108" applyFont="1" applyBorder="1" applyAlignment="1">
      <alignment horizontal="center" vertical="center" wrapText="1"/>
    </xf>
    <xf numFmtId="0" fontId="15" fillId="0" borderId="18" xfId="108" applyFont="1" applyBorder="1" applyAlignment="1">
      <alignment horizontal="center" vertical="center" wrapText="1"/>
    </xf>
    <xf numFmtId="0" fontId="5" fillId="0" borderId="22" xfId="108" applyFont="1" applyFill="1" applyBorder="1" applyAlignment="1">
      <alignment horizontal="center" vertical="center" wrapText="1"/>
    </xf>
    <xf numFmtId="0" fontId="12" fillId="0" borderId="13" xfId="108" applyFont="1" applyFill="1" applyBorder="1" applyAlignment="1">
      <alignment horizontal="center" vertical="center" wrapText="1"/>
    </xf>
    <xf numFmtId="0" fontId="12" fillId="0" borderId="17" xfId="108" applyFont="1" applyFill="1" applyBorder="1" applyAlignment="1">
      <alignment horizontal="center" vertical="center" wrapText="1"/>
    </xf>
    <xf numFmtId="0" fontId="12" fillId="0" borderId="22" xfId="108" applyFont="1" applyBorder="1" applyAlignment="1">
      <alignment horizontal="center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22" xfId="108" applyFont="1" applyFill="1" applyBorder="1" applyAlignment="1">
      <alignment horizontal="center" vertical="center" wrapText="1"/>
    </xf>
    <xf numFmtId="0" fontId="16" fillId="0" borderId="21" xfId="108" applyFont="1" applyFill="1" applyBorder="1" applyAlignment="1">
      <alignment horizontal="center" vertical="center" wrapText="1"/>
    </xf>
    <xf numFmtId="0" fontId="16" fillId="0" borderId="12" xfId="108" applyFont="1" applyFill="1" applyBorder="1" applyAlignment="1">
      <alignment horizontal="center" vertical="center" wrapText="1"/>
    </xf>
    <xf numFmtId="0" fontId="16" fillId="0" borderId="6" xfId="108" applyFont="1" applyFill="1" applyBorder="1" applyAlignment="1">
      <alignment horizontal="center" vertical="center" wrapText="1"/>
    </xf>
    <xf numFmtId="0" fontId="16" fillId="0" borderId="20" xfId="108" applyFont="1" applyFill="1" applyBorder="1" applyAlignment="1">
      <alignment horizontal="center" vertical="center" wrapText="1"/>
    </xf>
    <xf numFmtId="0" fontId="16" fillId="0" borderId="10" xfId="108" applyFont="1" applyBorder="1" applyAlignment="1">
      <alignment horizontal="center" vertical="center" wrapText="1"/>
    </xf>
    <xf numFmtId="0" fontId="16" fillId="0" borderId="18" xfId="108" applyFont="1" applyBorder="1" applyAlignment="1">
      <alignment horizontal="center" vertical="center" wrapText="1"/>
    </xf>
    <xf numFmtId="0" fontId="16" fillId="0" borderId="12" xfId="108" applyFont="1" applyBorder="1" applyAlignment="1">
      <alignment horizontal="center" vertical="center" wrapText="1"/>
    </xf>
    <xf numFmtId="0" fontId="16" fillId="0" borderId="20" xfId="108" applyFont="1" applyBorder="1" applyAlignment="1">
      <alignment horizontal="center" vertical="center" wrapText="1"/>
    </xf>
    <xf numFmtId="0" fontId="16" fillId="0" borderId="11" xfId="108" applyFont="1" applyBorder="1" applyAlignment="1">
      <alignment horizontal="center" vertical="center" wrapText="1"/>
    </xf>
    <xf numFmtId="0" fontId="16" fillId="0" borderId="19" xfId="108" applyFont="1" applyBorder="1" applyAlignment="1">
      <alignment horizontal="center" vertical="center" wrapText="1"/>
    </xf>
    <xf numFmtId="0" fontId="13" fillId="0" borderId="27" xfId="108" applyFont="1" applyBorder="1" applyAlignment="1">
      <alignment horizontal="center" vertical="center" wrapText="1"/>
    </xf>
    <xf numFmtId="0" fontId="13" fillId="0" borderId="26" xfId="108" applyFont="1" applyBorder="1" applyAlignment="1">
      <alignment horizontal="center" vertical="center" wrapText="1"/>
    </xf>
    <xf numFmtId="0" fontId="13" fillId="0" borderId="27" xfId="108" applyFont="1" applyFill="1" applyBorder="1" applyAlignment="1">
      <alignment horizontal="center" vertical="center" wrapText="1"/>
    </xf>
    <xf numFmtId="0" fontId="13" fillId="0" borderId="28" xfId="108" applyFont="1" applyFill="1" applyBorder="1" applyAlignment="1">
      <alignment horizontal="center" vertical="center" wrapText="1"/>
    </xf>
    <xf numFmtId="0" fontId="12" fillId="0" borderId="21" xfId="108" applyFont="1" applyFill="1" applyBorder="1" applyAlignment="1">
      <alignment horizontal="center" vertical="center" wrapText="1"/>
    </xf>
    <xf numFmtId="0" fontId="12" fillId="0" borderId="22" xfId="108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6" fillId="0" borderId="33" xfId="108" applyFont="1" applyBorder="1" applyAlignment="1">
      <alignment horizontal="center" vertical="center" wrapText="1"/>
    </xf>
    <xf numFmtId="0" fontId="16" fillId="0" borderId="6" xfId="108" applyFont="1" applyBorder="1" applyAlignment="1">
      <alignment horizontal="center" vertical="center" wrapText="1"/>
    </xf>
    <xf numFmtId="0" fontId="16" fillId="0" borderId="30" xfId="108" applyFont="1" applyBorder="1" applyAlignment="1">
      <alignment horizontal="center" vertical="center" wrapText="1"/>
    </xf>
    <xf numFmtId="0" fontId="16" fillId="0" borderId="15" xfId="108" applyFont="1" applyBorder="1" applyAlignment="1">
      <alignment horizontal="center" vertical="center" wrapText="1"/>
    </xf>
    <xf numFmtId="0" fontId="38" fillId="0" borderId="65" xfId="108" applyFont="1" applyBorder="1" applyAlignment="1">
      <alignment horizontal="center" vertical="center" wrapText="1"/>
    </xf>
    <xf numFmtId="0" fontId="38" fillId="0" borderId="32" xfId="108" applyFont="1" applyBorder="1" applyAlignment="1">
      <alignment horizontal="center" vertical="center" wrapText="1"/>
    </xf>
    <xf numFmtId="0" fontId="2" fillId="0" borderId="10" xfId="108" applyFont="1" applyBorder="1" applyAlignment="1">
      <alignment horizontal="center" vertical="center" wrapText="1"/>
    </xf>
    <xf numFmtId="0" fontId="2" fillId="0" borderId="65" xfId="108" applyFont="1" applyBorder="1" applyAlignment="1">
      <alignment horizontal="center" vertical="center" wrapText="1"/>
    </xf>
    <xf numFmtId="0" fontId="2" fillId="0" borderId="32" xfId="108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8" fillId="0" borderId="1" xfId="108" applyFont="1" applyFill="1" applyBorder="1" applyAlignment="1">
      <alignment horizontal="center" vertical="center" wrapText="1"/>
    </xf>
    <xf numFmtId="0" fontId="38" fillId="0" borderId="18" xfId="108" applyFont="1" applyFill="1" applyBorder="1" applyAlignment="1">
      <alignment horizontal="center" vertical="center" wrapText="1"/>
    </xf>
    <xf numFmtId="0" fontId="13" fillId="0" borderId="73" xfId="108" applyFont="1" applyFill="1" applyBorder="1" applyAlignment="1">
      <alignment horizontal="center"/>
    </xf>
    <xf numFmtId="0" fontId="13" fillId="0" borderId="72" xfId="108" applyFont="1" applyFill="1" applyBorder="1" applyAlignment="1">
      <alignment horizontal="center"/>
    </xf>
    <xf numFmtId="0" fontId="13" fillId="0" borderId="71" xfId="108" applyFont="1" applyFill="1" applyBorder="1" applyAlignment="1">
      <alignment horizontal="center"/>
    </xf>
    <xf numFmtId="0" fontId="38" fillId="0" borderId="30" xfId="108" applyFont="1" applyFill="1" applyBorder="1" applyAlignment="1">
      <alignment horizontal="center" vertical="center" wrapText="1"/>
    </xf>
    <xf numFmtId="0" fontId="38" fillId="0" borderId="22" xfId="108" applyFont="1" applyFill="1" applyBorder="1" applyAlignment="1">
      <alignment horizontal="center" vertical="center" wrapText="1"/>
    </xf>
    <xf numFmtId="0" fontId="38" fillId="0" borderId="33" xfId="108" applyFont="1" applyFill="1" applyBorder="1" applyAlignment="1">
      <alignment horizontal="center" vertical="center" wrapText="1"/>
    </xf>
    <xf numFmtId="0" fontId="38" fillId="0" borderId="20" xfId="108" applyFont="1" applyFill="1" applyBorder="1" applyAlignment="1">
      <alignment horizontal="center" vertical="center" wrapText="1"/>
    </xf>
    <xf numFmtId="0" fontId="38" fillId="0" borderId="35" xfId="108" applyFont="1" applyFill="1" applyBorder="1" applyAlignment="1">
      <alignment horizontal="center" vertical="center" wrapText="1"/>
    </xf>
    <xf numFmtId="0" fontId="38" fillId="0" borderId="17" xfId="108" applyFont="1" applyFill="1" applyBorder="1" applyAlignment="1">
      <alignment horizontal="center" vertical="center" wrapText="1"/>
    </xf>
  </cellXfs>
  <cellStyles count="572">
    <cellStyle name="Date" xfId="111"/>
    <cellStyle name="En-tête 1" xfId="112"/>
    <cellStyle name="En-tête 2" xfId="113"/>
    <cellStyle name="Financier0" xfId="114"/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en hypertexte visité" xfId="312" builtinId="9" hidden="1"/>
    <cellStyle name="Lien hypertexte visité" xfId="313" builtinId="9" hidden="1"/>
    <cellStyle name="Lien hypertexte visité" xfId="314" builtinId="9" hidden="1"/>
    <cellStyle name="Lien hypertexte visité" xfId="315" builtinId="9" hidden="1"/>
    <cellStyle name="Lien hypertexte visité" xfId="316" builtinId="9" hidden="1"/>
    <cellStyle name="Lien hypertexte visité" xfId="317" builtinId="9" hidden="1"/>
    <cellStyle name="Lien hypertexte visité" xfId="318" builtinId="9" hidden="1"/>
    <cellStyle name="Lien hypertexte visité" xfId="319" builtinId="9" hidden="1"/>
    <cellStyle name="Lien hypertexte visité" xfId="320" builtinId="9" hidden="1"/>
    <cellStyle name="Lien hypertexte visité" xfId="321" builtinId="9" hidden="1"/>
    <cellStyle name="Lien hypertexte visité" xfId="322" builtinId="9" hidden="1"/>
    <cellStyle name="Lien hypertexte visité" xfId="323" builtinId="9" hidden="1"/>
    <cellStyle name="Lien hypertexte visité" xfId="324" builtinId="9" hidden="1"/>
    <cellStyle name="Lien hypertexte visité" xfId="325" builtinId="9" hidden="1"/>
    <cellStyle name="Lien hypertexte visité" xfId="326" builtinId="9" hidden="1"/>
    <cellStyle name="Lien hypertexte visité" xfId="327" builtinId="9" hidden="1"/>
    <cellStyle name="Lien hypertexte visité" xfId="328" builtinId="9" hidden="1"/>
    <cellStyle name="Lien hypertexte visité" xfId="329" builtinId="9" hidden="1"/>
    <cellStyle name="Lien hypertexte visité" xfId="330" builtinId="9" hidden="1"/>
    <cellStyle name="Lien hypertexte visité" xfId="331" builtinId="9" hidden="1"/>
    <cellStyle name="Lien hypertexte visité" xfId="332" builtinId="9" hidden="1"/>
    <cellStyle name="Lien hypertexte visité" xfId="333" builtinId="9" hidden="1"/>
    <cellStyle name="Lien hypertexte visité" xfId="334" builtinId="9" hidden="1"/>
    <cellStyle name="Lien hypertexte visité" xfId="335" builtinId="9" hidden="1"/>
    <cellStyle name="Lien hypertexte visité" xfId="336" builtinId="9" hidden="1"/>
    <cellStyle name="Lien hypertexte visité" xfId="337" builtinId="9" hidden="1"/>
    <cellStyle name="Lien hypertexte visité" xfId="338" builtinId="9" hidden="1"/>
    <cellStyle name="Lien hypertexte visité" xfId="339" builtinId="9" hidden="1"/>
    <cellStyle name="Lien hypertexte visité" xfId="340" builtinId="9" hidden="1"/>
    <cellStyle name="Lien hypertexte visité" xfId="341" builtinId="9" hidden="1"/>
    <cellStyle name="Lien hypertexte visité" xfId="342" builtinId="9" hidden="1"/>
    <cellStyle name="Lien hypertexte visité" xfId="343" builtinId="9" hidden="1"/>
    <cellStyle name="Lien hypertexte visité" xfId="344" builtinId="9" hidden="1"/>
    <cellStyle name="Lien hypertexte visité" xfId="345" builtinId="9" hidden="1"/>
    <cellStyle name="Lien hypertexte visité" xfId="346" builtinId="9" hidden="1"/>
    <cellStyle name="Lien hypertexte visité" xfId="347" builtinId="9" hidden="1"/>
    <cellStyle name="Lien hypertexte visité" xfId="348" builtinId="9" hidden="1"/>
    <cellStyle name="Lien hypertexte visité" xfId="349" builtinId="9" hidden="1"/>
    <cellStyle name="Lien hypertexte visité" xfId="350" builtinId="9" hidden="1"/>
    <cellStyle name="Lien hypertexte visité" xfId="351" builtinId="9" hidden="1"/>
    <cellStyle name="Lien hypertexte visité" xfId="352" builtinId="9" hidden="1"/>
    <cellStyle name="Lien hypertexte visité" xfId="353" builtinId="9" hidden="1"/>
    <cellStyle name="Lien hypertexte visité" xfId="354" builtinId="9" hidden="1"/>
    <cellStyle name="Lien hypertexte visité" xfId="355" builtinId="9" hidden="1"/>
    <cellStyle name="Lien hypertexte visité" xfId="356" builtinId="9" hidden="1"/>
    <cellStyle name="Lien hypertexte visité" xfId="357" builtinId="9" hidden="1"/>
    <cellStyle name="Lien hypertexte visité" xfId="358" builtinId="9" hidden="1"/>
    <cellStyle name="Lien hypertexte visité" xfId="359" builtinId="9" hidden="1"/>
    <cellStyle name="Lien hypertexte visité" xfId="360" builtinId="9" hidden="1"/>
    <cellStyle name="Lien hypertexte visité" xfId="361" builtinId="9" hidden="1"/>
    <cellStyle name="Lien hypertexte visité" xfId="362" builtinId="9" hidden="1"/>
    <cellStyle name="Lien hypertexte visité" xfId="363" builtinId="9" hidden="1"/>
    <cellStyle name="Lien hypertexte visité" xfId="364" builtinId="9" hidden="1"/>
    <cellStyle name="Lien hypertexte visité" xfId="365" builtinId="9" hidden="1"/>
    <cellStyle name="Lien hypertexte visité" xfId="366" builtinId="9" hidden="1"/>
    <cellStyle name="Lien hypertexte visité" xfId="367" builtinId="9" hidden="1"/>
    <cellStyle name="Lien hypertexte visité" xfId="368" builtinId="9" hidden="1"/>
    <cellStyle name="Lien hypertexte visité" xfId="369" builtinId="9" hidden="1"/>
    <cellStyle name="Lien hypertexte visité" xfId="370" builtinId="9" hidden="1"/>
    <cellStyle name="Lien hypertexte visité" xfId="371" builtinId="9" hidden="1"/>
    <cellStyle name="Lien hypertexte visité" xfId="372" builtinId="9" hidden="1"/>
    <cellStyle name="Lien hypertexte visité" xfId="373" builtinId="9" hidden="1"/>
    <cellStyle name="Lien hypertexte visité" xfId="374" builtinId="9" hidden="1"/>
    <cellStyle name="Lien hypertexte visité" xfId="375" builtinId="9" hidden="1"/>
    <cellStyle name="Lien hypertexte visité" xfId="376" builtinId="9" hidden="1"/>
    <cellStyle name="Lien hypertexte visité" xfId="377" builtinId="9" hidden="1"/>
    <cellStyle name="Lien hypertexte visité" xfId="378" builtinId="9" hidden="1"/>
    <cellStyle name="Lien hypertexte visité" xfId="379" builtinId="9" hidden="1"/>
    <cellStyle name="Lien hypertexte visité" xfId="380" builtinId="9" hidden="1"/>
    <cellStyle name="Lien hypertexte visité" xfId="381" builtinId="9" hidden="1"/>
    <cellStyle name="Lien hypertexte visité" xfId="382" builtinId="9" hidden="1"/>
    <cellStyle name="Lien hypertexte visité" xfId="383" builtinId="9" hidden="1"/>
    <cellStyle name="Lien hypertexte visité" xfId="384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89" builtinId="9" hidden="1"/>
    <cellStyle name="Lien hypertexte visité" xfId="390" builtinId="9" hidden="1"/>
    <cellStyle name="Lien hypertexte visité" xfId="391" builtinId="9" hidden="1"/>
    <cellStyle name="Lien hypertexte visité" xfId="392" builtinId="9" hidden="1"/>
    <cellStyle name="Lien hypertexte visité" xfId="393" builtinId="9" hidden="1"/>
    <cellStyle name="Lien hypertexte visité" xfId="394" builtinId="9" hidden="1"/>
    <cellStyle name="Lien hypertexte visité" xfId="395" builtinId="9" hidden="1"/>
    <cellStyle name="Lien hypertexte visité" xfId="396" builtinId="9" hidden="1"/>
    <cellStyle name="Lien hypertexte visité" xfId="397" builtinId="9" hidden="1"/>
    <cellStyle name="Lien hypertexte visité" xfId="398" builtinId="9" hidden="1"/>
    <cellStyle name="Lien hypertexte visité" xfId="399" builtinId="9" hidden="1"/>
    <cellStyle name="Lien hypertexte visité" xfId="400" builtinId="9" hidden="1"/>
    <cellStyle name="Lien hypertexte visité" xfId="401" builtinId="9" hidden="1"/>
    <cellStyle name="Lien hypertexte visité" xfId="402" builtinId="9" hidden="1"/>
    <cellStyle name="Lien hypertexte visité" xfId="403" builtinId="9" hidden="1"/>
    <cellStyle name="Lien hypertexte visité" xfId="404" builtinId="9" hidden="1"/>
    <cellStyle name="Lien hypertexte visité" xfId="405" builtinId="9" hidden="1"/>
    <cellStyle name="Lien hypertexte visité" xfId="406" builtinId="9" hidden="1"/>
    <cellStyle name="Lien hypertexte visité" xfId="407" builtinId="9" hidden="1"/>
    <cellStyle name="Lien hypertexte visité" xfId="408" builtinId="9" hidden="1"/>
    <cellStyle name="Lien hypertexte visité" xfId="409" builtinId="9" hidden="1"/>
    <cellStyle name="Lien hypertexte visité" xfId="410" builtinId="9" hidden="1"/>
    <cellStyle name="Lien hypertexte visité" xfId="411" builtinId="9" hidden="1"/>
    <cellStyle name="Lien hypertexte visité" xfId="412" builtinId="9" hidden="1"/>
    <cellStyle name="Lien hypertexte visité" xfId="413" builtinId="9" hidden="1"/>
    <cellStyle name="Lien hypertexte visité" xfId="414" builtinId="9" hidden="1"/>
    <cellStyle name="Lien hypertexte visité" xfId="415" builtinId="9" hidden="1"/>
    <cellStyle name="Lien hypertexte visité" xfId="416" builtinId="9" hidden="1"/>
    <cellStyle name="Lien hypertexte visité" xfId="417" builtinId="9" hidden="1"/>
    <cellStyle name="Lien hypertexte visité" xfId="418" builtinId="9" hidden="1"/>
    <cellStyle name="Lien hypertexte visité" xfId="419" builtinId="9" hidden="1"/>
    <cellStyle name="Lien hypertexte visité" xfId="420" builtinId="9" hidden="1"/>
    <cellStyle name="Lien hypertexte visité" xfId="421" builtinId="9" hidden="1"/>
    <cellStyle name="Lien hypertexte visité" xfId="422" builtinId="9" hidden="1"/>
    <cellStyle name="Lien hypertexte visité" xfId="423" builtinId="9" hidden="1"/>
    <cellStyle name="Lien hypertexte visité" xfId="424" builtinId="9" hidden="1"/>
    <cellStyle name="Lien hypertexte visité" xfId="425" builtinId="9" hidden="1"/>
    <cellStyle name="Lien hypertexte visité" xfId="426" builtinId="9" hidden="1"/>
    <cellStyle name="Lien hypertexte visité" xfId="427" builtinId="9" hidden="1"/>
    <cellStyle name="Lien hypertexte visité" xfId="428" builtinId="9" hidden="1"/>
    <cellStyle name="Lien hypertexte visité" xfId="429" builtinId="9" hidden="1"/>
    <cellStyle name="Lien hypertexte visité" xfId="430" builtinId="9" hidden="1"/>
    <cellStyle name="Lien hypertexte visité" xfId="431" builtinId="9" hidden="1"/>
    <cellStyle name="Lien hypertexte visité" xfId="432" builtinId="9" hidden="1"/>
    <cellStyle name="Lien hypertexte visité" xfId="433" builtinId="9" hidden="1"/>
    <cellStyle name="Lien hypertexte visité" xfId="434" builtinId="9" hidden="1"/>
    <cellStyle name="Lien hypertexte visité" xfId="435" builtinId="9" hidden="1"/>
    <cellStyle name="Lien hypertexte visité" xfId="436" builtinId="9" hidden="1"/>
    <cellStyle name="Lien hypertexte visité" xfId="437" builtinId="9" hidden="1"/>
    <cellStyle name="Lien hypertexte visité" xfId="438" builtinId="9" hidden="1"/>
    <cellStyle name="Lien hypertexte visité" xfId="439" builtinId="9" hidden="1"/>
    <cellStyle name="Lien hypertexte visité" xfId="440" builtinId="9" hidden="1"/>
    <cellStyle name="Lien hypertexte visité" xfId="441" builtinId="9" hidden="1"/>
    <cellStyle name="Lien hypertexte visité" xfId="442" builtinId="9" hidden="1"/>
    <cellStyle name="Lien hypertexte visité" xfId="443" builtinId="9" hidden="1"/>
    <cellStyle name="Lien hypertexte visité" xfId="444" builtinId="9" hidden="1"/>
    <cellStyle name="Lien hypertexte visité" xfId="445" builtinId="9" hidden="1"/>
    <cellStyle name="Lien hypertexte visité" xfId="446" builtinId="9" hidden="1"/>
    <cellStyle name="Lien hypertexte visité" xfId="447" builtinId="9" hidden="1"/>
    <cellStyle name="Lien hypertexte visité" xfId="448" builtinId="9" hidden="1"/>
    <cellStyle name="Lien hypertexte visité" xfId="449" builtinId="9" hidden="1"/>
    <cellStyle name="Lien hypertexte visité" xfId="450" builtinId="9" hidden="1"/>
    <cellStyle name="Lien hypertexte visité" xfId="451" builtinId="9" hidden="1"/>
    <cellStyle name="Lien hypertexte visité" xfId="452" builtinId="9" hidden="1"/>
    <cellStyle name="Lien hypertexte visité" xfId="453" builtinId="9" hidden="1"/>
    <cellStyle name="Lien hypertexte visité" xfId="454" builtinId="9" hidden="1"/>
    <cellStyle name="Lien hypertexte visité" xfId="455" builtinId="9" hidden="1"/>
    <cellStyle name="Lien hypertexte visité" xfId="456" builtinId="9" hidden="1"/>
    <cellStyle name="Lien hypertexte visité" xfId="457" builtinId="9" hidden="1"/>
    <cellStyle name="Lien hypertexte visité" xfId="458" builtinId="9" hidden="1"/>
    <cellStyle name="Lien hypertexte visité" xfId="459" builtinId="9" hidden="1"/>
    <cellStyle name="Lien hypertexte visité" xfId="460" builtinId="9" hidden="1"/>
    <cellStyle name="Lien hypertexte visité" xfId="461" builtinId="9" hidden="1"/>
    <cellStyle name="Lien hypertexte visité" xfId="462" builtinId="9" hidden="1"/>
    <cellStyle name="Lien hypertexte visité" xfId="463" builtinId="9" hidden="1"/>
    <cellStyle name="Lien hypertexte visité" xfId="464" builtinId="9" hidden="1"/>
    <cellStyle name="Lien hypertexte visité" xfId="465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Lien hypertexte visité" xfId="502" builtinId="9" hidden="1"/>
    <cellStyle name="Lien hypertexte visité" xfId="503" builtinId="9" hidden="1"/>
    <cellStyle name="Lien hypertexte visité" xfId="504" builtinId="9" hidden="1"/>
    <cellStyle name="Lien hypertexte visité" xfId="505" builtinId="9" hidden="1"/>
    <cellStyle name="Lien hypertexte visité" xfId="506" builtinId="9" hidden="1"/>
    <cellStyle name="Lien hypertexte visité" xfId="507" builtinId="9" hidden="1"/>
    <cellStyle name="Lien hypertexte visité" xfId="508" builtinId="9" hidden="1"/>
    <cellStyle name="Lien hypertexte visité" xfId="509" builtinId="9" hidden="1"/>
    <cellStyle name="Lien hypertexte visité" xfId="510" builtinId="9" hidden="1"/>
    <cellStyle name="Lien hypertexte visité" xfId="511" builtinId="9" hidden="1"/>
    <cellStyle name="Lien hypertexte visité" xfId="512" builtinId="9" hidden="1"/>
    <cellStyle name="Lien hypertexte visité" xfId="513" builtinId="9" hidden="1"/>
    <cellStyle name="Lien hypertexte visité" xfId="514" builtinId="9" hidden="1"/>
    <cellStyle name="Lien hypertexte visité" xfId="515" builtinId="9" hidden="1"/>
    <cellStyle name="Lien hypertexte visité" xfId="516" builtinId="9" hidden="1"/>
    <cellStyle name="Lien hypertexte visité" xfId="517" builtinId="9" hidden="1"/>
    <cellStyle name="Lien hypertexte visité" xfId="518" builtinId="9" hidden="1"/>
    <cellStyle name="Lien hypertexte visité" xfId="519" builtinId="9" hidden="1"/>
    <cellStyle name="Lien hypertexte visité" xfId="520" builtinId="9" hidden="1"/>
    <cellStyle name="Lien hypertexte visité" xfId="521" builtinId="9" hidden="1"/>
    <cellStyle name="Lien hypertexte visité" xfId="522" builtinId="9" hidden="1"/>
    <cellStyle name="Lien hypertexte visité" xfId="523" builtinId="9" hidden="1"/>
    <cellStyle name="Lien hypertexte visité" xfId="524" builtinId="9" hidden="1"/>
    <cellStyle name="Lien hypertexte visité" xfId="525" builtinId="9" hidden="1"/>
    <cellStyle name="Lien hypertexte visité" xfId="526" builtinId="9" hidden="1"/>
    <cellStyle name="Lien hypertexte visité" xfId="527" builtinId="9" hidden="1"/>
    <cellStyle name="Lien hypertexte visité" xfId="528" builtinId="9" hidden="1"/>
    <cellStyle name="Lien hypertexte visité" xfId="529" builtinId="9" hidden="1"/>
    <cellStyle name="Lien hypertexte visité" xfId="530" builtinId="9" hidden="1"/>
    <cellStyle name="Lien hypertexte visité" xfId="531" builtinId="9" hidden="1"/>
    <cellStyle name="Lien hypertexte visité" xfId="532" builtinId="9" hidden="1"/>
    <cellStyle name="Lien hypertexte visité" xfId="533" builtinId="9" hidden="1"/>
    <cellStyle name="Lien hypertexte visité" xfId="534" builtinId="9" hidden="1"/>
    <cellStyle name="Lien hypertexte visité" xfId="535" builtinId="9" hidden="1"/>
    <cellStyle name="Lien hypertexte visité" xfId="536" builtinId="9" hidden="1"/>
    <cellStyle name="Lien hypertexte visité" xfId="537" builtinId="9" hidden="1"/>
    <cellStyle name="Lien hypertexte visité" xfId="538" builtinId="9" hidden="1"/>
    <cellStyle name="Lien hypertexte visité" xfId="539" builtinId="9" hidden="1"/>
    <cellStyle name="Lien hypertexte visité" xfId="540" builtinId="9" hidden="1"/>
    <cellStyle name="Lien hypertexte visité" xfId="541" builtinId="9" hidden="1"/>
    <cellStyle name="Lien hypertexte visité" xfId="542" builtinId="9" hidden="1"/>
    <cellStyle name="Lien hypertexte visité" xfId="543" builtinId="9" hidden="1"/>
    <cellStyle name="Lien hypertexte visité" xfId="544" builtinId="9" hidden="1"/>
    <cellStyle name="Lien hypertexte visité" xfId="545" builtinId="9" hidden="1"/>
    <cellStyle name="Lien hypertexte visité" xfId="546" builtinId="9" hidden="1"/>
    <cellStyle name="Lien hypertexte visité" xfId="547" builtinId="9" hidden="1"/>
    <cellStyle name="Lien hypertexte visité" xfId="548" builtinId="9" hidden="1"/>
    <cellStyle name="Lien hypertexte visité" xfId="549" builtinId="9" hidden="1"/>
    <cellStyle name="Lien hypertexte visité" xfId="550" builtinId="9" hidden="1"/>
    <cellStyle name="Lien hypertexte visité" xfId="551" builtinId="9" hidden="1"/>
    <cellStyle name="Lien hypertexte visité" xfId="552" builtinId="9" hidden="1"/>
    <cellStyle name="Lien hypertexte visité" xfId="553" builtinId="9" hidden="1"/>
    <cellStyle name="Lien hypertexte visité" xfId="554" builtinId="9" hidden="1"/>
    <cellStyle name="Lien hypertexte visité" xfId="555" builtinId="9" hidden="1"/>
    <cellStyle name="Lien hypertexte visité" xfId="556" builtinId="9" hidden="1"/>
    <cellStyle name="Lien hypertexte visité" xfId="557" builtinId="9" hidden="1"/>
    <cellStyle name="Lien hypertexte visité" xfId="558" builtinId="9" hidden="1"/>
    <cellStyle name="Lien hypertexte visité" xfId="559" builtinId="9" hidden="1"/>
    <cellStyle name="Lien hypertexte visité" xfId="560" builtinId="9" hidden="1"/>
    <cellStyle name="Lien hypertexte visité" xfId="561" builtinId="9" hidden="1"/>
    <cellStyle name="Lien hypertexte visité" xfId="562" builtinId="9" hidden="1"/>
    <cellStyle name="Lien hypertexte visité" xfId="563" builtinId="9" hidden="1"/>
    <cellStyle name="Lien hypertexte visité" xfId="564" builtinId="9" hidden="1"/>
    <cellStyle name="Lien hypertexte visité" xfId="565" builtinId="9" hidden="1"/>
    <cellStyle name="Lien hypertexte visité" xfId="566" builtinId="9" hidden="1"/>
    <cellStyle name="Lien hypertexte visité" xfId="567" builtinId="9" hidden="1"/>
    <cellStyle name="Lien hypertexte visité" xfId="568" builtinId="9" hidden="1"/>
    <cellStyle name="Lien hypertexte visité" xfId="569" builtinId="9" hidden="1"/>
    <cellStyle name="Lien hypertexte visité" xfId="570" builtinId="9" hidden="1"/>
    <cellStyle name="Lien hypertexte visité" xfId="571" builtinId="9" hidden="1"/>
    <cellStyle name="Monétaire0" xfId="115"/>
    <cellStyle name="Normal" xfId="0" builtinId="0"/>
    <cellStyle name="Normal 2" xfId="50"/>
    <cellStyle name="Normal 3" xfId="109"/>
    <cellStyle name="Normal_AppendixTables(NationalAccountsData).xls" xfId="108"/>
    <cellStyle name="Pourcentage" xfId="1" builtinId="5"/>
    <cellStyle name="Pourcentage 2" xfId="110"/>
    <cellStyle name="Standard 11" xfId="51"/>
    <cellStyle name="style_col_headings" xfId="116"/>
    <cellStyle name="Virgule fixe" xfId="11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chartsheet" Target="chartsheets/sheet1.xml"/><Relationship Id="rId13" Type="http://schemas.openxmlformats.org/officeDocument/2006/relationships/chartsheet" Target="chartsheets/sheet2.xml"/><Relationship Id="rId14" Type="http://schemas.openxmlformats.org/officeDocument/2006/relationships/chartsheet" Target="chartsheets/sheet3.xml"/><Relationship Id="rId15" Type="http://schemas.openxmlformats.org/officeDocument/2006/relationships/chartsheet" Target="chartsheets/sheet4.xml"/><Relationship Id="rId16" Type="http://schemas.openxmlformats.org/officeDocument/2006/relationships/chartsheet" Target="chartsheets/sheet5.xml"/><Relationship Id="rId17" Type="http://schemas.openxmlformats.org/officeDocument/2006/relationships/chartsheet" Target="chartsheets/sheet6.xml"/><Relationship Id="rId18" Type="http://schemas.openxmlformats.org/officeDocument/2006/relationships/worksheet" Target="worksheets/sheet12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>
                <a:latin typeface="Arial"/>
                <a:cs typeface="Arial"/>
              </a:rPr>
              <a:t>Share of privately held U.S. foreign short-term debt held by offshore centers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1"/>
              </a:solidFill>
            </a:ln>
            <a:effectLst/>
          </c:spPr>
          <c:marker>
            <c:symbol val="none"/>
          </c:marker>
          <c:cat>
            <c:numRef>
              <c:f>'Table T7'!$A$8:$A$42</c:f>
              <c:numCache>
                <c:formatCode>General</c:formatCode>
                <c:ptCount val="35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</c:numCache>
            </c:numRef>
          </c:cat>
          <c:val>
            <c:numRef>
              <c:f>'Table T7'!$L$8:$L$42</c:f>
              <c:numCache>
                <c:formatCode>0%</c:formatCode>
                <c:ptCount val="35"/>
                <c:pt idx="0">
                  <c:v>0.308744716821639</c:v>
                </c:pt>
                <c:pt idx="1">
                  <c:v>0.317449203393338</c:v>
                </c:pt>
                <c:pt idx="2">
                  <c:v>0.226845050322968</c:v>
                </c:pt>
                <c:pt idx="3">
                  <c:v>0.378430415356611</c:v>
                </c:pt>
                <c:pt idx="4">
                  <c:v>0.312597070631038</c:v>
                </c:pt>
                <c:pt idx="5">
                  <c:v>0.373884174192879</c:v>
                </c:pt>
                <c:pt idx="6">
                  <c:v>0.403199587012247</c:v>
                </c:pt>
                <c:pt idx="7">
                  <c:v>0.254072139125456</c:v>
                </c:pt>
                <c:pt idx="8">
                  <c:v>0.321855599320637</c:v>
                </c:pt>
                <c:pt idx="9">
                  <c:v>0.214453775183581</c:v>
                </c:pt>
                <c:pt idx="10">
                  <c:v>0.303999571734476</c:v>
                </c:pt>
                <c:pt idx="11">
                  <c:v>0.251912717233568</c:v>
                </c:pt>
                <c:pt idx="12">
                  <c:v>0.310621727093826</c:v>
                </c:pt>
                <c:pt idx="13">
                  <c:v>0.318011368845695</c:v>
                </c:pt>
                <c:pt idx="14">
                  <c:v>0.362551567006811</c:v>
                </c:pt>
                <c:pt idx="15">
                  <c:v>0.248187609802843</c:v>
                </c:pt>
                <c:pt idx="16">
                  <c:v>0.269608044990945</c:v>
                </c:pt>
                <c:pt idx="17">
                  <c:v>0.2238341451449</c:v>
                </c:pt>
                <c:pt idx="18">
                  <c:v>0.214034508076358</c:v>
                </c:pt>
                <c:pt idx="19">
                  <c:v>0.295903272098305</c:v>
                </c:pt>
                <c:pt idx="20">
                  <c:v>0.26822558790555</c:v>
                </c:pt>
                <c:pt idx="21">
                  <c:v>0.2790838324344</c:v>
                </c:pt>
                <c:pt idx="22">
                  <c:v>0.271605564222569</c:v>
                </c:pt>
                <c:pt idx="23">
                  <c:v>0.18621635286753</c:v>
                </c:pt>
                <c:pt idx="24">
                  <c:v>0.337416493863906</c:v>
                </c:pt>
                <c:pt idx="25">
                  <c:v>0.61803755381737</c:v>
                </c:pt>
                <c:pt idx="26">
                  <c:v>0.685135780386688</c:v>
                </c:pt>
                <c:pt idx="27">
                  <c:v>0.621292896413473</c:v>
                </c:pt>
                <c:pt idx="28">
                  <c:v>0.570620388566587</c:v>
                </c:pt>
                <c:pt idx="29">
                  <c:v>0.630973240542689</c:v>
                </c:pt>
                <c:pt idx="30">
                  <c:v>0.672752753236487</c:v>
                </c:pt>
                <c:pt idx="31">
                  <c:v>0.902546179557849</c:v>
                </c:pt>
                <c:pt idx="32">
                  <c:v>0.880105106493122</c:v>
                </c:pt>
                <c:pt idx="33">
                  <c:v>0.87653163177256</c:v>
                </c:pt>
                <c:pt idx="34">
                  <c:v>0.818505231413381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624584"/>
        <c:axId val="2089627944"/>
      </c:lineChart>
      <c:catAx>
        <c:axId val="20896245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2089627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089627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2089624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1578954796019"/>
          <c:y val="0.0303165639362953"/>
          <c:w val="0.889910834367431"/>
          <c:h val="0.881033598175794"/>
        </c:manualLayout>
      </c:layout>
      <c:scatterChart>
        <c:scatterStyle val="lineMarker"/>
        <c:varyColors val="0"/>
        <c:ser>
          <c:idx val="0"/>
          <c:order val="0"/>
          <c:tx>
            <c:v>Share of Foreign Investments in U.S. Long Term Securities Managed in Offshore Financial Centers</c:v>
          </c:tx>
          <c:spPr>
            <a:ln w="38100">
              <a:solidFill>
                <a:schemeClr val="tx1"/>
              </a:solidFill>
            </a:ln>
          </c:spPr>
          <c:marker>
            <c:symbol val="triangle"/>
            <c:size val="10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'Table T6'!$A$9:$A$44</c:f>
              <c:numCache>
                <c:formatCode>General</c:formatCode>
                <c:ptCount val="36"/>
                <c:pt idx="0">
                  <c:v>1914.0</c:v>
                </c:pt>
                <c:pt idx="1">
                  <c:v>1929.0</c:v>
                </c:pt>
                <c:pt idx="2">
                  <c:v>1934.0</c:v>
                </c:pt>
                <c:pt idx="3">
                  <c:v>1937.0</c:v>
                </c:pt>
                <c:pt idx="4">
                  <c:v>1941.0</c:v>
                </c:pt>
                <c:pt idx="5">
                  <c:v>1974.0</c:v>
                </c:pt>
                <c:pt idx="6">
                  <c:v>1978.0</c:v>
                </c:pt>
                <c:pt idx="7">
                  <c:v>1984.0</c:v>
                </c:pt>
                <c:pt idx="8">
                  <c:v>1985.0</c:v>
                </c:pt>
                <c:pt idx="9">
                  <c:v>1986.0</c:v>
                </c:pt>
                <c:pt idx="10">
                  <c:v>1987.0</c:v>
                </c:pt>
                <c:pt idx="11">
                  <c:v>1988.0</c:v>
                </c:pt>
                <c:pt idx="12">
                  <c:v>1989.0</c:v>
                </c:pt>
                <c:pt idx="13">
                  <c:v>1990.0</c:v>
                </c:pt>
                <c:pt idx="14">
                  <c:v>1991.0</c:v>
                </c:pt>
                <c:pt idx="15">
                  <c:v>1992.0</c:v>
                </c:pt>
                <c:pt idx="16">
                  <c:v>1993.0</c:v>
                </c:pt>
                <c:pt idx="17">
                  <c:v>1994.0</c:v>
                </c:pt>
                <c:pt idx="18">
                  <c:v>1995.0</c:v>
                </c:pt>
                <c:pt idx="19">
                  <c:v>1996.0</c:v>
                </c:pt>
                <c:pt idx="20">
                  <c:v>1997.0</c:v>
                </c:pt>
                <c:pt idx="21">
                  <c:v>1998.0</c:v>
                </c:pt>
                <c:pt idx="22">
                  <c:v>1999.0</c:v>
                </c:pt>
                <c:pt idx="23">
                  <c:v>2000.0</c:v>
                </c:pt>
                <c:pt idx="24">
                  <c:v>2001.0</c:v>
                </c:pt>
                <c:pt idx="25">
                  <c:v>2002.0</c:v>
                </c:pt>
                <c:pt idx="26">
                  <c:v>2003.0</c:v>
                </c:pt>
                <c:pt idx="27">
                  <c:v>2004.0</c:v>
                </c:pt>
                <c:pt idx="28">
                  <c:v>2005.0</c:v>
                </c:pt>
                <c:pt idx="29">
                  <c:v>2006.0</c:v>
                </c:pt>
                <c:pt idx="30">
                  <c:v>2007.0</c:v>
                </c:pt>
                <c:pt idx="31">
                  <c:v>2008.0</c:v>
                </c:pt>
                <c:pt idx="32">
                  <c:v>2009.0</c:v>
                </c:pt>
                <c:pt idx="33">
                  <c:v>2010.0</c:v>
                </c:pt>
                <c:pt idx="34">
                  <c:v>2011.0</c:v>
                </c:pt>
                <c:pt idx="35">
                  <c:v>2012.0</c:v>
                </c:pt>
              </c:numCache>
            </c:numRef>
          </c:xVal>
          <c:yVal>
            <c:numRef>
              <c:f>'Table T6'!$F$9:$F$44</c:f>
              <c:numCache>
                <c:formatCode>0%</c:formatCode>
                <c:ptCount val="36"/>
                <c:pt idx="0">
                  <c:v>0.0113657889751847</c:v>
                </c:pt>
                <c:pt idx="1">
                  <c:v>0.0692545419208965</c:v>
                </c:pt>
                <c:pt idx="2">
                  <c:v>0.119106041514689</c:v>
                </c:pt>
                <c:pt idx="3">
                  <c:v>0.157669688453985</c:v>
                </c:pt>
                <c:pt idx="4">
                  <c:v>0.179679914810987</c:v>
                </c:pt>
                <c:pt idx="6">
                  <c:v>0.198482445235135</c:v>
                </c:pt>
                <c:pt idx="7">
                  <c:v>0.186239160291143</c:v>
                </c:pt>
                <c:pt idx="8">
                  <c:v>0.195364193605131</c:v>
                </c:pt>
                <c:pt idx="9">
                  <c:v>0.19645636450029</c:v>
                </c:pt>
                <c:pt idx="10">
                  <c:v>0.178731683516765</c:v>
                </c:pt>
                <c:pt idx="11">
                  <c:v>0.165145292961962</c:v>
                </c:pt>
                <c:pt idx="12">
                  <c:v>0.166266744949216</c:v>
                </c:pt>
                <c:pt idx="13">
                  <c:v>0.192721306347533</c:v>
                </c:pt>
                <c:pt idx="14">
                  <c:v>0.215422304867932</c:v>
                </c:pt>
                <c:pt idx="15">
                  <c:v>0.216684997962559</c:v>
                </c:pt>
                <c:pt idx="16">
                  <c:v>0.2426647974182</c:v>
                </c:pt>
                <c:pt idx="17">
                  <c:v>0.241087061041267</c:v>
                </c:pt>
                <c:pt idx="18">
                  <c:v>0.264923377730243</c:v>
                </c:pt>
                <c:pt idx="19">
                  <c:v>0.26782075749455</c:v>
                </c:pt>
                <c:pt idx="20">
                  <c:v>0.272382719147961</c:v>
                </c:pt>
                <c:pt idx="21">
                  <c:v>0.283699043341939</c:v>
                </c:pt>
                <c:pt idx="22">
                  <c:v>0.293425907618468</c:v>
                </c:pt>
                <c:pt idx="23">
                  <c:v>0.296959624995172</c:v>
                </c:pt>
                <c:pt idx="24">
                  <c:v>0.32563223699717</c:v>
                </c:pt>
                <c:pt idx="25">
                  <c:v>0.341231454178856</c:v>
                </c:pt>
                <c:pt idx="26">
                  <c:v>0.346777623366199</c:v>
                </c:pt>
                <c:pt idx="27">
                  <c:v>0.334931907683026</c:v>
                </c:pt>
                <c:pt idx="28">
                  <c:v>0.332159390734205</c:v>
                </c:pt>
                <c:pt idx="29">
                  <c:v>0.339825434565143</c:v>
                </c:pt>
                <c:pt idx="30">
                  <c:v>0.335249561735757</c:v>
                </c:pt>
                <c:pt idx="31">
                  <c:v>0.308781532925339</c:v>
                </c:pt>
                <c:pt idx="32">
                  <c:v>0.314481393013952</c:v>
                </c:pt>
                <c:pt idx="33">
                  <c:v>0.315288299182132</c:v>
                </c:pt>
                <c:pt idx="34">
                  <c:v>0.31295908780695</c:v>
                </c:pt>
                <c:pt idx="35">
                  <c:v>0.32032185284841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254952"/>
        <c:axId val="2090258072"/>
      </c:scatterChart>
      <c:valAx>
        <c:axId val="2090254952"/>
        <c:scaling>
          <c:orientation val="minMax"/>
          <c:max val="2015.0"/>
          <c:min val="1910.0"/>
        </c:scaling>
        <c:delete val="0"/>
        <c:axPos val="b"/>
        <c:majorGridlines>
          <c:spPr>
            <a:ln w="6350">
              <a:solidFill>
                <a:schemeClr val="tx1">
                  <a:alpha val="50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90258072"/>
        <c:crosses val="autoZero"/>
        <c:crossBetween val="midCat"/>
      </c:valAx>
      <c:valAx>
        <c:axId val="209025807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90254952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0720588623226487"/>
          <c:y val="0.0311183952684647"/>
          <c:w val="0.598095791474342"/>
          <c:h val="0.18607617486728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Verdana"/>
              <a:cs typeface="Verdana"/>
            </a:defRPr>
          </a:pPr>
          <a:endParaRPr lang="fr-FR"/>
        </a:p>
      </c:txPr>
    </c:legend>
    <c:plotVisOnly val="1"/>
    <c:dispBlanksAs val="span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1578954796019"/>
          <c:y val="0.0303165639362953"/>
          <c:w val="0.889910834367431"/>
          <c:h val="0.881033598175794"/>
        </c:manualLayout>
      </c:layout>
      <c:scatterChart>
        <c:scatterStyle val="lineMarker"/>
        <c:varyColors val="0"/>
        <c:ser>
          <c:idx val="0"/>
          <c:order val="0"/>
          <c:tx>
            <c:v>Share of Foreign Investments in U.S. Long Term Securities Managed in Offshore Financial Centers</c:v>
          </c:tx>
          <c:spPr>
            <a:ln w="38100">
              <a:solidFill>
                <a:schemeClr val="tx1"/>
              </a:solidFill>
            </a:ln>
          </c:spPr>
          <c:marker>
            <c:symbol val="triangle"/>
            <c:size val="10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'Table T5'!$A$9:$A$44</c:f>
              <c:numCache>
                <c:formatCode>General</c:formatCode>
                <c:ptCount val="36"/>
                <c:pt idx="0">
                  <c:v>1914.0</c:v>
                </c:pt>
                <c:pt idx="1">
                  <c:v>1929.0</c:v>
                </c:pt>
                <c:pt idx="2">
                  <c:v>1934.0</c:v>
                </c:pt>
                <c:pt idx="3">
                  <c:v>1937.0</c:v>
                </c:pt>
                <c:pt idx="4">
                  <c:v>1941.0</c:v>
                </c:pt>
                <c:pt idx="5">
                  <c:v>1974.0</c:v>
                </c:pt>
                <c:pt idx="6">
                  <c:v>1978.0</c:v>
                </c:pt>
                <c:pt idx="7">
                  <c:v>1984.0</c:v>
                </c:pt>
                <c:pt idx="8">
                  <c:v>1985.0</c:v>
                </c:pt>
                <c:pt idx="9">
                  <c:v>1986.0</c:v>
                </c:pt>
                <c:pt idx="10">
                  <c:v>1987.0</c:v>
                </c:pt>
                <c:pt idx="11">
                  <c:v>1988.0</c:v>
                </c:pt>
                <c:pt idx="12">
                  <c:v>1989.0</c:v>
                </c:pt>
                <c:pt idx="13">
                  <c:v>1990.0</c:v>
                </c:pt>
                <c:pt idx="14">
                  <c:v>1991.0</c:v>
                </c:pt>
                <c:pt idx="15">
                  <c:v>1992.0</c:v>
                </c:pt>
                <c:pt idx="16">
                  <c:v>1993.0</c:v>
                </c:pt>
                <c:pt idx="17">
                  <c:v>1994.0</c:v>
                </c:pt>
                <c:pt idx="18">
                  <c:v>1995.0</c:v>
                </c:pt>
                <c:pt idx="19">
                  <c:v>1996.0</c:v>
                </c:pt>
                <c:pt idx="20">
                  <c:v>1997.0</c:v>
                </c:pt>
                <c:pt idx="21">
                  <c:v>1998.0</c:v>
                </c:pt>
                <c:pt idx="22">
                  <c:v>1999.0</c:v>
                </c:pt>
                <c:pt idx="23">
                  <c:v>2000.0</c:v>
                </c:pt>
                <c:pt idx="24">
                  <c:v>2001.0</c:v>
                </c:pt>
                <c:pt idx="25">
                  <c:v>2002.0</c:v>
                </c:pt>
                <c:pt idx="26">
                  <c:v>2003.0</c:v>
                </c:pt>
                <c:pt idx="27">
                  <c:v>2004.0</c:v>
                </c:pt>
                <c:pt idx="28">
                  <c:v>2005.0</c:v>
                </c:pt>
                <c:pt idx="29">
                  <c:v>2006.0</c:v>
                </c:pt>
                <c:pt idx="30">
                  <c:v>2007.0</c:v>
                </c:pt>
                <c:pt idx="31">
                  <c:v>2008.0</c:v>
                </c:pt>
                <c:pt idx="32">
                  <c:v>2009.0</c:v>
                </c:pt>
                <c:pt idx="33">
                  <c:v>2010.0</c:v>
                </c:pt>
                <c:pt idx="34">
                  <c:v>2011.0</c:v>
                </c:pt>
                <c:pt idx="35">
                  <c:v>2012.0</c:v>
                </c:pt>
              </c:numCache>
            </c:numRef>
          </c:xVal>
          <c:yVal>
            <c:numRef>
              <c:f>'Table T6'!$F$9:$F$44</c:f>
              <c:numCache>
                <c:formatCode>0%</c:formatCode>
                <c:ptCount val="36"/>
                <c:pt idx="0">
                  <c:v>0.0113657889751847</c:v>
                </c:pt>
                <c:pt idx="1">
                  <c:v>0.0692545419208965</c:v>
                </c:pt>
                <c:pt idx="2">
                  <c:v>0.119106041514689</c:v>
                </c:pt>
                <c:pt idx="3">
                  <c:v>0.157669688453985</c:v>
                </c:pt>
                <c:pt idx="4">
                  <c:v>0.179679914810987</c:v>
                </c:pt>
                <c:pt idx="6">
                  <c:v>0.198482445235135</c:v>
                </c:pt>
                <c:pt idx="7">
                  <c:v>0.186239160291143</c:v>
                </c:pt>
                <c:pt idx="8">
                  <c:v>0.195364193605131</c:v>
                </c:pt>
                <c:pt idx="9">
                  <c:v>0.19645636450029</c:v>
                </c:pt>
                <c:pt idx="10">
                  <c:v>0.178731683516765</c:v>
                </c:pt>
                <c:pt idx="11">
                  <c:v>0.165145292961962</c:v>
                </c:pt>
                <c:pt idx="12">
                  <c:v>0.166266744949216</c:v>
                </c:pt>
                <c:pt idx="13">
                  <c:v>0.192721306347533</c:v>
                </c:pt>
                <c:pt idx="14">
                  <c:v>0.215422304867932</c:v>
                </c:pt>
                <c:pt idx="15">
                  <c:v>0.216684997962559</c:v>
                </c:pt>
                <c:pt idx="16">
                  <c:v>0.2426647974182</c:v>
                </c:pt>
                <c:pt idx="17">
                  <c:v>0.241087061041267</c:v>
                </c:pt>
                <c:pt idx="18">
                  <c:v>0.264923377730243</c:v>
                </c:pt>
                <c:pt idx="19">
                  <c:v>0.26782075749455</c:v>
                </c:pt>
                <c:pt idx="20">
                  <c:v>0.272382719147961</c:v>
                </c:pt>
                <c:pt idx="21">
                  <c:v>0.283699043341939</c:v>
                </c:pt>
                <c:pt idx="22">
                  <c:v>0.293425907618468</c:v>
                </c:pt>
                <c:pt idx="23">
                  <c:v>0.296959624995172</c:v>
                </c:pt>
                <c:pt idx="24">
                  <c:v>0.32563223699717</c:v>
                </c:pt>
                <c:pt idx="25">
                  <c:v>0.341231454178856</c:v>
                </c:pt>
                <c:pt idx="26">
                  <c:v>0.346777623366199</c:v>
                </c:pt>
                <c:pt idx="27">
                  <c:v>0.334931907683026</c:v>
                </c:pt>
                <c:pt idx="28">
                  <c:v>0.332159390734205</c:v>
                </c:pt>
                <c:pt idx="29">
                  <c:v>0.339825434565143</c:v>
                </c:pt>
                <c:pt idx="30">
                  <c:v>0.335249561735757</c:v>
                </c:pt>
                <c:pt idx="31">
                  <c:v>0.308781532925339</c:v>
                </c:pt>
                <c:pt idx="32">
                  <c:v>0.314481393013952</c:v>
                </c:pt>
                <c:pt idx="33">
                  <c:v>0.315288299182132</c:v>
                </c:pt>
                <c:pt idx="34">
                  <c:v>0.31295908780695</c:v>
                </c:pt>
                <c:pt idx="35">
                  <c:v>0.32032185284841</c:v>
                </c:pt>
              </c:numCache>
            </c:numRef>
          </c:yVal>
          <c:smooth val="0"/>
        </c:ser>
        <c:ser>
          <c:idx val="1"/>
          <c:order val="1"/>
          <c:tx>
            <c:v>Share of Foreign Investments in U.S. Long Term Securities Managed Ultimately in Switzerland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T5'!$A$9:$A$44</c:f>
              <c:numCache>
                <c:formatCode>General</c:formatCode>
                <c:ptCount val="36"/>
                <c:pt idx="0">
                  <c:v>1914.0</c:v>
                </c:pt>
                <c:pt idx="1">
                  <c:v>1929.0</c:v>
                </c:pt>
                <c:pt idx="2">
                  <c:v>1934.0</c:v>
                </c:pt>
                <c:pt idx="3">
                  <c:v>1937.0</c:v>
                </c:pt>
                <c:pt idx="4">
                  <c:v>1941.0</c:v>
                </c:pt>
                <c:pt idx="5">
                  <c:v>1974.0</c:v>
                </c:pt>
                <c:pt idx="6">
                  <c:v>1978.0</c:v>
                </c:pt>
                <c:pt idx="7">
                  <c:v>1984.0</c:v>
                </c:pt>
                <c:pt idx="8">
                  <c:v>1985.0</c:v>
                </c:pt>
                <c:pt idx="9">
                  <c:v>1986.0</c:v>
                </c:pt>
                <c:pt idx="10">
                  <c:v>1987.0</c:v>
                </c:pt>
                <c:pt idx="11">
                  <c:v>1988.0</c:v>
                </c:pt>
                <c:pt idx="12">
                  <c:v>1989.0</c:v>
                </c:pt>
                <c:pt idx="13">
                  <c:v>1990.0</c:v>
                </c:pt>
                <c:pt idx="14">
                  <c:v>1991.0</c:v>
                </c:pt>
                <c:pt idx="15">
                  <c:v>1992.0</c:v>
                </c:pt>
                <c:pt idx="16">
                  <c:v>1993.0</c:v>
                </c:pt>
                <c:pt idx="17">
                  <c:v>1994.0</c:v>
                </c:pt>
                <c:pt idx="18">
                  <c:v>1995.0</c:v>
                </c:pt>
                <c:pt idx="19">
                  <c:v>1996.0</c:v>
                </c:pt>
                <c:pt idx="20">
                  <c:v>1997.0</c:v>
                </c:pt>
                <c:pt idx="21">
                  <c:v>1998.0</c:v>
                </c:pt>
                <c:pt idx="22">
                  <c:v>1999.0</c:v>
                </c:pt>
                <c:pt idx="23">
                  <c:v>2000.0</c:v>
                </c:pt>
                <c:pt idx="24">
                  <c:v>2001.0</c:v>
                </c:pt>
                <c:pt idx="25">
                  <c:v>2002.0</c:v>
                </c:pt>
                <c:pt idx="26">
                  <c:v>2003.0</c:v>
                </c:pt>
                <c:pt idx="27">
                  <c:v>2004.0</c:v>
                </c:pt>
                <c:pt idx="28">
                  <c:v>2005.0</c:v>
                </c:pt>
                <c:pt idx="29">
                  <c:v>2006.0</c:v>
                </c:pt>
                <c:pt idx="30">
                  <c:v>2007.0</c:v>
                </c:pt>
                <c:pt idx="31">
                  <c:v>2008.0</c:v>
                </c:pt>
                <c:pt idx="32">
                  <c:v>2009.0</c:v>
                </c:pt>
                <c:pt idx="33">
                  <c:v>2010.0</c:v>
                </c:pt>
                <c:pt idx="34">
                  <c:v>2011.0</c:v>
                </c:pt>
                <c:pt idx="35">
                  <c:v>2012.0</c:v>
                </c:pt>
              </c:numCache>
            </c:numRef>
          </c:xVal>
          <c:yVal>
            <c:numRef>
              <c:f>'Table T6'!$G$9:$G$44</c:f>
              <c:numCache>
                <c:formatCode>0%</c:formatCode>
                <c:ptCount val="36"/>
                <c:pt idx="0">
                  <c:v>0.00947149081265391</c:v>
                </c:pt>
                <c:pt idx="1">
                  <c:v>0.0503669395788338</c:v>
                </c:pt>
                <c:pt idx="2">
                  <c:v>0.0958286358511837</c:v>
                </c:pt>
                <c:pt idx="3">
                  <c:v>0.142482550662939</c:v>
                </c:pt>
                <c:pt idx="4">
                  <c:v>0.150020357668577</c:v>
                </c:pt>
                <c:pt idx="6">
                  <c:v>0.143771166459468</c:v>
                </c:pt>
                <c:pt idx="7">
                  <c:v>0.0886966227207422</c:v>
                </c:pt>
                <c:pt idx="8">
                  <c:v>0.0836041838626307</c:v>
                </c:pt>
                <c:pt idx="9">
                  <c:v>0.0803526740932369</c:v>
                </c:pt>
                <c:pt idx="10">
                  <c:v>0.0731419567443051</c:v>
                </c:pt>
                <c:pt idx="11">
                  <c:v>0.0597041655141108</c:v>
                </c:pt>
                <c:pt idx="12">
                  <c:v>0.0494896034535084</c:v>
                </c:pt>
                <c:pt idx="13">
                  <c:v>0.0492226328533197</c:v>
                </c:pt>
                <c:pt idx="14">
                  <c:v>0.0552502225725623</c:v>
                </c:pt>
                <c:pt idx="15">
                  <c:v>0.0563491550010386</c:v>
                </c:pt>
                <c:pt idx="16">
                  <c:v>0.0561303760864008</c:v>
                </c:pt>
                <c:pt idx="17">
                  <c:v>0.055206096986257</c:v>
                </c:pt>
                <c:pt idx="18">
                  <c:v>0.0493922581148303</c:v>
                </c:pt>
                <c:pt idx="19">
                  <c:v>0.0471660046339507</c:v>
                </c:pt>
                <c:pt idx="20">
                  <c:v>0.0518495400429948</c:v>
                </c:pt>
                <c:pt idx="21">
                  <c:v>0.0589804861859995</c:v>
                </c:pt>
                <c:pt idx="22">
                  <c:v>0.0622101050767152</c:v>
                </c:pt>
                <c:pt idx="23">
                  <c:v>0.053810832668512</c:v>
                </c:pt>
                <c:pt idx="24">
                  <c:v>0.0498130140382996</c:v>
                </c:pt>
                <c:pt idx="25">
                  <c:v>0.0437038418355652</c:v>
                </c:pt>
                <c:pt idx="26">
                  <c:v>0.0433636489661936</c:v>
                </c:pt>
                <c:pt idx="27">
                  <c:v>0.0404682571786414</c:v>
                </c:pt>
                <c:pt idx="28">
                  <c:v>0.0368886804693238</c:v>
                </c:pt>
                <c:pt idx="29">
                  <c:v>0.0369101546471255</c:v>
                </c:pt>
                <c:pt idx="30">
                  <c:v>0.0338168858639782</c:v>
                </c:pt>
                <c:pt idx="31">
                  <c:v>0.0323758235668271</c:v>
                </c:pt>
                <c:pt idx="32">
                  <c:v>0.0375736378709233</c:v>
                </c:pt>
                <c:pt idx="33">
                  <c:v>0.0403806672041579</c:v>
                </c:pt>
                <c:pt idx="34">
                  <c:v>0.0413194345960622</c:v>
                </c:pt>
                <c:pt idx="35">
                  <c:v>0.0436803298738512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304392"/>
        <c:axId val="2090307432"/>
      </c:scatterChart>
      <c:valAx>
        <c:axId val="2090304392"/>
        <c:scaling>
          <c:orientation val="minMax"/>
          <c:max val="2015.0"/>
          <c:min val="1910.0"/>
        </c:scaling>
        <c:delete val="0"/>
        <c:axPos val="b"/>
        <c:majorGridlines>
          <c:spPr>
            <a:ln w="6350">
              <a:solidFill>
                <a:schemeClr val="tx1">
                  <a:alpha val="50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90307432"/>
        <c:crosses val="autoZero"/>
        <c:crossBetween val="midCat"/>
      </c:valAx>
      <c:valAx>
        <c:axId val="209030743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90304392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0720588623226487"/>
          <c:y val="0.0311183952684647"/>
          <c:w val="0.61877143632908"/>
          <c:h val="0.33313499839669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Verdana"/>
              <a:cs typeface="Verdana"/>
            </a:defRPr>
          </a:pPr>
          <a:endParaRPr lang="fr-FR"/>
        </a:p>
      </c:txPr>
    </c:legend>
    <c:plotVisOnly val="1"/>
    <c:dispBlanksAs val="span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lIns="2" anchor="ctr" anchorCtr="1">
            <a:spAutoFit/>
          </a:bodyPr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600"/>
              <a:t>Foreign Holders of </a:t>
            </a:r>
            <a:r>
              <a:rPr lang="fr-FR" sz="1600" baseline="0"/>
              <a:t>U.S. Securities</a:t>
            </a:r>
          </a:p>
        </c:rich>
      </c:tx>
      <c:layout>
        <c:manualLayout>
          <c:xMode val="edge"/>
          <c:yMode val="edge"/>
          <c:x val="0.277241379310345"/>
          <c:y val="0.018099547511312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58620689655172"/>
          <c:y val="0.081447963800905"/>
          <c:w val="0.895172413793103"/>
          <c:h val="0.846153846153846"/>
        </c:manualLayout>
      </c:layout>
      <c:scatterChart>
        <c:scatterStyle val="lineMarker"/>
        <c:varyColors val="0"/>
        <c:ser>
          <c:idx val="4"/>
          <c:order val="0"/>
          <c:tx>
            <c:v>Industrial Countries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T8'!$A$9:$A$40</c:f>
              <c:numCache>
                <c:formatCode>General</c:formatCode>
                <c:ptCount val="32"/>
                <c:pt idx="0">
                  <c:v>1978.0</c:v>
                </c:pt>
                <c:pt idx="1">
                  <c:v>1984.0</c:v>
                </c:pt>
                <c:pt idx="2">
                  <c:v>1985.0</c:v>
                </c:pt>
                <c:pt idx="3">
                  <c:v>1986.0</c:v>
                </c:pt>
                <c:pt idx="4">
                  <c:v>1987.0</c:v>
                </c:pt>
                <c:pt idx="5">
                  <c:v>1988.0</c:v>
                </c:pt>
                <c:pt idx="6">
                  <c:v>1989.0</c:v>
                </c:pt>
                <c:pt idx="7">
                  <c:v>1990.0</c:v>
                </c:pt>
                <c:pt idx="8">
                  <c:v>1991.0</c:v>
                </c:pt>
                <c:pt idx="9">
                  <c:v>1992.0</c:v>
                </c:pt>
                <c:pt idx="10">
                  <c:v>1993.0</c:v>
                </c:pt>
                <c:pt idx="11">
                  <c:v>1994.0</c:v>
                </c:pt>
                <c:pt idx="12">
                  <c:v>1995.0</c:v>
                </c:pt>
                <c:pt idx="13">
                  <c:v>1996.0</c:v>
                </c:pt>
                <c:pt idx="14">
                  <c:v>1997.0</c:v>
                </c:pt>
                <c:pt idx="15">
                  <c:v>1998.0</c:v>
                </c:pt>
                <c:pt idx="16">
                  <c:v>1999.0</c:v>
                </c:pt>
                <c:pt idx="17">
                  <c:v>2000.0</c:v>
                </c:pt>
                <c:pt idx="18">
                  <c:v>2001.0</c:v>
                </c:pt>
                <c:pt idx="19">
                  <c:v>2002.0</c:v>
                </c:pt>
                <c:pt idx="20">
                  <c:v>2003.0</c:v>
                </c:pt>
                <c:pt idx="21">
                  <c:v>2004.0</c:v>
                </c:pt>
                <c:pt idx="22">
                  <c:v>2005.0</c:v>
                </c:pt>
                <c:pt idx="23">
                  <c:v>2006.0</c:v>
                </c:pt>
                <c:pt idx="24">
                  <c:v>2007.0</c:v>
                </c:pt>
                <c:pt idx="25">
                  <c:v>2008.0</c:v>
                </c:pt>
                <c:pt idx="26">
                  <c:v>2009.0</c:v>
                </c:pt>
                <c:pt idx="27">
                  <c:v>2010.0</c:v>
                </c:pt>
                <c:pt idx="28">
                  <c:v>2011.0</c:v>
                </c:pt>
                <c:pt idx="29">
                  <c:v>2012.0</c:v>
                </c:pt>
                <c:pt idx="30">
                  <c:v>2013.0</c:v>
                </c:pt>
                <c:pt idx="31">
                  <c:v>2014.0</c:v>
                </c:pt>
              </c:numCache>
            </c:numRef>
          </c:xVal>
          <c:yVal>
            <c:numRef>
              <c:f>'Table T8'!$B$9:$B$40</c:f>
              <c:numCache>
                <c:formatCode>0%</c:formatCode>
                <c:ptCount val="32"/>
                <c:pt idx="0">
                  <c:v>0.636574997515758</c:v>
                </c:pt>
                <c:pt idx="1">
                  <c:v>0.525437461545314</c:v>
                </c:pt>
                <c:pt idx="2">
                  <c:v>0.575355773481584</c:v>
                </c:pt>
                <c:pt idx="3">
                  <c:v>0.620927779620173</c:v>
                </c:pt>
                <c:pt idx="4">
                  <c:v>0.638748594348888</c:v>
                </c:pt>
                <c:pt idx="5">
                  <c:v>0.657800266105236</c:v>
                </c:pt>
                <c:pt idx="6">
                  <c:v>0.658978864652182</c:v>
                </c:pt>
                <c:pt idx="7">
                  <c:v>0.636916516251073</c:v>
                </c:pt>
                <c:pt idx="8">
                  <c:v>0.611294557840292</c:v>
                </c:pt>
                <c:pt idx="9">
                  <c:v>0.582692965447578</c:v>
                </c:pt>
                <c:pt idx="10">
                  <c:v>0.577188593405849</c:v>
                </c:pt>
                <c:pt idx="11">
                  <c:v>0.591275552490431</c:v>
                </c:pt>
                <c:pt idx="12">
                  <c:v>0.567258247146653</c:v>
                </c:pt>
                <c:pt idx="13">
                  <c:v>0.573034775927761</c:v>
                </c:pt>
                <c:pt idx="14">
                  <c:v>0.580732973983449</c:v>
                </c:pt>
                <c:pt idx="15">
                  <c:v>0.58025347010579</c:v>
                </c:pt>
                <c:pt idx="16">
                  <c:v>0.583135050761683</c:v>
                </c:pt>
                <c:pt idx="17">
                  <c:v>0.561394280923973</c:v>
                </c:pt>
                <c:pt idx="18">
                  <c:v>0.521839170553934</c:v>
                </c:pt>
                <c:pt idx="19">
                  <c:v>0.483763520438515</c:v>
                </c:pt>
                <c:pt idx="20">
                  <c:v>0.469394622052894</c:v>
                </c:pt>
                <c:pt idx="21">
                  <c:v>0.463563117425862</c:v>
                </c:pt>
                <c:pt idx="22">
                  <c:v>0.444828914042181</c:v>
                </c:pt>
                <c:pt idx="23">
                  <c:v>0.424785219013141</c:v>
                </c:pt>
                <c:pt idx="24">
                  <c:v>0.399838332495365</c:v>
                </c:pt>
                <c:pt idx="25">
                  <c:v>0.355133898655046</c:v>
                </c:pt>
                <c:pt idx="26">
                  <c:v>0.368056364446589</c:v>
                </c:pt>
                <c:pt idx="27">
                  <c:v>0.37493995949439</c:v>
                </c:pt>
                <c:pt idx="28">
                  <c:v>0.383284956754428</c:v>
                </c:pt>
                <c:pt idx="29">
                  <c:v>0.408859170520667</c:v>
                </c:pt>
              </c:numCache>
            </c:numRef>
          </c:yVal>
          <c:smooth val="0"/>
        </c:ser>
        <c:ser>
          <c:idx val="6"/>
          <c:order val="1"/>
          <c:tx>
            <c:v>Offshore Centers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'Table T8'!$A$9:$A$40</c:f>
              <c:numCache>
                <c:formatCode>General</c:formatCode>
                <c:ptCount val="32"/>
                <c:pt idx="0">
                  <c:v>1978.0</c:v>
                </c:pt>
                <c:pt idx="1">
                  <c:v>1984.0</c:v>
                </c:pt>
                <c:pt idx="2">
                  <c:v>1985.0</c:v>
                </c:pt>
                <c:pt idx="3">
                  <c:v>1986.0</c:v>
                </c:pt>
                <c:pt idx="4">
                  <c:v>1987.0</c:v>
                </c:pt>
                <c:pt idx="5">
                  <c:v>1988.0</c:v>
                </c:pt>
                <c:pt idx="6">
                  <c:v>1989.0</c:v>
                </c:pt>
                <c:pt idx="7">
                  <c:v>1990.0</c:v>
                </c:pt>
                <c:pt idx="8">
                  <c:v>1991.0</c:v>
                </c:pt>
                <c:pt idx="9">
                  <c:v>1992.0</c:v>
                </c:pt>
                <c:pt idx="10">
                  <c:v>1993.0</c:v>
                </c:pt>
                <c:pt idx="11">
                  <c:v>1994.0</c:v>
                </c:pt>
                <c:pt idx="12">
                  <c:v>1995.0</c:v>
                </c:pt>
                <c:pt idx="13">
                  <c:v>1996.0</c:v>
                </c:pt>
                <c:pt idx="14">
                  <c:v>1997.0</c:v>
                </c:pt>
                <c:pt idx="15">
                  <c:v>1998.0</c:v>
                </c:pt>
                <c:pt idx="16">
                  <c:v>1999.0</c:v>
                </c:pt>
                <c:pt idx="17">
                  <c:v>2000.0</c:v>
                </c:pt>
                <c:pt idx="18">
                  <c:v>2001.0</c:v>
                </c:pt>
                <c:pt idx="19">
                  <c:v>2002.0</c:v>
                </c:pt>
                <c:pt idx="20">
                  <c:v>2003.0</c:v>
                </c:pt>
                <c:pt idx="21">
                  <c:v>2004.0</c:v>
                </c:pt>
                <c:pt idx="22">
                  <c:v>2005.0</c:v>
                </c:pt>
                <c:pt idx="23">
                  <c:v>2006.0</c:v>
                </c:pt>
                <c:pt idx="24">
                  <c:v>2007.0</c:v>
                </c:pt>
                <c:pt idx="25">
                  <c:v>2008.0</c:v>
                </c:pt>
                <c:pt idx="26">
                  <c:v>2009.0</c:v>
                </c:pt>
                <c:pt idx="27">
                  <c:v>2010.0</c:v>
                </c:pt>
                <c:pt idx="28">
                  <c:v>2011.0</c:v>
                </c:pt>
                <c:pt idx="29">
                  <c:v>2012.0</c:v>
                </c:pt>
                <c:pt idx="30">
                  <c:v>2013.0</c:v>
                </c:pt>
                <c:pt idx="31">
                  <c:v>2014.0</c:v>
                </c:pt>
              </c:numCache>
            </c:numRef>
          </c:xVal>
          <c:yVal>
            <c:numRef>
              <c:f>'Table T8'!$F$9:$F$40</c:f>
              <c:numCache>
                <c:formatCode>0%</c:formatCode>
                <c:ptCount val="32"/>
                <c:pt idx="0">
                  <c:v>0.196805802243898</c:v>
                </c:pt>
                <c:pt idx="1">
                  <c:v>0.234803970337339</c:v>
                </c:pt>
                <c:pt idx="2">
                  <c:v>0.220932998081042</c:v>
                </c:pt>
                <c:pt idx="3">
                  <c:v>0.216394233226698</c:v>
                </c:pt>
                <c:pt idx="4">
                  <c:v>0.195201793777348</c:v>
                </c:pt>
                <c:pt idx="5">
                  <c:v>0.178099862624339</c:v>
                </c:pt>
                <c:pt idx="6">
                  <c:v>0.179315300062767</c:v>
                </c:pt>
                <c:pt idx="7">
                  <c:v>0.210856770064098</c:v>
                </c:pt>
                <c:pt idx="8">
                  <c:v>0.226160836012553</c:v>
                </c:pt>
                <c:pt idx="9">
                  <c:v>0.228059944605349</c:v>
                </c:pt>
                <c:pt idx="10">
                  <c:v>0.236268415013272</c:v>
                </c:pt>
                <c:pt idx="11">
                  <c:v>0.235992257323127</c:v>
                </c:pt>
                <c:pt idx="12">
                  <c:v>0.25524200734615</c:v>
                </c:pt>
                <c:pt idx="13">
                  <c:v>0.25078564753707</c:v>
                </c:pt>
                <c:pt idx="14">
                  <c:v>0.261786176423927</c:v>
                </c:pt>
                <c:pt idx="15">
                  <c:v>0.27455413299549</c:v>
                </c:pt>
                <c:pt idx="16">
                  <c:v>0.280287905326421</c:v>
                </c:pt>
                <c:pt idx="17">
                  <c:v>0.281619345928553</c:v>
                </c:pt>
                <c:pt idx="18">
                  <c:v>0.306086899997392</c:v>
                </c:pt>
                <c:pt idx="19">
                  <c:v>0.323761887830867</c:v>
                </c:pt>
                <c:pt idx="20">
                  <c:v>0.339982027693061</c:v>
                </c:pt>
                <c:pt idx="21">
                  <c:v>0.332655603919617</c:v>
                </c:pt>
                <c:pt idx="22">
                  <c:v>0.329583653166917</c:v>
                </c:pt>
                <c:pt idx="23">
                  <c:v>0.340153988134487</c:v>
                </c:pt>
                <c:pt idx="24">
                  <c:v>0.337504766501588</c:v>
                </c:pt>
                <c:pt idx="25">
                  <c:v>0.320482066299458</c:v>
                </c:pt>
                <c:pt idx="26">
                  <c:v>0.3259163410655</c:v>
                </c:pt>
                <c:pt idx="27">
                  <c:v>0.326061956209471</c:v>
                </c:pt>
                <c:pt idx="28">
                  <c:v>0.324757447546915</c:v>
                </c:pt>
                <c:pt idx="29">
                  <c:v>0.330366310530414</c:v>
                </c:pt>
              </c:numCache>
            </c:numRef>
          </c:yVal>
          <c:smooth val="0"/>
        </c:ser>
        <c:ser>
          <c:idx val="0"/>
          <c:order val="2"/>
          <c:tx>
            <c:v>Emerging and Developing Countries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'Table T8'!$A$9:$A$40</c:f>
              <c:numCache>
                <c:formatCode>General</c:formatCode>
                <c:ptCount val="32"/>
                <c:pt idx="0">
                  <c:v>1978.0</c:v>
                </c:pt>
                <c:pt idx="1">
                  <c:v>1984.0</c:v>
                </c:pt>
                <c:pt idx="2">
                  <c:v>1985.0</c:v>
                </c:pt>
                <c:pt idx="3">
                  <c:v>1986.0</c:v>
                </c:pt>
                <c:pt idx="4">
                  <c:v>1987.0</c:v>
                </c:pt>
                <c:pt idx="5">
                  <c:v>1988.0</c:v>
                </c:pt>
                <c:pt idx="6">
                  <c:v>1989.0</c:v>
                </c:pt>
                <c:pt idx="7">
                  <c:v>1990.0</c:v>
                </c:pt>
                <c:pt idx="8">
                  <c:v>1991.0</c:v>
                </c:pt>
                <c:pt idx="9">
                  <c:v>1992.0</c:v>
                </c:pt>
                <c:pt idx="10">
                  <c:v>1993.0</c:v>
                </c:pt>
                <c:pt idx="11">
                  <c:v>1994.0</c:v>
                </c:pt>
                <c:pt idx="12">
                  <c:v>1995.0</c:v>
                </c:pt>
                <c:pt idx="13">
                  <c:v>1996.0</c:v>
                </c:pt>
                <c:pt idx="14">
                  <c:v>1997.0</c:v>
                </c:pt>
                <c:pt idx="15">
                  <c:v>1998.0</c:v>
                </c:pt>
                <c:pt idx="16">
                  <c:v>1999.0</c:v>
                </c:pt>
                <c:pt idx="17">
                  <c:v>2000.0</c:v>
                </c:pt>
                <c:pt idx="18">
                  <c:v>2001.0</c:v>
                </c:pt>
                <c:pt idx="19">
                  <c:v>2002.0</c:v>
                </c:pt>
                <c:pt idx="20">
                  <c:v>2003.0</c:v>
                </c:pt>
                <c:pt idx="21">
                  <c:v>2004.0</c:v>
                </c:pt>
                <c:pt idx="22">
                  <c:v>2005.0</c:v>
                </c:pt>
                <c:pt idx="23">
                  <c:v>2006.0</c:v>
                </c:pt>
                <c:pt idx="24">
                  <c:v>2007.0</c:v>
                </c:pt>
                <c:pt idx="25">
                  <c:v>2008.0</c:v>
                </c:pt>
                <c:pt idx="26">
                  <c:v>2009.0</c:v>
                </c:pt>
                <c:pt idx="27">
                  <c:v>2010.0</c:v>
                </c:pt>
                <c:pt idx="28">
                  <c:v>2011.0</c:v>
                </c:pt>
                <c:pt idx="29">
                  <c:v>2012.0</c:v>
                </c:pt>
                <c:pt idx="30">
                  <c:v>2013.0</c:v>
                </c:pt>
                <c:pt idx="31">
                  <c:v>2014.0</c:v>
                </c:pt>
              </c:numCache>
            </c:numRef>
          </c:xVal>
          <c:yVal>
            <c:numRef>
              <c:f>'Table T8'!$C$9:$C$40</c:f>
              <c:numCache>
                <c:formatCode>0%</c:formatCode>
                <c:ptCount val="32"/>
                <c:pt idx="0">
                  <c:v>0.166619200240343</c:v>
                </c:pt>
                <c:pt idx="1">
                  <c:v>0.239758568117347</c:v>
                </c:pt>
                <c:pt idx="2">
                  <c:v>0.203711228437375</c:v>
                </c:pt>
                <c:pt idx="3">
                  <c:v>0.162677987153129</c:v>
                </c:pt>
                <c:pt idx="4">
                  <c:v>0.166049611873764</c:v>
                </c:pt>
                <c:pt idx="5">
                  <c:v>0.164099871270425</c:v>
                </c:pt>
                <c:pt idx="6">
                  <c:v>0.161705835285051</c:v>
                </c:pt>
                <c:pt idx="7">
                  <c:v>0.152226713684828</c:v>
                </c:pt>
                <c:pt idx="8">
                  <c:v>0.162544606147156</c:v>
                </c:pt>
                <c:pt idx="9">
                  <c:v>0.189247089947073</c:v>
                </c:pt>
                <c:pt idx="10">
                  <c:v>0.186542991580879</c:v>
                </c:pt>
                <c:pt idx="11">
                  <c:v>0.172732190186442</c:v>
                </c:pt>
                <c:pt idx="12">
                  <c:v>0.177499745507197</c:v>
                </c:pt>
                <c:pt idx="13">
                  <c:v>0.176179576535169</c:v>
                </c:pt>
                <c:pt idx="14">
                  <c:v>0.157480849592624</c:v>
                </c:pt>
                <c:pt idx="15">
                  <c:v>0.14519239689872</c:v>
                </c:pt>
                <c:pt idx="16">
                  <c:v>0.136577043911896</c:v>
                </c:pt>
                <c:pt idx="17">
                  <c:v>0.156986373147474</c:v>
                </c:pt>
                <c:pt idx="18">
                  <c:v>0.172073929448674</c:v>
                </c:pt>
                <c:pt idx="19">
                  <c:v>0.192474591730617</c:v>
                </c:pt>
                <c:pt idx="20">
                  <c:v>0.190623350254045</c:v>
                </c:pt>
                <c:pt idx="21">
                  <c:v>0.203781278654521</c:v>
                </c:pt>
                <c:pt idx="22">
                  <c:v>0.225587432790903</c:v>
                </c:pt>
                <c:pt idx="23">
                  <c:v>0.235060792852372</c:v>
                </c:pt>
                <c:pt idx="24">
                  <c:v>0.262656901003047</c:v>
                </c:pt>
                <c:pt idx="25">
                  <c:v>0.324384035045496</c:v>
                </c:pt>
                <c:pt idx="26">
                  <c:v>0.30602729448791</c:v>
                </c:pt>
                <c:pt idx="27">
                  <c:v>0.298998084296138</c:v>
                </c:pt>
                <c:pt idx="28">
                  <c:v>0.291957595698657</c:v>
                </c:pt>
                <c:pt idx="29">
                  <c:v>0.260774518948919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997576"/>
        <c:axId val="2074001064"/>
      </c:scatterChart>
      <c:valAx>
        <c:axId val="2073997576"/>
        <c:scaling>
          <c:orientation val="minMax"/>
          <c:max val="2013.0"/>
          <c:min val="1978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74001064"/>
        <c:crosses val="autoZero"/>
        <c:crossBetween val="midCat"/>
        <c:majorUnit val="5.0"/>
        <c:minorUnit val="4.0"/>
      </c:valAx>
      <c:valAx>
        <c:axId val="2074001064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73997576"/>
        <c:crosses val="autoZero"/>
        <c:crossBetween val="midCat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03309258756449"/>
          <c:y val="0.414027149321267"/>
          <c:w val="0.431724137931034"/>
          <c:h val="0.1561085972850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1578954796019"/>
          <c:y val="0.0303165639362953"/>
          <c:w val="0.889910834367431"/>
          <c:h val="0.881033598175794"/>
        </c:manualLayout>
      </c:layout>
      <c:scatterChart>
        <c:scatterStyle val="lineMarker"/>
        <c:varyColors val="0"/>
        <c:ser>
          <c:idx val="0"/>
          <c:order val="0"/>
          <c:tx>
            <c:v>Share of Foreign Investments in U.S. Equities Managed in Offshore Financial Centers</c:v>
          </c:tx>
          <c:spPr>
            <a:ln w="38100">
              <a:solidFill>
                <a:schemeClr val="tx1"/>
              </a:solidFill>
            </a:ln>
          </c:spPr>
          <c:marker>
            <c:symbol val="triangle"/>
            <c:size val="10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'Table T6'!$A$13:$A$40</c:f>
              <c:numCache>
                <c:formatCode>General</c:formatCode>
                <c:ptCount val="28"/>
                <c:pt idx="0">
                  <c:v>1941.0</c:v>
                </c:pt>
                <c:pt idx="1">
                  <c:v>1974.0</c:v>
                </c:pt>
                <c:pt idx="2">
                  <c:v>1978.0</c:v>
                </c:pt>
                <c:pt idx="3">
                  <c:v>1984.0</c:v>
                </c:pt>
                <c:pt idx="4">
                  <c:v>1985.0</c:v>
                </c:pt>
                <c:pt idx="5">
                  <c:v>1986.0</c:v>
                </c:pt>
                <c:pt idx="6">
                  <c:v>1987.0</c:v>
                </c:pt>
                <c:pt idx="7">
                  <c:v>1988.0</c:v>
                </c:pt>
                <c:pt idx="8">
                  <c:v>1989.0</c:v>
                </c:pt>
                <c:pt idx="9">
                  <c:v>1990.0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2003.0</c:v>
                </c:pt>
                <c:pt idx="23">
                  <c:v>2004.0</c:v>
                </c:pt>
                <c:pt idx="24">
                  <c:v>2005.0</c:v>
                </c:pt>
                <c:pt idx="25">
                  <c:v>2006.0</c:v>
                </c:pt>
                <c:pt idx="26">
                  <c:v>2007.0</c:v>
                </c:pt>
                <c:pt idx="27">
                  <c:v>2008.0</c:v>
                </c:pt>
              </c:numCache>
            </c:numRef>
          </c:xVal>
          <c:yVal>
            <c:numRef>
              <c:f>'Table T6'!$L$13:$L$40</c:f>
              <c:numCache>
                <c:formatCode>0%</c:formatCode>
                <c:ptCount val="28"/>
                <c:pt idx="0">
                  <c:v>0.194990504542422</c:v>
                </c:pt>
                <c:pt idx="1">
                  <c:v>0.390674970543679</c:v>
                </c:pt>
                <c:pt idx="2">
                  <c:v>0.3424770004842</c:v>
                </c:pt>
                <c:pt idx="3">
                  <c:v>0.274750478633974</c:v>
                </c:pt>
                <c:pt idx="4">
                  <c:v>0.268937547094544</c:v>
                </c:pt>
                <c:pt idx="5">
                  <c:v>0.26053092825388</c:v>
                </c:pt>
                <c:pt idx="6">
                  <c:v>0.242944553761557</c:v>
                </c:pt>
                <c:pt idx="7">
                  <c:v>0.229907866761162</c:v>
                </c:pt>
                <c:pt idx="8">
                  <c:v>0.219473408455277</c:v>
                </c:pt>
                <c:pt idx="9">
                  <c:v>0.224960224807323</c:v>
                </c:pt>
                <c:pt idx="10">
                  <c:v>0.24206079455686</c:v>
                </c:pt>
                <c:pt idx="11">
                  <c:v>0.258233887335752</c:v>
                </c:pt>
                <c:pt idx="12">
                  <c:v>0.287332075052737</c:v>
                </c:pt>
                <c:pt idx="13">
                  <c:v>0.285281390974971</c:v>
                </c:pt>
                <c:pt idx="14">
                  <c:v>0.299636570477459</c:v>
                </c:pt>
                <c:pt idx="15">
                  <c:v>0.32182991630086</c:v>
                </c:pt>
                <c:pt idx="16">
                  <c:v>0.325466499905978</c:v>
                </c:pt>
                <c:pt idx="17">
                  <c:v>0.316990897556678</c:v>
                </c:pt>
                <c:pt idx="18">
                  <c:v>0.312725856777888</c:v>
                </c:pt>
                <c:pt idx="19">
                  <c:v>0.306630459522232</c:v>
                </c:pt>
                <c:pt idx="20">
                  <c:v>0.321110163127251</c:v>
                </c:pt>
                <c:pt idx="21">
                  <c:v>0.337073016007916</c:v>
                </c:pt>
                <c:pt idx="22">
                  <c:v>0.346647399032913</c:v>
                </c:pt>
                <c:pt idx="23">
                  <c:v>0.33886117191875</c:v>
                </c:pt>
                <c:pt idx="24">
                  <c:v>0.352008929927143</c:v>
                </c:pt>
                <c:pt idx="25">
                  <c:v>0.349149188690323</c:v>
                </c:pt>
                <c:pt idx="26">
                  <c:v>0.343864183489746</c:v>
                </c:pt>
                <c:pt idx="27">
                  <c:v>0.33214086198147</c:v>
                </c:pt>
              </c:numCache>
            </c:numRef>
          </c:yVal>
          <c:smooth val="0"/>
        </c:ser>
        <c:ser>
          <c:idx val="1"/>
          <c:order val="1"/>
          <c:tx>
            <c:v>Share of Foreign Investments in U.S. Equities Managed Ultimately in Switzerland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T6'!$A$13:$A$40</c:f>
              <c:numCache>
                <c:formatCode>General</c:formatCode>
                <c:ptCount val="28"/>
                <c:pt idx="0">
                  <c:v>1941.0</c:v>
                </c:pt>
                <c:pt idx="1">
                  <c:v>1974.0</c:v>
                </c:pt>
                <c:pt idx="2">
                  <c:v>1978.0</c:v>
                </c:pt>
                <c:pt idx="3">
                  <c:v>1984.0</c:v>
                </c:pt>
                <c:pt idx="4">
                  <c:v>1985.0</c:v>
                </c:pt>
                <c:pt idx="5">
                  <c:v>1986.0</c:v>
                </c:pt>
                <c:pt idx="6">
                  <c:v>1987.0</c:v>
                </c:pt>
                <c:pt idx="7">
                  <c:v>1988.0</c:v>
                </c:pt>
                <c:pt idx="8">
                  <c:v>1989.0</c:v>
                </c:pt>
                <c:pt idx="9">
                  <c:v>1990.0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2003.0</c:v>
                </c:pt>
                <c:pt idx="23">
                  <c:v>2004.0</c:v>
                </c:pt>
                <c:pt idx="24">
                  <c:v>2005.0</c:v>
                </c:pt>
                <c:pt idx="25">
                  <c:v>2006.0</c:v>
                </c:pt>
                <c:pt idx="26">
                  <c:v>2007.0</c:v>
                </c:pt>
                <c:pt idx="27">
                  <c:v>2008.0</c:v>
                </c:pt>
              </c:numCache>
            </c:numRef>
          </c:xVal>
          <c:yVal>
            <c:numRef>
              <c:f>'Table T6'!$M$13:$M$40</c:f>
              <c:numCache>
                <c:formatCode>0%</c:formatCode>
                <c:ptCount val="28"/>
                <c:pt idx="0">
                  <c:v>0.155109582713135</c:v>
                </c:pt>
                <c:pt idx="1">
                  <c:v>0.295909779498401</c:v>
                </c:pt>
                <c:pt idx="2">
                  <c:v>0.257994568535399</c:v>
                </c:pt>
                <c:pt idx="3">
                  <c:v>0.168858178566916</c:v>
                </c:pt>
                <c:pt idx="4">
                  <c:v>0.155386138321292</c:v>
                </c:pt>
                <c:pt idx="5">
                  <c:v>0.142122552262887</c:v>
                </c:pt>
                <c:pt idx="6">
                  <c:v>0.120682498180544</c:v>
                </c:pt>
                <c:pt idx="7">
                  <c:v>0.106952760331386</c:v>
                </c:pt>
                <c:pt idx="8">
                  <c:v>0.0859511633570211</c:v>
                </c:pt>
                <c:pt idx="9">
                  <c:v>0.0866376015042254</c:v>
                </c:pt>
                <c:pt idx="10">
                  <c:v>0.0881126868984098</c:v>
                </c:pt>
                <c:pt idx="11">
                  <c:v>0.0950821353068727</c:v>
                </c:pt>
                <c:pt idx="12">
                  <c:v>0.102087265460198</c:v>
                </c:pt>
                <c:pt idx="13">
                  <c:v>0.105112253889758</c:v>
                </c:pt>
                <c:pt idx="14">
                  <c:v>0.0945183986195786</c:v>
                </c:pt>
                <c:pt idx="15">
                  <c:v>0.0949955114269336</c:v>
                </c:pt>
                <c:pt idx="16">
                  <c:v>0.0958057646137901</c:v>
                </c:pt>
                <c:pt idx="17">
                  <c:v>0.0956696986145873</c:v>
                </c:pt>
                <c:pt idx="18">
                  <c:v>0.0922536586870364</c:v>
                </c:pt>
                <c:pt idx="19">
                  <c:v>0.0850662505234275</c:v>
                </c:pt>
                <c:pt idx="20">
                  <c:v>0.0786935848085119</c:v>
                </c:pt>
                <c:pt idx="21">
                  <c:v>0.0732466870230861</c:v>
                </c:pt>
                <c:pt idx="22">
                  <c:v>0.0672939545619501</c:v>
                </c:pt>
                <c:pt idx="23">
                  <c:v>0.0634218956522067</c:v>
                </c:pt>
                <c:pt idx="24">
                  <c:v>0.0618526735552858</c:v>
                </c:pt>
                <c:pt idx="25">
                  <c:v>0.0598790890923422</c:v>
                </c:pt>
                <c:pt idx="26">
                  <c:v>0.0552129610526912</c:v>
                </c:pt>
                <c:pt idx="27">
                  <c:v>0.0567373130919613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423512"/>
        <c:axId val="2073420728"/>
      </c:scatterChart>
      <c:valAx>
        <c:axId val="2073423512"/>
        <c:scaling>
          <c:orientation val="minMax"/>
          <c:max val="2010.0"/>
          <c:min val="1940.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73420728"/>
        <c:crosses val="autoZero"/>
        <c:crossBetween val="midCat"/>
      </c:valAx>
      <c:valAx>
        <c:axId val="207342072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73423512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0748174857453163"/>
          <c:y val="0.699095022624434"/>
          <c:w val="0.573868476785229"/>
          <c:h val="0.20981223500908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Verdana"/>
              <a:cs typeface="Verdana"/>
            </a:defRPr>
          </a:pPr>
          <a:endParaRPr lang="fr-FR"/>
        </a:p>
      </c:txPr>
    </c:legend>
    <c:plotVisOnly val="1"/>
    <c:dispBlanksAs val="span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731578954796019"/>
          <c:y val="0.0303165639362953"/>
          <c:w val="0.889910834367431"/>
          <c:h val="0.881033598175794"/>
        </c:manualLayout>
      </c:layout>
      <c:scatterChart>
        <c:scatterStyle val="lineMarker"/>
        <c:varyColors val="0"/>
        <c:ser>
          <c:idx val="0"/>
          <c:order val="0"/>
          <c:tx>
            <c:v>Fraction of U.S. Equity Market Capitalization Managed in Offshore Financial Centers</c:v>
          </c:tx>
          <c:spPr>
            <a:ln w="38100">
              <a:solidFill>
                <a:schemeClr val="tx1"/>
              </a:solidFill>
            </a:ln>
          </c:spPr>
          <c:marker>
            <c:symbol val="triangle"/>
            <c:size val="10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'Table T6'!$A$13:$A$44</c:f>
              <c:numCache>
                <c:formatCode>General</c:formatCode>
                <c:ptCount val="32"/>
                <c:pt idx="0">
                  <c:v>1941.0</c:v>
                </c:pt>
                <c:pt idx="1">
                  <c:v>1974.0</c:v>
                </c:pt>
                <c:pt idx="2">
                  <c:v>1978.0</c:v>
                </c:pt>
                <c:pt idx="3">
                  <c:v>1984.0</c:v>
                </c:pt>
                <c:pt idx="4">
                  <c:v>1985.0</c:v>
                </c:pt>
                <c:pt idx="5">
                  <c:v>1986.0</c:v>
                </c:pt>
                <c:pt idx="6">
                  <c:v>1987.0</c:v>
                </c:pt>
                <c:pt idx="7">
                  <c:v>1988.0</c:v>
                </c:pt>
                <c:pt idx="8">
                  <c:v>1989.0</c:v>
                </c:pt>
                <c:pt idx="9">
                  <c:v>1990.0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2003.0</c:v>
                </c:pt>
                <c:pt idx="23">
                  <c:v>2004.0</c:v>
                </c:pt>
                <c:pt idx="24">
                  <c:v>2005.0</c:v>
                </c:pt>
                <c:pt idx="25">
                  <c:v>2006.0</c:v>
                </c:pt>
                <c:pt idx="26">
                  <c:v>2007.0</c:v>
                </c:pt>
                <c:pt idx="27">
                  <c:v>2008.0</c:v>
                </c:pt>
                <c:pt idx="28">
                  <c:v>2009.0</c:v>
                </c:pt>
                <c:pt idx="29">
                  <c:v>2010.0</c:v>
                </c:pt>
                <c:pt idx="30">
                  <c:v>2011.0</c:v>
                </c:pt>
                <c:pt idx="31">
                  <c:v>2012.0</c:v>
                </c:pt>
              </c:numCache>
            </c:numRef>
          </c:xVal>
          <c:yVal>
            <c:numRef>
              <c:f>'Table T6'!$O$13:$O$44</c:f>
              <c:numCache>
                <c:formatCode>0%</c:formatCode>
                <c:ptCount val="32"/>
                <c:pt idx="0">
                  <c:v>0.00971200966875988</c:v>
                </c:pt>
                <c:pt idx="1">
                  <c:v>0.0180217015250966</c:v>
                </c:pt>
                <c:pt idx="2">
                  <c:v>0.0178363203078302</c:v>
                </c:pt>
                <c:pt idx="3">
                  <c:v>0.0154645750218507</c:v>
                </c:pt>
                <c:pt idx="4">
                  <c:v>0.0159904884027749</c:v>
                </c:pt>
                <c:pt idx="5">
                  <c:v>0.0173694600041524</c:v>
                </c:pt>
                <c:pt idx="6">
                  <c:v>0.0177487498967688</c:v>
                </c:pt>
                <c:pt idx="7">
                  <c:v>0.0172187813527318</c:v>
                </c:pt>
                <c:pt idx="8">
                  <c:v>0.0172641790072977</c:v>
                </c:pt>
                <c:pt idx="9">
                  <c:v>0.0182505225529152</c:v>
                </c:pt>
                <c:pt idx="10">
                  <c:v>0.0196996055953339</c:v>
                </c:pt>
                <c:pt idx="11">
                  <c:v>0.0198335711596142</c:v>
                </c:pt>
                <c:pt idx="12">
                  <c:v>0.0220729729940695</c:v>
                </c:pt>
                <c:pt idx="13">
                  <c:v>0.0223913375258649</c:v>
                </c:pt>
                <c:pt idx="14">
                  <c:v>0.0238805333489249</c:v>
                </c:pt>
                <c:pt idx="15">
                  <c:v>0.0256174008673827</c:v>
                </c:pt>
                <c:pt idx="16">
                  <c:v>0.0274494871298948</c:v>
                </c:pt>
                <c:pt idx="17">
                  <c:v>0.0298121772307749</c:v>
                </c:pt>
                <c:pt idx="18">
                  <c:v>0.0305397876345926</c:v>
                </c:pt>
                <c:pt idx="19">
                  <c:v>0.0329071291966078</c:v>
                </c:pt>
                <c:pt idx="20">
                  <c:v>0.0364594476836399</c:v>
                </c:pt>
                <c:pt idx="21">
                  <c:v>0.0403576095734145</c:v>
                </c:pt>
                <c:pt idx="22">
                  <c:v>0.0446818134395355</c:v>
                </c:pt>
                <c:pt idx="23">
                  <c:v>0.044099149190891</c:v>
                </c:pt>
                <c:pt idx="24">
                  <c:v>0.0478918080048731</c:v>
                </c:pt>
                <c:pt idx="25">
                  <c:v>0.0500981067424742</c:v>
                </c:pt>
                <c:pt idx="26">
                  <c:v>0.0557124108667759</c:v>
                </c:pt>
                <c:pt idx="27">
                  <c:v>0.0598581292582388</c:v>
                </c:pt>
                <c:pt idx="28">
                  <c:v>0.0648656565472926</c:v>
                </c:pt>
                <c:pt idx="29">
                  <c:v>0.0711715878207813</c:v>
                </c:pt>
                <c:pt idx="30">
                  <c:v>0.0801524488438721</c:v>
                </c:pt>
                <c:pt idx="31">
                  <c:v>0.0868575737786354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451768"/>
        <c:axId val="2090454776"/>
      </c:scatterChart>
      <c:valAx>
        <c:axId val="2090451768"/>
        <c:scaling>
          <c:orientation val="minMax"/>
          <c:max val="2015.0"/>
          <c:min val="1940.0"/>
        </c:scaling>
        <c:delete val="0"/>
        <c:axPos val="b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90454776"/>
        <c:crosses val="autoZero"/>
        <c:crossBetween val="midCat"/>
      </c:valAx>
      <c:valAx>
        <c:axId val="2090454776"/>
        <c:scaling>
          <c:orientation val="minMax"/>
          <c:max val="0.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Verdana"/>
                <a:cs typeface="Verdana"/>
              </a:defRPr>
            </a:pPr>
            <a:endParaRPr lang="fr-FR"/>
          </a:p>
        </c:txPr>
        <c:crossAx val="2090451768"/>
        <c:crosses val="autoZero"/>
        <c:crossBetween val="midCat"/>
        <c:majorUnit val="0.02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5851968503937"/>
          <c:y val="0.110303915630456"/>
          <c:w val="0.571888894922617"/>
          <c:h val="0.18833861830619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Verdana"/>
              <a:cs typeface="Verdana"/>
            </a:defRPr>
          </a:pPr>
          <a:endParaRPr lang="fr-FR"/>
        </a:p>
      </c:txPr>
    </c:legend>
    <c:plotVisOnly val="1"/>
    <c:dispBlanksAs val="span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6552" cy="56055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treasury.gov/resource-center/data-chart-center/tic/Pages/ticliab.aspx" TargetMode="External"/><Relationship Id="rId21" Type="http://schemas.openxmlformats.org/officeDocument/2006/relationships/hyperlink" Target="http://www.treasury.gov/resource-center/data-chart-center/tic/Pages/ticliab.aspx" TargetMode="External"/><Relationship Id="rId22" Type="http://schemas.openxmlformats.org/officeDocument/2006/relationships/hyperlink" Target="http://www.treasury.gov/resource-center/data-chart-center/tic/Pages/ticliab.aspx" TargetMode="External"/><Relationship Id="rId23" Type="http://schemas.openxmlformats.org/officeDocument/2006/relationships/hyperlink" Target="http://www.treasury.gov/resource-center/data-chart-center/tic/Pages/ticliab.aspx" TargetMode="External"/><Relationship Id="rId24" Type="http://schemas.openxmlformats.org/officeDocument/2006/relationships/hyperlink" Target="http://www.treasury.gov/resource-center/data-chart-center/tic/Pages/ticliab.aspx" TargetMode="External"/><Relationship Id="rId25" Type="http://schemas.openxmlformats.org/officeDocument/2006/relationships/hyperlink" Target="http://www.treasury.gov/resource-center/data-chart-center/tic/Pages/ticliab.aspx" TargetMode="External"/><Relationship Id="rId26" Type="http://schemas.openxmlformats.org/officeDocument/2006/relationships/hyperlink" Target="http://www.treasury.gov/resource-center/data-chart-center/tic/Pages/ticliab.aspx" TargetMode="External"/><Relationship Id="rId27" Type="http://schemas.openxmlformats.org/officeDocument/2006/relationships/hyperlink" Target="http://www.treasury.gov/resource-center/data-chart-center/tic/Pages/ticliab.aspx" TargetMode="External"/><Relationship Id="rId28" Type="http://schemas.openxmlformats.org/officeDocument/2006/relationships/hyperlink" Target="http://www.treasury.gov/resource-center/data-chart-center/tic/Pages/ticliab.aspx" TargetMode="External"/><Relationship Id="rId29" Type="http://schemas.openxmlformats.org/officeDocument/2006/relationships/hyperlink" Target="http://www.treasury.gov/resource-center/data-chart-center/tic/Pages/ticliab.aspx" TargetMode="External"/><Relationship Id="rId1" Type="http://schemas.openxmlformats.org/officeDocument/2006/relationships/hyperlink" Target="http://www.federalreserve.gov/pubs/ifdp/2007/910/default.htm" TargetMode="External"/><Relationship Id="rId2" Type="http://schemas.openxmlformats.org/officeDocument/2006/relationships/hyperlink" Target="http://www.treasury.gov/resource-center/data-chart-center/tic/Pages/shl94sum.aspx" TargetMode="External"/><Relationship Id="rId3" Type="http://schemas.openxmlformats.org/officeDocument/2006/relationships/hyperlink" Target="http://www.treasury.gov/resource-center/data-chart-center/tic/Documents/shlhistdat.html" TargetMode="External"/><Relationship Id="rId4" Type="http://schemas.openxmlformats.org/officeDocument/2006/relationships/hyperlink" Target="http://www.treasury.gov/resource-center/data-chart-center/tic/Pages/shl94sum.aspx" TargetMode="External"/><Relationship Id="rId5" Type="http://schemas.openxmlformats.org/officeDocument/2006/relationships/hyperlink" Target="http://www.treasury.gov/resource-center/data-chart-center/tic/Pages/shl94sum.aspx" TargetMode="External"/><Relationship Id="rId30" Type="http://schemas.openxmlformats.org/officeDocument/2006/relationships/hyperlink" Target="http://www.federalreserve.gov/pubs/ifdp/2007/910/default.htm" TargetMode="External"/><Relationship Id="rId31" Type="http://schemas.openxmlformats.org/officeDocument/2006/relationships/hyperlink" Target="http://www.federalreserve.gov/pubs/ifdp/2007/910/default.htm" TargetMode="External"/><Relationship Id="rId32" Type="http://schemas.openxmlformats.org/officeDocument/2006/relationships/hyperlink" Target="http://www.federalreserve.gov/pubs/ifdp/2007/910/default.htm" TargetMode="External"/><Relationship Id="rId9" Type="http://schemas.openxmlformats.org/officeDocument/2006/relationships/hyperlink" Target="http://www.treasury.gov/resource-center/data-chart-center/tic/Pages/ticliab.aspx" TargetMode="External"/><Relationship Id="rId6" Type="http://schemas.openxmlformats.org/officeDocument/2006/relationships/hyperlink" Target="http://www.treasury.gov/resource-center/data-chart-center/tic/Pages/ticliab.aspx" TargetMode="External"/><Relationship Id="rId7" Type="http://schemas.openxmlformats.org/officeDocument/2006/relationships/hyperlink" Target="http://www.treasury.gov/resource-center/data-chart-center/tic/Pages/ticliab.aspx" TargetMode="External"/><Relationship Id="rId8" Type="http://schemas.openxmlformats.org/officeDocument/2006/relationships/hyperlink" Target="http://www.treasury.gov/resource-center/data-chart-center/tic/Pages/ticliab.aspx" TargetMode="External"/><Relationship Id="rId33" Type="http://schemas.openxmlformats.org/officeDocument/2006/relationships/hyperlink" Target="http://www.federalreserve.gov/pubs/ifdp/2007/910/default.htm" TargetMode="External"/><Relationship Id="rId34" Type="http://schemas.openxmlformats.org/officeDocument/2006/relationships/hyperlink" Target="http://www.federalreserve.gov/pubs/ifdp/2007/910/default.htm" TargetMode="External"/><Relationship Id="rId35" Type="http://schemas.openxmlformats.org/officeDocument/2006/relationships/hyperlink" Target="http://www.federalreserve.gov/pubs/ifdp/2007/910/default.htm" TargetMode="External"/><Relationship Id="rId36" Type="http://schemas.openxmlformats.org/officeDocument/2006/relationships/hyperlink" Target="http://www.treasury.gov/resource-center/data-chart-center/tic/Documents/shlhistdat.html" TargetMode="External"/><Relationship Id="rId10" Type="http://schemas.openxmlformats.org/officeDocument/2006/relationships/hyperlink" Target="http://www.treasury.gov/resource-center/data-chart-center/tic/Pages/ticliab.aspx" TargetMode="External"/><Relationship Id="rId11" Type="http://schemas.openxmlformats.org/officeDocument/2006/relationships/hyperlink" Target="http://www.treasury.gov/resource-center/data-chart-center/tic/Pages/ticliab.aspx" TargetMode="External"/><Relationship Id="rId12" Type="http://schemas.openxmlformats.org/officeDocument/2006/relationships/hyperlink" Target="http://www.treasury.gov/resource-center/data-chart-center/tic/Pages/ticliab.aspx" TargetMode="External"/><Relationship Id="rId13" Type="http://schemas.openxmlformats.org/officeDocument/2006/relationships/hyperlink" Target="http://www.treasury.gov/resource-center/data-chart-center/tic/Documents/shlhistdat.html" TargetMode="External"/><Relationship Id="rId14" Type="http://schemas.openxmlformats.org/officeDocument/2006/relationships/hyperlink" Target="http://www.treasury.gov/resource-center/data-chart-center/tic/Pages/ticliab.aspx" TargetMode="External"/><Relationship Id="rId15" Type="http://schemas.openxmlformats.org/officeDocument/2006/relationships/hyperlink" Target="http://www.treasury.gov/resource-center/data-chart-center/tic/Pages/ticliab.aspx" TargetMode="External"/><Relationship Id="rId16" Type="http://schemas.openxmlformats.org/officeDocument/2006/relationships/hyperlink" Target="http://www.treasury.gov/resource-center/data-chart-center/tic/Pages/ticliab.aspx" TargetMode="External"/><Relationship Id="rId17" Type="http://schemas.openxmlformats.org/officeDocument/2006/relationships/hyperlink" Target="http://www.treasury.gov/resource-center/data-chart-center/tic/Pages/ticliab.aspx" TargetMode="External"/><Relationship Id="rId18" Type="http://schemas.openxmlformats.org/officeDocument/2006/relationships/hyperlink" Target="http://www.treasury.gov/resource-center/data-chart-center/tic/Pages/ticliab.aspx" TargetMode="External"/><Relationship Id="rId19" Type="http://schemas.openxmlformats.org/officeDocument/2006/relationships/hyperlink" Target="http://www.treasury.gov/resource-center/data-chart-center/tic/Pages/ticliab.aspx" TargetMode="External"/><Relationship Id="rId37" Type="http://schemas.openxmlformats.org/officeDocument/2006/relationships/hyperlink" Target="../../../Library/Application%20Support/Microsoft/Office/RawSources/CountryData/USA/Wilkins/DataWilkins.xls" TargetMode="External"/><Relationship Id="rId38" Type="http://schemas.openxmlformats.org/officeDocument/2006/relationships/hyperlink" Target="../../../Library/Application%20Support/Microsoft/Office/RawSources/CountryData/USA/Wilkins/DataWilkins.xls" TargetMode="External"/><Relationship Id="rId39" Type="http://schemas.openxmlformats.org/officeDocument/2006/relationships/hyperlink" Target="../../../Library/Application%20Support/Microsoft/Office/RawSources/CountryData/USA/Wilkins/DataWilkins.xls" TargetMode="External"/><Relationship Id="rId40" Type="http://schemas.openxmlformats.org/officeDocument/2006/relationships/vmlDrawing" Target="../drawings/vmlDrawing4.vml"/><Relationship Id="rId41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169"/>
  <sheetViews>
    <sheetView workbookViewId="0">
      <pane xSplit="1" ySplit="8" topLeftCell="B9" activePane="bottomRight" state="frozen"/>
      <selection pane="topRight" activeCell="C1" sqref="C1"/>
      <selection pane="bottomLeft" activeCell="A8" sqref="A8"/>
      <selection pane="bottomRight" activeCell="A3" sqref="A3:L3"/>
    </sheetView>
  </sheetViews>
  <sheetFormatPr baseColWidth="10" defaultRowHeight="15" x14ac:dyDescent="0"/>
  <cols>
    <col min="1" max="1" width="10.83203125" style="93"/>
    <col min="2" max="2" width="12.6640625" style="93" customWidth="1"/>
    <col min="3" max="7" width="10.83203125" style="93"/>
    <col min="8" max="8" width="10.83203125" style="97"/>
    <col min="9" max="11" width="10.83203125" style="93"/>
    <col min="12" max="12" width="13" style="93" bestFit="1" customWidth="1"/>
    <col min="13" max="16384" width="10.83203125" style="93"/>
  </cols>
  <sheetData>
    <row r="2" spans="1:12" ht="16" thickBot="1">
      <c r="B2" s="96"/>
    </row>
    <row r="3" spans="1:12" ht="18" thickTop="1">
      <c r="A3" s="449" t="s">
        <v>176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1"/>
    </row>
    <row r="4" spans="1:12">
      <c r="A4" s="7"/>
      <c r="B4" s="8"/>
      <c r="C4" s="8"/>
      <c r="D4" s="9"/>
      <c r="E4" s="9"/>
      <c r="F4" s="9"/>
      <c r="G4" s="8"/>
      <c r="H4" s="86"/>
      <c r="I4" s="9"/>
      <c r="J4" s="9"/>
      <c r="K4" s="9"/>
      <c r="L4" s="10"/>
    </row>
    <row r="5" spans="1:12" ht="16" thickBot="1">
      <c r="A5" s="129"/>
      <c r="B5" s="11" t="s">
        <v>17</v>
      </c>
      <c r="C5" s="12" t="s">
        <v>18</v>
      </c>
      <c r="D5" s="11" t="s">
        <v>19</v>
      </c>
      <c r="E5" s="2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22" t="s">
        <v>26</v>
      </c>
      <c r="K5" s="22" t="s">
        <v>27</v>
      </c>
      <c r="L5" s="39" t="s">
        <v>28</v>
      </c>
    </row>
    <row r="6" spans="1:12" ht="15" customHeight="1">
      <c r="A6" s="129"/>
      <c r="B6" s="452" t="s">
        <v>179</v>
      </c>
      <c r="C6" s="454" t="s">
        <v>180</v>
      </c>
      <c r="D6" s="456" t="s">
        <v>181</v>
      </c>
      <c r="E6" s="458" t="s">
        <v>133</v>
      </c>
      <c r="F6" s="460" t="s">
        <v>134</v>
      </c>
      <c r="G6" s="462" t="s">
        <v>182</v>
      </c>
      <c r="H6" s="460" t="s">
        <v>135</v>
      </c>
      <c r="I6" s="464" t="s">
        <v>132</v>
      </c>
      <c r="J6" s="466" t="s">
        <v>183</v>
      </c>
      <c r="K6" s="466" t="s">
        <v>131</v>
      </c>
      <c r="L6" s="474" t="s">
        <v>170</v>
      </c>
    </row>
    <row r="7" spans="1:12" ht="15" customHeight="1">
      <c r="A7" s="129"/>
      <c r="B7" s="453"/>
      <c r="C7" s="455"/>
      <c r="D7" s="457"/>
      <c r="E7" s="459"/>
      <c r="F7" s="461"/>
      <c r="G7" s="463"/>
      <c r="H7" s="461"/>
      <c r="I7" s="465"/>
      <c r="J7" s="467"/>
      <c r="K7" s="467"/>
      <c r="L7" s="475"/>
    </row>
    <row r="8" spans="1:12" ht="100" customHeight="1" thickBot="1">
      <c r="A8" s="130"/>
      <c r="B8" s="453"/>
      <c r="C8" s="455"/>
      <c r="D8" s="457"/>
      <c r="E8" s="459"/>
      <c r="F8" s="461"/>
      <c r="G8" s="463"/>
      <c r="H8" s="461"/>
      <c r="I8" s="465"/>
      <c r="J8" s="467"/>
      <c r="K8" s="467"/>
      <c r="L8" s="475"/>
    </row>
    <row r="9" spans="1:12" ht="31" customHeight="1">
      <c r="A9" s="129"/>
      <c r="B9" s="476" t="s">
        <v>171</v>
      </c>
      <c r="C9" s="477"/>
      <c r="D9" s="477"/>
      <c r="E9" s="477"/>
      <c r="F9" s="477"/>
      <c r="G9" s="477"/>
      <c r="H9" s="477"/>
      <c r="I9" s="477"/>
      <c r="J9" s="477"/>
      <c r="K9" s="477"/>
      <c r="L9" s="478"/>
    </row>
    <row r="10" spans="1:12">
      <c r="A10" s="132">
        <v>1853</v>
      </c>
      <c r="B10" s="81">
        <f>'Table T2'!B10-'Table T3'!B10</f>
        <v>-0.22220000000000001</v>
      </c>
      <c r="C10" s="133"/>
      <c r="D10" s="134"/>
      <c r="E10" s="89"/>
      <c r="F10" s="89"/>
      <c r="G10" s="135">
        <f>'Table T2'!G10-'Table T3'!G10</f>
        <v>0</v>
      </c>
      <c r="H10" s="89">
        <f>'Table T2'!H10-'Table T3'!H10</f>
        <v>0</v>
      </c>
      <c r="I10" s="91"/>
      <c r="J10" s="89"/>
      <c r="K10" s="89"/>
      <c r="L10" s="267">
        <v>2.367</v>
      </c>
    </row>
    <row r="11" spans="1:12">
      <c r="A11" s="132">
        <v>1869</v>
      </c>
      <c r="B11" s="81">
        <f>'Table T2'!B11-'Table T3'!B11</f>
        <v>-1.3905000000000001</v>
      </c>
      <c r="C11" s="133"/>
      <c r="D11" s="135"/>
      <c r="E11" s="139"/>
      <c r="F11" s="139"/>
      <c r="G11" s="135"/>
      <c r="H11" s="92"/>
      <c r="I11" s="135"/>
      <c r="J11" s="139"/>
      <c r="K11" s="139"/>
      <c r="L11" s="268">
        <v>7.5859910581222065</v>
      </c>
    </row>
    <row r="12" spans="1:12">
      <c r="A12" s="132">
        <v>1899</v>
      </c>
      <c r="B12" s="81">
        <f>'Table T2'!B12-'Table T3'!B12</f>
        <v>-2.4450000000000003</v>
      </c>
      <c r="C12" s="133"/>
      <c r="D12" s="134"/>
      <c r="E12" s="30"/>
      <c r="F12" s="30"/>
      <c r="G12" s="137">
        <f>'Table T2'!G12-'Table T3'!G12</f>
        <v>0</v>
      </c>
      <c r="H12" s="30"/>
      <c r="I12" s="75"/>
      <c r="J12" s="30"/>
      <c r="K12" s="30"/>
      <c r="L12" s="269">
        <v>15.9375</v>
      </c>
    </row>
    <row r="13" spans="1:12">
      <c r="A13" s="238">
        <v>1914</v>
      </c>
      <c r="B13" s="224">
        <f>'Table T2'!B13-'Table T3'!B13</f>
        <v>-4.09</v>
      </c>
      <c r="C13" s="239">
        <f>'Table T2'!C13-'Table T3'!C13</f>
        <v>1.0160000000000002</v>
      </c>
      <c r="D13" s="240">
        <f>'Table T2'!D13-'Table T3'!D13</f>
        <v>-4.6059999999999999</v>
      </c>
      <c r="E13" s="217"/>
      <c r="F13" s="217"/>
      <c r="G13" s="241">
        <f>'Table T2'!G13-'Table T3'!G13</f>
        <v>-0.5</v>
      </c>
      <c r="H13" s="217"/>
      <c r="I13" s="218">
        <v>1.5</v>
      </c>
      <c r="J13" s="217"/>
      <c r="K13" s="217"/>
      <c r="L13" s="270">
        <v>30.464010282776353</v>
      </c>
    </row>
    <row r="14" spans="1:12">
      <c r="A14" s="142">
        <v>1918</v>
      </c>
      <c r="B14" s="82">
        <f>'Table T2'!B14-'Table T3'!B14</f>
        <v>10.66</v>
      </c>
      <c r="C14" s="143">
        <f>'Table T2'!C14-'Table T3'!C14</f>
        <v>2.56</v>
      </c>
      <c r="D14" s="144">
        <f>'Table T2'!D14-'Table T3'!D14</f>
        <v>0.5</v>
      </c>
      <c r="E14" s="30"/>
      <c r="F14" s="30"/>
      <c r="G14" s="145">
        <f>'Table T2'!G14-'Table T3'!G14</f>
        <v>7.6</v>
      </c>
      <c r="H14" s="30"/>
      <c r="I14" s="75">
        <v>2.87</v>
      </c>
      <c r="J14" s="30"/>
      <c r="K14" s="30"/>
      <c r="L14" s="269">
        <v>62.332826815642463</v>
      </c>
    </row>
    <row r="15" spans="1:12">
      <c r="A15" s="142">
        <v>1924</v>
      </c>
      <c r="B15" s="82">
        <f>'Table T2'!B15-'Table T3'!B15</f>
        <v>6.9920000000000009</v>
      </c>
      <c r="C15" s="143">
        <f>'Table T2'!C15-'Table T3'!C15</f>
        <v>4.4250000000000007</v>
      </c>
      <c r="D15" s="144">
        <f>'Table T2'!D15-'Table T3'!D15</f>
        <v>2.7670000000000003</v>
      </c>
      <c r="E15" s="30"/>
      <c r="F15" s="30"/>
      <c r="G15" s="145">
        <f>'Table T2'!G15-'Table T3'!G15</f>
        <v>-0.19999999999999996</v>
      </c>
      <c r="H15" s="30">
        <f>'Table T2'!H15-'Table T3'!H15</f>
        <v>-0.19999999999999996</v>
      </c>
      <c r="I15" s="75">
        <v>4.2</v>
      </c>
      <c r="J15" s="30"/>
      <c r="K15" s="30"/>
      <c r="L15" s="269">
        <v>79.612457075471696</v>
      </c>
    </row>
    <row r="16" spans="1:12">
      <c r="A16" s="142">
        <v>1929</v>
      </c>
      <c r="B16" s="82">
        <f>'Table T2'!B16-'Table T3'!B16</f>
        <v>11.389999999999999</v>
      </c>
      <c r="C16" s="143">
        <f>'Table T2'!C16-'Table T3'!C16</f>
        <v>6.5149999999999997</v>
      </c>
      <c r="D16" s="144">
        <f>'Table T2'!D16-'Table T3'!D16</f>
        <v>2.8749999999999991</v>
      </c>
      <c r="E16" s="30"/>
      <c r="F16" s="30"/>
      <c r="G16" s="145">
        <f>'Table T2'!G16-'Table T3'!G16</f>
        <v>2</v>
      </c>
      <c r="H16" s="30">
        <f>'Table T2'!H16-'Table T3'!H16</f>
        <v>2</v>
      </c>
      <c r="I16" s="75">
        <v>4</v>
      </c>
      <c r="J16" s="30"/>
      <c r="K16" s="30"/>
      <c r="L16" s="269">
        <v>93.9</v>
      </c>
    </row>
    <row r="17" spans="1:12">
      <c r="A17" s="142">
        <v>1934</v>
      </c>
      <c r="B17" s="82">
        <f>'Table T2'!B17-'Table T3'!B17</f>
        <v>7.3570000000000002</v>
      </c>
      <c r="C17" s="143">
        <f>'Table T2'!C17-'Table T3'!C17</f>
        <v>6</v>
      </c>
      <c r="D17" s="144">
        <f>'Table T2'!D17-'Table T3'!D17</f>
        <v>1.657</v>
      </c>
      <c r="E17" s="30"/>
      <c r="F17" s="30"/>
      <c r="G17" s="145">
        <f>'Table T2'!G17-'Table T3'!G17</f>
        <v>-0.29999999999999993</v>
      </c>
      <c r="H17" s="30">
        <f>'Table T2'!H17-'Table T3'!H17</f>
        <v>-0.29999999999999993</v>
      </c>
      <c r="I17" s="75">
        <v>8.1999999999999993</v>
      </c>
      <c r="J17" s="30"/>
      <c r="K17" s="30"/>
      <c r="L17" s="269">
        <v>58.1</v>
      </c>
    </row>
    <row r="18" spans="1:12">
      <c r="A18" s="238">
        <v>1937</v>
      </c>
      <c r="B18" s="224">
        <f>'Table T2'!B18-'Table T3'!B18</f>
        <v>4.6430000000000007</v>
      </c>
      <c r="C18" s="239">
        <f>'Table T2'!C18-'Table T3'!C18</f>
        <v>5.6669999999999998</v>
      </c>
      <c r="D18" s="240">
        <f>'Table T2'!D18-'Table T3'!D18</f>
        <v>-0.7240000000000002</v>
      </c>
      <c r="E18" s="217"/>
      <c r="F18" s="217"/>
      <c r="G18" s="241">
        <f>'Table T2'!G18-'Table T3'!G18</f>
        <v>-0.29999999999999993</v>
      </c>
      <c r="H18" s="217">
        <f>'Table T2'!H18-'Table T3'!H18</f>
        <v>-0.29999999999999993</v>
      </c>
      <c r="I18" s="218">
        <v>12.8</v>
      </c>
      <c r="J18" s="217"/>
      <c r="K18" s="217"/>
      <c r="L18" s="270">
        <v>83.3</v>
      </c>
    </row>
    <row r="19" spans="1:12">
      <c r="A19" s="142">
        <v>1941</v>
      </c>
      <c r="B19" s="82">
        <f>'Table T2'!B19-'Table T3'!B19</f>
        <v>4.1336999999999993</v>
      </c>
      <c r="C19" s="143">
        <f>'Table T2'!C19-'Table T3'!C19</f>
        <v>5</v>
      </c>
      <c r="D19" s="144">
        <f>'Table T2'!D19-'Table T3'!D19</f>
        <v>0.43369999999999953</v>
      </c>
      <c r="E19" s="30"/>
      <c r="F19" s="30"/>
      <c r="G19" s="145">
        <f>'Table T2'!G19-'Table T3'!G19</f>
        <v>-1.3000000000000003</v>
      </c>
      <c r="H19" s="30"/>
      <c r="I19" s="75">
        <v>22.1</v>
      </c>
      <c r="J19" s="30"/>
      <c r="K19" s="30"/>
      <c r="L19" s="269">
        <v>115.8</v>
      </c>
    </row>
    <row r="20" spans="1:12">
      <c r="A20" s="142">
        <v>1945</v>
      </c>
      <c r="B20" s="82">
        <f>'Table T2'!B20-'Table T3'!B20</f>
        <v>-0.47700000000000209</v>
      </c>
      <c r="C20" s="143">
        <f>'Table T2'!C20-'Table T3'!C20</f>
        <v>4.7200000000000006</v>
      </c>
      <c r="D20" s="167">
        <f>'Table T2'!D20-'Table T3'!D20</f>
        <v>-1.7133100802102588</v>
      </c>
      <c r="E20" s="30">
        <f>'Table T2'!E20-'Table T3'!E20</f>
        <v>-1.7580000000000002</v>
      </c>
      <c r="F20" s="31">
        <f>'Table T2'!F20-'Table T3'!F20</f>
        <v>4.4689919789742127E-2</v>
      </c>
      <c r="G20" s="145">
        <f>'Table T2'!G20-'Table T3'!G20</f>
        <v>-3.483689919789744</v>
      </c>
      <c r="H20" s="31">
        <f>'Table T2'!H20-'Table T3'!H20</f>
        <v>0.21633361035552801</v>
      </c>
      <c r="I20" s="75">
        <v>20</v>
      </c>
      <c r="J20" s="30"/>
      <c r="K20" s="30"/>
      <c r="L20" s="269">
        <v>198.3</v>
      </c>
    </row>
    <row r="21" spans="1:12">
      <c r="A21" s="142">
        <v>1946</v>
      </c>
      <c r="B21" s="82">
        <f>'Table T2'!B21-'Table T3'!B21</f>
        <v>3.2300000000000004</v>
      </c>
      <c r="C21" s="143">
        <f>'Table T2'!C21-'Table T3'!C21</f>
        <v>4.7240000000000002</v>
      </c>
      <c r="D21" s="167">
        <f>'Table T2'!D21-'Table T3'!D21</f>
        <v>-1.5522641093942955</v>
      </c>
      <c r="E21" s="30">
        <f>'Table T2'!E21-'Table T3'!E21</f>
        <v>-1.6890000000000001</v>
      </c>
      <c r="F21" s="31">
        <f>'Table T2'!F21-'Table T3'!F21</f>
        <v>0.13673589060570457</v>
      </c>
      <c r="G21" s="145">
        <f>'Table T2'!G21-'Table T3'!G21</f>
        <v>5.8264109394295716E-2</v>
      </c>
      <c r="H21" s="31">
        <f>'Table T2'!H21-'Table T3'!H21</f>
        <v>0</v>
      </c>
      <c r="I21" s="75"/>
      <c r="J21" s="30"/>
      <c r="K21" s="30"/>
      <c r="L21" s="269">
        <v>198.6</v>
      </c>
    </row>
    <row r="22" spans="1:12">
      <c r="A22" s="142">
        <v>1947</v>
      </c>
      <c r="B22" s="82">
        <f>'Table T2'!B22-'Table T3'!B22</f>
        <v>11.359000000000002</v>
      </c>
      <c r="C22" s="143">
        <f>'Table T2'!C22-'Table T3'!C22</f>
        <v>5.7629999999999999</v>
      </c>
      <c r="D22" s="167">
        <f>'Table T2'!D22-'Table T3'!D22</f>
        <v>-1.2200275031262238</v>
      </c>
      <c r="E22" s="30">
        <f>'Table T2'!E22-'Table T3'!E22</f>
        <v>-1.508</v>
      </c>
      <c r="F22" s="31">
        <f>'Table T2'!F22-'Table T3'!F22</f>
        <v>0.28797249687377668</v>
      </c>
      <c r="G22" s="145">
        <f>'Table T2'!G22-'Table T3'!G22</f>
        <v>6.8160275031262252</v>
      </c>
      <c r="H22" s="31">
        <f>'Table T2'!H22-'Table T3'!H22</f>
        <v>-7.6179093295000833E-2</v>
      </c>
      <c r="I22" s="150"/>
      <c r="J22" s="30"/>
      <c r="K22" s="30"/>
      <c r="L22" s="269">
        <v>216.3</v>
      </c>
    </row>
    <row r="23" spans="1:12">
      <c r="A23" s="142">
        <v>1948</v>
      </c>
      <c r="B23" s="82">
        <f>'Table T2'!B23-'Table T3'!B23</f>
        <v>13.509</v>
      </c>
      <c r="C23" s="143">
        <f>'Table T2'!C23-'Table T3'!C23</f>
        <v>6.8380000000000001</v>
      </c>
      <c r="D23" s="167">
        <f>'Table T2'!D23-'Table T3'!D23</f>
        <v>-0.83184251001161158</v>
      </c>
      <c r="E23" s="30">
        <f>'Table T2'!E23-'Table T3'!E23</f>
        <v>-1.3610000000000002</v>
      </c>
      <c r="F23" s="31">
        <f>'Table T2'!F23-'Table T3'!F23</f>
        <v>0.52915748998838907</v>
      </c>
      <c r="G23" s="145">
        <f>'Table T2'!G23-'Table T3'!G23</f>
        <v>7.502842510011611</v>
      </c>
      <c r="H23" s="31">
        <f>'Table T2'!H23-'Table T3'!H23</f>
        <v>-0.3232408493000678</v>
      </c>
      <c r="I23" s="75">
        <v>24.399000000000001</v>
      </c>
      <c r="J23" s="30"/>
      <c r="K23" s="30"/>
      <c r="L23" s="269">
        <v>242.6</v>
      </c>
    </row>
    <row r="24" spans="1:12">
      <c r="A24" s="223">
        <v>1949</v>
      </c>
      <c r="B24" s="224">
        <f>'Table T2'!B24-'Table T3'!B24</f>
        <v>14.475</v>
      </c>
      <c r="C24" s="239">
        <f>'Table T2'!C24-'Table T3'!C24</f>
        <v>7.7589999999999995</v>
      </c>
      <c r="D24" s="281">
        <f>'Table T2'!D24-'Table T3'!D24</f>
        <v>-1.1110000000000007</v>
      </c>
      <c r="E24" s="217">
        <f>'Table T2'!E24-'Table T3'!E24</f>
        <v>-1.7820000000000003</v>
      </c>
      <c r="F24" s="227">
        <f>'Table T2'!F24-'Table T3'!F24</f>
        <v>0.67099999999999982</v>
      </c>
      <c r="G24" s="241">
        <f>'Table T2'!G24-'Table T3'!G24</f>
        <v>7.8270000000000008</v>
      </c>
      <c r="H24" s="227">
        <f>'Table T2'!H24-'Table T3'!H24</f>
        <v>-0.66624324459130957</v>
      </c>
      <c r="I24" s="218"/>
      <c r="J24" s="217"/>
      <c r="K24" s="217"/>
      <c r="L24" s="270">
        <v>237.5</v>
      </c>
    </row>
    <row r="25" spans="1:12">
      <c r="A25" s="151">
        <v>1950</v>
      </c>
      <c r="B25" s="82">
        <f>'Table T2'!B25-'Table T3'!B25</f>
        <v>13.801000000000002</v>
      </c>
      <c r="C25" s="143">
        <f>'Table T2'!C25-'Table T3'!C25</f>
        <v>8.3970000000000002</v>
      </c>
      <c r="D25" s="167">
        <f>'Table T2'!D25-'Table T3'!D25</f>
        <v>-0.96976816150646794</v>
      </c>
      <c r="E25" s="30">
        <f>'Table T2'!E25-'Table T3'!E25</f>
        <v>-1.7499999999999998</v>
      </c>
      <c r="F25" s="31">
        <f>'Table T2'!F25-'Table T3'!F25</f>
        <v>0.78023183849353206</v>
      </c>
      <c r="G25" s="145">
        <f>'Table T2'!G25-'Table T3'!G25</f>
        <v>6.3737681615064687</v>
      </c>
      <c r="H25" s="31">
        <f>'Table T2'!H25-'Table T3'!H25</f>
        <v>-1.7556587728410618</v>
      </c>
      <c r="I25" s="75">
        <v>22.82</v>
      </c>
      <c r="J25" s="30"/>
      <c r="K25" s="30"/>
      <c r="L25" s="269">
        <v>263.89999999999998</v>
      </c>
    </row>
    <row r="26" spans="1:12">
      <c r="A26" s="151">
        <v>1951</v>
      </c>
      <c r="B26" s="82">
        <f>'Table T2'!B26-'Table T3'!B26</f>
        <v>14.685999999999996</v>
      </c>
      <c r="C26" s="143">
        <f>'Table T2'!C26-'Table T3'!C26</f>
        <v>9.3209999999999997</v>
      </c>
      <c r="D26" s="167">
        <f>'Table T2'!D26-'Table T3'!D26</f>
        <v>-1.1536718737479017</v>
      </c>
      <c r="E26" s="30">
        <f>'Table T2'!E26-'Table T3'!E26</f>
        <v>-2.0600000000000005</v>
      </c>
      <c r="F26" s="31">
        <f>'Table T2'!F26-'Table T3'!F26</f>
        <v>0.90632812625209924</v>
      </c>
      <c r="G26" s="145">
        <f>'Table T2'!G26-'Table T3'!G26</f>
        <v>6.5186718737478984</v>
      </c>
      <c r="H26" s="31">
        <f>'Table T2'!H26-'Table T3'!H26</f>
        <v>-1.6685249340331345</v>
      </c>
      <c r="I26" s="75"/>
      <c r="J26" s="30"/>
      <c r="K26" s="30"/>
      <c r="L26" s="269">
        <v>303.8</v>
      </c>
    </row>
    <row r="27" spans="1:12">
      <c r="A27" s="151">
        <v>1952</v>
      </c>
      <c r="B27" s="82">
        <f>'Table T2'!B27-'Table T3'!B27</f>
        <v>15.794</v>
      </c>
      <c r="C27" s="148">
        <f>'Table T2'!C27-'Table T3'!C27</f>
        <v>10.776</v>
      </c>
      <c r="D27" s="167">
        <f>'Table T2'!D27-'Table T3'!D27</f>
        <v>-1.4732998322843205</v>
      </c>
      <c r="E27" s="30">
        <f>'Table T2'!E27-'Table T3'!E27</f>
        <v>-2.246</v>
      </c>
      <c r="F27" s="31">
        <f>'Table T2'!F27-'Table T3'!F27</f>
        <v>0.7727001677156804</v>
      </c>
      <c r="G27" s="145">
        <f>'Table T2'!G27-'Table T3'!G27</f>
        <v>6.4912998322843194</v>
      </c>
      <c r="H27" s="31">
        <f>'Table T2'!H27-'Table T3'!H27</f>
        <v>-1.7136611004421609</v>
      </c>
      <c r="I27" s="75"/>
      <c r="J27" s="30"/>
      <c r="K27" s="30"/>
      <c r="L27" s="269">
        <v>321.3</v>
      </c>
    </row>
    <row r="28" spans="1:12">
      <c r="A28" s="151">
        <v>1953</v>
      </c>
      <c r="B28" s="82">
        <f>'Table T2'!B28-'Table T3'!B28</f>
        <v>16.997999999999998</v>
      </c>
      <c r="C28" s="148">
        <f>'Table T2'!C28-'Table T3'!C28</f>
        <v>12.001999999999999</v>
      </c>
      <c r="D28" s="167">
        <f>'Table T2'!D28-'Table T3'!D28</f>
        <v>-1.8312786682608504</v>
      </c>
      <c r="E28" s="30">
        <f>'Table T2'!E28-'Table T3'!E28</f>
        <v>-2.3209999999999997</v>
      </c>
      <c r="F28" s="31">
        <f>'Table T2'!F28-'Table T3'!F28</f>
        <v>0.48972133173914978</v>
      </c>
      <c r="G28" s="145">
        <f>'Table T2'!G28-'Table T3'!G28</f>
        <v>6.8272786682608491</v>
      </c>
      <c r="H28" s="31">
        <f>'Table T2'!H28-'Table T3'!H28</f>
        <v>-2.1157608603880695</v>
      </c>
      <c r="I28" s="75"/>
      <c r="J28" s="30"/>
      <c r="K28" s="30"/>
      <c r="L28" s="269">
        <v>338.6</v>
      </c>
    </row>
    <row r="29" spans="1:12">
      <c r="A29" s="151">
        <v>1954</v>
      </c>
      <c r="B29" s="82">
        <f>'Table T2'!B29-'Table T3'!B29</f>
        <v>16.347999999999999</v>
      </c>
      <c r="C29" s="148">
        <f>'Table T2'!C29-'Table T3'!C29</f>
        <v>12.998000000000001</v>
      </c>
      <c r="D29" s="167">
        <f>'Table T2'!D29-'Table T3'!D29</f>
        <v>-3.1282753929796119</v>
      </c>
      <c r="E29" s="30">
        <f>'Table T2'!E29-'Table T3'!E29</f>
        <v>-3.3859999999999992</v>
      </c>
      <c r="F29" s="31">
        <f>'Table T2'!F29-'Table T3'!F29</f>
        <v>0.2577246070203878</v>
      </c>
      <c r="G29" s="145">
        <f>'Table T2'!G29-'Table T3'!G29</f>
        <v>6.4782753929796115</v>
      </c>
      <c r="H29" s="31">
        <f>'Table T2'!H29-'Table T3'!H29</f>
        <v>-2.4609284227196229</v>
      </c>
      <c r="I29" s="75">
        <v>21.792999999999999</v>
      </c>
      <c r="J29" s="30"/>
      <c r="K29" s="30"/>
      <c r="L29" s="269">
        <v>338.7</v>
      </c>
    </row>
    <row r="30" spans="1:12">
      <c r="A30" s="151">
        <v>1955</v>
      </c>
      <c r="B30" s="82">
        <f>'Table T2'!B30-'Table T3'!B30</f>
        <v>17.113</v>
      </c>
      <c r="C30" s="148">
        <f>'Table T2'!C30-'Table T3'!C30</f>
        <v>14.318999999999999</v>
      </c>
      <c r="D30" s="167">
        <f>'Table T2'!D30-'Table T3'!D30</f>
        <v>-4.2650000000000006</v>
      </c>
      <c r="E30" s="30">
        <f>'Table T2'!E30-'Table T3'!E30</f>
        <v>-4.1360000000000001</v>
      </c>
      <c r="F30" s="31">
        <f>'Table T2'!F30-'Table T3'!F30</f>
        <v>-0.129</v>
      </c>
      <c r="G30" s="145">
        <f>'Table T2'!G30-'Table T3'!G30</f>
        <v>7.0589999999999993</v>
      </c>
      <c r="H30" s="31">
        <f>'Table T2'!H30-'Table T3'!H30</f>
        <v>-2.4763690005611343</v>
      </c>
      <c r="I30" s="75">
        <v>21.751999999999999</v>
      </c>
      <c r="J30" s="30"/>
      <c r="K30" s="30"/>
      <c r="L30" s="269">
        <v>372</v>
      </c>
    </row>
    <row r="31" spans="1:12">
      <c r="A31" s="151">
        <v>1956</v>
      </c>
      <c r="B31" s="82">
        <f>'Table T2'!B31-'Table T3'!B31</f>
        <v>20.276</v>
      </c>
      <c r="C31" s="148">
        <f>'Table T2'!C31-'Table T3'!C31</f>
        <v>17.045999999999999</v>
      </c>
      <c r="D31" s="167">
        <f>'Table T2'!D31-'Table T3'!D31</f>
        <v>-4.3808037893413179</v>
      </c>
      <c r="E31" s="30">
        <f>'Table T2'!E31-'Table T3'!E31</f>
        <v>-4.3360000000000003</v>
      </c>
      <c r="F31" s="31">
        <f>'Table T2'!F31-'Table T3'!F31</f>
        <v>-4.4803789341318456E-2</v>
      </c>
      <c r="G31" s="145">
        <f>'Table T2'!G31-'Table T3'!G31</f>
        <v>7.6108037893413183</v>
      </c>
      <c r="H31" s="31">
        <f>'Table T2'!H31-'Table T3'!H31</f>
        <v>-2.7479702240011616</v>
      </c>
      <c r="I31" s="75"/>
      <c r="J31" s="30"/>
      <c r="K31" s="30"/>
      <c r="L31" s="269">
        <v>394.9</v>
      </c>
    </row>
    <row r="32" spans="1:12">
      <c r="A32" s="151">
        <v>1957</v>
      </c>
      <c r="B32" s="82">
        <f>'Table T2'!B32-'Table T3'!B32</f>
        <v>24.773</v>
      </c>
      <c r="C32" s="148">
        <f>'Table T2'!C32-'Table T3'!C32</f>
        <v>19.683999999999997</v>
      </c>
      <c r="D32" s="167">
        <f>'Table T2'!D32-'Table T3'!D32</f>
        <v>-3.7095411259579176</v>
      </c>
      <c r="E32" s="30">
        <f>'Table T2'!E32-'Table T3'!E32</f>
        <v>-3.8580000000000001</v>
      </c>
      <c r="F32" s="31">
        <f>'Table T2'!F32-'Table T3'!F32</f>
        <v>0.14845887404208291</v>
      </c>
      <c r="G32" s="145">
        <f>'Table T2'!G32-'Table T3'!G32</f>
        <v>8.7985411259579198</v>
      </c>
      <c r="H32" s="31">
        <f>'Table T2'!H32-'Table T3'!H32</f>
        <v>-2.6881895929148332</v>
      </c>
      <c r="I32" s="75"/>
      <c r="J32" s="30"/>
      <c r="K32" s="30"/>
      <c r="L32" s="269">
        <v>413.3</v>
      </c>
    </row>
    <row r="33" spans="1:12">
      <c r="A33" s="151">
        <v>1958</v>
      </c>
      <c r="B33" s="82">
        <f>'Table T2'!B33-'Table T3'!B33</f>
        <v>25.783000000000001</v>
      </c>
      <c r="C33" s="148">
        <f>'Table T2'!C33-'Table T3'!C33</f>
        <v>21.293999999999997</v>
      </c>
      <c r="D33" s="167">
        <f>'Table T2'!D33-'Table T3'!D33</f>
        <v>-4.4023363396474231</v>
      </c>
      <c r="E33" s="30">
        <f>'Table T2'!E33-'Table T3'!E33</f>
        <v>-5.2099999999999991</v>
      </c>
      <c r="F33" s="31">
        <f>'Table T2'!F33-'Table T3'!F33</f>
        <v>0.80766366035257597</v>
      </c>
      <c r="G33" s="145">
        <f>'Table T2'!G33-'Table T3'!G33</f>
        <v>8.8913363396474274</v>
      </c>
      <c r="H33" s="31">
        <f>'Table T2'!H33-'Table T3'!H33</f>
        <v>-2.4702070982227697</v>
      </c>
      <c r="I33" s="75"/>
      <c r="J33" s="30"/>
      <c r="K33" s="30"/>
      <c r="L33" s="269">
        <v>415.6</v>
      </c>
    </row>
    <row r="34" spans="1:12">
      <c r="A34" s="223">
        <v>1959</v>
      </c>
      <c r="B34" s="224">
        <f>'Table T2'!B34-'Table T3'!B34</f>
        <v>25.323</v>
      </c>
      <c r="C34" s="225">
        <f>'Table T2'!C34-'Table T3'!C34</f>
        <v>23.223000000000003</v>
      </c>
      <c r="D34" s="281">
        <f>'Table T2'!D34-'Table T3'!D34</f>
        <v>-4.6703930970602059</v>
      </c>
      <c r="E34" s="217">
        <f>'Table T2'!E34-'Table T3'!E34</f>
        <v>-5.6739999999999995</v>
      </c>
      <c r="F34" s="227">
        <f>'Table T2'!F34-'Table T3'!F34</f>
        <v>1.0036069029397918</v>
      </c>
      <c r="G34" s="241">
        <f>'Table T2'!G34-'Table T3'!G34</f>
        <v>6.7703930970602073</v>
      </c>
      <c r="H34" s="227">
        <f>'Table T2'!H34-'Table T3'!H34</f>
        <v>-5.749808748441386</v>
      </c>
      <c r="I34" s="218"/>
      <c r="J34" s="217"/>
      <c r="K34" s="217"/>
      <c r="L34" s="270">
        <v>453.5</v>
      </c>
    </row>
    <row r="35" spans="1:12">
      <c r="A35" s="151">
        <v>1960</v>
      </c>
      <c r="B35" s="82">
        <f>'Table T2'!B35-'Table T3'!B35</f>
        <v>28.498999999999995</v>
      </c>
      <c r="C35" s="148">
        <f>'Table T2'!C35-'Table T3'!C35</f>
        <v>24.939999999999998</v>
      </c>
      <c r="D35" s="167">
        <f>'Table T2'!D35-'Table T3'!D35</f>
        <v>-4.0339999999999989</v>
      </c>
      <c r="E35" s="30">
        <f>'Table T2'!E35-'Table T3'!E35</f>
        <v>-5.3179999999999996</v>
      </c>
      <c r="F35" s="31">
        <f>'Table T2'!F35-'Table T3'!F35</f>
        <v>1.2839999999999998</v>
      </c>
      <c r="G35" s="145">
        <f>'Table T2'!G35-'Table T3'!G35</f>
        <v>7.5929999999999964</v>
      </c>
      <c r="H35" s="31">
        <f>'Table T2'!H35-'Table T3'!H35</f>
        <v>-6.2218413866201168</v>
      </c>
      <c r="I35" s="75"/>
      <c r="J35" s="30"/>
      <c r="K35" s="30"/>
      <c r="L35" s="269">
        <v>473.9205</v>
      </c>
    </row>
    <row r="36" spans="1:12">
      <c r="A36" s="151">
        <v>1961</v>
      </c>
      <c r="B36" s="82">
        <f>'Table T2'!B36-'Table T3'!B36</f>
        <v>30.974999999999994</v>
      </c>
      <c r="C36" s="148">
        <f>'Table T2'!C36-'Table T3'!C36</f>
        <v>27.463999999999999</v>
      </c>
      <c r="D36" s="167">
        <f>'Table T2'!D36-'Table T3'!D36</f>
        <v>-5.5284261513166477</v>
      </c>
      <c r="E36" s="30">
        <f>'Table T2'!E36-'Table T3'!E36</f>
        <v>-6.9059999999999997</v>
      </c>
      <c r="F36" s="31">
        <f>'Table T2'!F36-'Table T3'!F36</f>
        <v>1.3775738486833511</v>
      </c>
      <c r="G36" s="145">
        <f>'Table T2'!G36-'Table T3'!G36</f>
        <v>9.0394261513166434</v>
      </c>
      <c r="H36" s="31">
        <f>'Table T2'!H36-'Table T3'!H36</f>
        <v>-6.264435535820958</v>
      </c>
      <c r="I36" s="75"/>
      <c r="J36" s="30"/>
      <c r="K36" s="30"/>
      <c r="L36" s="269">
        <v>490.68349999999998</v>
      </c>
    </row>
    <row r="37" spans="1:12">
      <c r="A37" s="151">
        <v>1962</v>
      </c>
      <c r="B37" s="82">
        <f>'Table T2'!B37-'Table T3'!B37</f>
        <v>34.393999999999998</v>
      </c>
      <c r="C37" s="148">
        <f>'Table T2'!C37-'Table T3'!C37</f>
        <v>29.721000000000004</v>
      </c>
      <c r="D37" s="167">
        <f>'Table T2'!D37-'Table T3'!D37</f>
        <v>-3.6200615296128902</v>
      </c>
      <c r="E37" s="30">
        <f>'Table T2'!E37-'Table T3'!E37</f>
        <v>-5.6219999999999999</v>
      </c>
      <c r="F37" s="31">
        <f>'Table T2'!F37-'Table T3'!F37</f>
        <v>2.0019384703871097</v>
      </c>
      <c r="G37" s="145">
        <f>'Table T2'!G37-'Table T3'!G37</f>
        <v>8.2930615296128849</v>
      </c>
      <c r="H37" s="31">
        <f>'Table T2'!H37-'Table T3'!H37</f>
        <v>-7.3683093663282584</v>
      </c>
      <c r="I37" s="75"/>
      <c r="J37" s="30"/>
      <c r="K37" s="30"/>
      <c r="L37" s="269">
        <v>528.87450000000001</v>
      </c>
    </row>
    <row r="38" spans="1:12">
      <c r="A38" s="151">
        <v>1963</v>
      </c>
      <c r="B38" s="82">
        <f>'Table T2'!B38-'Table T3'!B38</f>
        <v>35.216999999999999</v>
      </c>
      <c r="C38" s="148">
        <f>'Table T2'!C38-'Table T3'!C38</f>
        <v>32.900999999999996</v>
      </c>
      <c r="D38" s="167">
        <f>'Table T2'!D38-'Table T3'!D38</f>
        <v>-4.7429063424332991</v>
      </c>
      <c r="E38" s="30">
        <f>'Table T2'!E38-'Table T3'!E38</f>
        <v>-7.34</v>
      </c>
      <c r="F38" s="31">
        <f>'Table T2'!F38-'Table T3'!F38</f>
        <v>2.5970936575667016</v>
      </c>
      <c r="G38" s="145">
        <f>'Table T2'!G38-'Table T3'!G38</f>
        <v>7.0589063424332998</v>
      </c>
      <c r="H38" s="31">
        <f>'Table T2'!H38-'Table T3'!H38</f>
        <v>-7.9023549706161491</v>
      </c>
      <c r="I38" s="75"/>
      <c r="J38" s="30"/>
      <c r="K38" s="30"/>
      <c r="L38" s="269">
        <v>559.72680000000003</v>
      </c>
    </row>
    <row r="39" spans="1:12">
      <c r="A39" s="151">
        <v>1964</v>
      </c>
      <c r="B39" s="82">
        <f>'Table T2'!B39-'Table T3'!B39</f>
        <v>37.395000000000003</v>
      </c>
      <c r="C39" s="148">
        <f>'Table T2'!C39-'Table T3'!C39</f>
        <v>36.332999999999998</v>
      </c>
      <c r="D39" s="167">
        <f>'Table T2'!D39-'Table T3'!D39</f>
        <v>-5.9291134470066424</v>
      </c>
      <c r="E39" s="30">
        <f>'Table T2'!E39-'Table T3'!E39</f>
        <v>-8.5650000000000013</v>
      </c>
      <c r="F39" s="31">
        <f>'Table T2'!F39-'Table T3'!F39</f>
        <v>2.6358865529933597</v>
      </c>
      <c r="G39" s="145">
        <f>'Table T2'!G39-'Table T3'!G39</f>
        <v>6.9911134470066472</v>
      </c>
      <c r="H39" s="31">
        <f>'Table T2'!H39-'Table T3'!H39</f>
        <v>-8.3371668198429205</v>
      </c>
      <c r="I39" s="75"/>
      <c r="J39" s="30"/>
      <c r="K39" s="30"/>
      <c r="L39" s="269">
        <v>601.41830000000004</v>
      </c>
    </row>
    <row r="40" spans="1:12">
      <c r="A40" s="151">
        <v>1965</v>
      </c>
      <c r="B40" s="83">
        <f>'Table T2'!B40-'Table T3'!B40</f>
        <v>42.465000000000003</v>
      </c>
      <c r="C40" s="148">
        <f>'Table T2'!C40-'Table T3'!C40</f>
        <v>46.878</v>
      </c>
      <c r="D40" s="167">
        <f>'Table T2'!D40-'Table T3'!D40</f>
        <v>-6.9160000000000004</v>
      </c>
      <c r="E40" s="31">
        <f>'Table T2'!E40-'Table T3'!E40</f>
        <v>-9.5510000000000002</v>
      </c>
      <c r="F40" s="31">
        <f>'Table T2'!F40-'Table T3'!F40</f>
        <v>2.6349999999999998</v>
      </c>
      <c r="G40" s="145">
        <f>'Table T2'!G40-'Table T3'!G40</f>
        <v>2.5030000000000037</v>
      </c>
      <c r="H40" s="31">
        <f>'Table T2'!H40-'Table T3'!H40</f>
        <v>-8.2818566618866569</v>
      </c>
      <c r="I40" s="75"/>
      <c r="J40" s="30"/>
      <c r="K40" s="30"/>
      <c r="L40" s="269">
        <v>652.17580000000009</v>
      </c>
    </row>
    <row r="41" spans="1:12">
      <c r="A41" s="151">
        <v>1966</v>
      </c>
      <c r="B41" s="83">
        <f>'Table T2'!B41-'Table T3'!B41</f>
        <v>46.854999999999997</v>
      </c>
      <c r="C41" s="148">
        <f>'Table T2'!C41-'Table T3'!C41</f>
        <v>50.094999999999999</v>
      </c>
      <c r="D41" s="167">
        <f>'Table T2'!D41-'Table T3'!D41</f>
        <v>-6.5042941798166964</v>
      </c>
      <c r="E41" s="30">
        <f>'Table T2'!E41-'Table T3'!E41</f>
        <v>-8.3190000000000008</v>
      </c>
      <c r="F41" s="31">
        <f>'Table T2'!F41-'Table T3'!F41</f>
        <v>1.8147058201833044</v>
      </c>
      <c r="G41" s="145">
        <f>'Table T2'!G41-'Table T3'!G41</f>
        <v>3.2642941798166873</v>
      </c>
      <c r="H41" s="31">
        <f>'Table T2'!H41-'Table T3'!H41</f>
        <v>-6.6211296246598987</v>
      </c>
      <c r="I41" s="75"/>
      <c r="J41" s="30"/>
      <c r="K41" s="30"/>
      <c r="L41" s="269">
        <v>710.13499999999999</v>
      </c>
    </row>
    <row r="42" spans="1:12">
      <c r="A42" s="151">
        <v>1967</v>
      </c>
      <c r="B42" s="83">
        <f>'Table T2'!B42-'Table T3'!B42</f>
        <v>37.346999999999994</v>
      </c>
      <c r="C42" s="148">
        <f>'Table T2'!C42-'Table T3'!C42</f>
        <v>55.902000000000001</v>
      </c>
      <c r="D42" s="78">
        <f>'Table T2'!D42-'Table T3'!D42</f>
        <v>-19.169732972829035</v>
      </c>
      <c r="E42" s="31">
        <f>'Table T2'!E42-'Table T3'!E42</f>
        <v>-20.273</v>
      </c>
      <c r="F42" s="31">
        <f>'Table T2'!F42-'Table T3'!F42</f>
        <v>1.1032670271709666</v>
      </c>
      <c r="G42" s="145">
        <f>'Table T2'!G42-'Table T3'!G42</f>
        <v>0.61473297282903161</v>
      </c>
      <c r="H42" s="31">
        <f>'Table T2'!H42-'Table T3'!H42</f>
        <v>-7.0540264136663886</v>
      </c>
      <c r="I42" s="75"/>
      <c r="J42" s="30"/>
      <c r="K42" s="30"/>
      <c r="L42" s="269">
        <v>750.39549999999997</v>
      </c>
    </row>
    <row r="43" spans="1:12">
      <c r="A43" s="151">
        <v>1968</v>
      </c>
      <c r="B43" s="83">
        <f>'Table T2'!B43-'Table T3'!B43</f>
        <v>38.162000000000006</v>
      </c>
      <c r="C43" s="148">
        <f>'Table T2'!C43-'Table T3'!C43</f>
        <v>63.200999999999993</v>
      </c>
      <c r="D43" s="78">
        <f>'Table T2'!D43-'Table T3'!D43</f>
        <v>-23.266361663799067</v>
      </c>
      <c r="E43" s="31">
        <f>'Table T2'!E43-'Table T3'!E43</f>
        <v>-23.064999999999998</v>
      </c>
      <c r="F43" s="31">
        <f>'Table T2'!F43-'Table T3'!F43</f>
        <v>-0.20136166379906584</v>
      </c>
      <c r="G43" s="145">
        <f>'Table T2'!G43-'Table T3'!G43</f>
        <v>-1.7726383362009202</v>
      </c>
      <c r="H43" s="31">
        <f>'Table T2'!H43-'Table T3'!H43</f>
        <v>-6.8497284540387096</v>
      </c>
      <c r="I43" s="75"/>
      <c r="J43" s="30"/>
      <c r="K43" s="30"/>
      <c r="L43" s="269">
        <v>821.18880000000001</v>
      </c>
    </row>
    <row r="44" spans="1:12">
      <c r="A44" s="223">
        <v>1969</v>
      </c>
      <c r="B44" s="249">
        <f>'Table T2'!B44-'Table T3'!B44</f>
        <v>39.449999999999989</v>
      </c>
      <c r="C44" s="225">
        <f>'Table T2'!C44-'Table T3'!C44</f>
        <v>71.388999999999996</v>
      </c>
      <c r="D44" s="226">
        <f>'Table T2'!D44-'Table T3'!D44</f>
        <v>-21.941531939508923</v>
      </c>
      <c r="E44" s="227">
        <f>'Table T2'!E44-'Table T3'!E44</f>
        <v>-19.808</v>
      </c>
      <c r="F44" s="227">
        <f>'Table T2'!F44-'Table T3'!F44</f>
        <v>-2.1335319395089218</v>
      </c>
      <c r="G44" s="228">
        <f>'Table T2'!G44-'Table T3'!G44</f>
        <v>-9.9974680604910802</v>
      </c>
      <c r="H44" s="227">
        <f>'Table T2'!H44-'Table T3'!H44</f>
        <v>-4.3640060366741356</v>
      </c>
      <c r="I44" s="218"/>
      <c r="J44" s="217"/>
      <c r="K44" s="217"/>
      <c r="L44" s="270">
        <v>888.48450000000003</v>
      </c>
    </row>
    <row r="45" spans="1:12">
      <c r="A45" s="151">
        <v>1970</v>
      </c>
      <c r="B45" s="83">
        <f>'Table T2'!B45-'Table T3'!B45</f>
        <v>42.492000000000004</v>
      </c>
      <c r="C45" s="148">
        <f>'Table T2'!C45-'Table T3'!C45</f>
        <v>81.125</v>
      </c>
      <c r="D45" s="78">
        <f>'Table T2'!D45-'Table T3'!D45</f>
        <v>-25.564000000000004</v>
      </c>
      <c r="E45" s="31">
        <f>'Table T2'!E45-'Table T3'!E45</f>
        <v>-20.635999999999999</v>
      </c>
      <c r="F45" s="31">
        <f>'Table T2'!F45-'Table T3'!F45</f>
        <v>-4.9280000000000008</v>
      </c>
      <c r="G45" s="149">
        <f>'Table T2'!G45-'Table T3'!G45</f>
        <v>-13.068999999999988</v>
      </c>
      <c r="H45" s="31">
        <f>'Table T2'!H45-'Table T3'!H45</f>
        <v>-10.725263669804857</v>
      </c>
      <c r="I45" s="75"/>
      <c r="J45" s="30"/>
      <c r="K45" s="30"/>
      <c r="L45" s="269">
        <v>929.52949999999998</v>
      </c>
    </row>
    <row r="46" spans="1:12">
      <c r="A46" s="151">
        <v>1971</v>
      </c>
      <c r="B46" s="83">
        <f>'Table T2'!B46-'Table T3'!B46</f>
        <v>26.342999999999989</v>
      </c>
      <c r="C46" s="148">
        <f>'Table T2'!C46-'Table T3'!C46</f>
        <v>90.28</v>
      </c>
      <c r="D46" s="78">
        <f>'Table T2'!D46-'Table T3'!D46</f>
        <v>-31.380376657612949</v>
      </c>
      <c r="E46" s="31">
        <f>'Table T2'!E46-'Table T3'!E46</f>
        <v>-23.17</v>
      </c>
      <c r="F46" s="31">
        <f>'Table T2'!F46-'Table T3'!F46</f>
        <v>-8.2103766576129438</v>
      </c>
      <c r="G46" s="149">
        <f>'Table T2'!G46-'Table T3'!G46</f>
        <v>-32.556623342387063</v>
      </c>
      <c r="H46" s="31">
        <f>'Table T2'!H46-'Table T3'!H46</f>
        <v>-30.214226484727615</v>
      </c>
      <c r="I46" s="75"/>
      <c r="J46" s="30"/>
      <c r="K46" s="30"/>
      <c r="L46" s="269">
        <v>1005.6213</v>
      </c>
    </row>
    <row r="47" spans="1:12">
      <c r="A47" s="151">
        <v>1972</v>
      </c>
      <c r="B47" s="83">
        <f>'Table T2'!B47-'Table T3'!B47</f>
        <v>17.662000000000006</v>
      </c>
      <c r="C47" s="148">
        <f>'Table T2'!C47-'Table T3'!C47</f>
        <v>110.77300000000001</v>
      </c>
      <c r="D47" s="78">
        <f>'Table T2'!D47-'Table T3'!D47</f>
        <v>-40.988426892704204</v>
      </c>
      <c r="E47" s="31">
        <f>'Table T2'!E47-'Table T3'!E47</f>
        <v>-28.647333333333336</v>
      </c>
      <c r="F47" s="31">
        <f>'Table T2'!F47-'Table T3'!F47</f>
        <v>-12.341093559370869</v>
      </c>
      <c r="G47" s="149">
        <f>'Table T2'!G47-'Table T3'!G47</f>
        <v>-52.1225731072958</v>
      </c>
      <c r="H47" s="31">
        <f>'Table T2'!H47-'Table T3'!H47</f>
        <v>-33.837597082190342</v>
      </c>
      <c r="I47" s="75"/>
      <c r="J47" s="30"/>
      <c r="K47" s="30"/>
      <c r="L47" s="269">
        <v>1110.3395</v>
      </c>
    </row>
    <row r="48" spans="1:12">
      <c r="A48" s="151">
        <v>1973</v>
      </c>
      <c r="B48" s="83">
        <f>'Table T2'!B48-'Table T3'!B48</f>
        <v>58.74199999999999</v>
      </c>
      <c r="C48" s="148">
        <f>'Table T2'!C48-'Table T3'!C48</f>
        <v>108.401</v>
      </c>
      <c r="D48" s="78">
        <f>'Table T2'!D48-'Table T3'!D48</f>
        <v>-41.518011719858521</v>
      </c>
      <c r="E48" s="31">
        <f>'Table T2'!E48-'Table T3'!E48</f>
        <v>-23.827333333333339</v>
      </c>
      <c r="F48" s="31">
        <f>'Table T2'!F48-'Table T3'!F48</f>
        <v>-17.690678386525178</v>
      </c>
      <c r="G48" s="149">
        <f>'Table T2'!G48-'Table T3'!G48</f>
        <v>-8.1409882801414852</v>
      </c>
      <c r="H48" s="31">
        <f>'Table T2'!H48-'Table T3'!H48</f>
        <v>-28.795206543956795</v>
      </c>
      <c r="I48" s="75"/>
      <c r="J48" s="30"/>
      <c r="K48" s="30"/>
      <c r="L48" s="269">
        <v>1246.0858000000001</v>
      </c>
    </row>
    <row r="49" spans="1:12">
      <c r="A49" s="151">
        <v>1974</v>
      </c>
      <c r="B49" s="83">
        <f>'Table T2'!B49-'Table T3'!B49</f>
        <v>38.479000000000013</v>
      </c>
      <c r="C49" s="148">
        <f>'Table T2'!C49-'Table T3'!C49</f>
        <v>112.69200000000001</v>
      </c>
      <c r="D49" s="78">
        <f>'Table T2'!D49-'Table T3'!D49</f>
        <v>-38.669333333333341</v>
      </c>
      <c r="E49" s="31">
        <f>'Table T2'!E49-'Table T3'!E49</f>
        <v>-15.641333333333332</v>
      </c>
      <c r="F49" s="31">
        <f>'Table T2'!F49-'Table T3'!F49</f>
        <v>-23.027999999999999</v>
      </c>
      <c r="G49" s="149">
        <f>'Table T2'!G49-'Table T3'!G49</f>
        <v>-35.543666666666653</v>
      </c>
      <c r="H49" s="31">
        <f>'Table T2'!H49-'Table T3'!H49</f>
        <v>-25.053327763576309</v>
      </c>
      <c r="I49" s="76"/>
      <c r="J49" s="31"/>
      <c r="K49" s="31"/>
      <c r="L49" s="269">
        <v>1341.4728</v>
      </c>
    </row>
    <row r="50" spans="1:12">
      <c r="A50" s="151">
        <v>1975</v>
      </c>
      <c r="B50" s="84">
        <f>'Table T2'!B50-'Table T3'!B50</f>
        <v>55.676999999999992</v>
      </c>
      <c r="C50" s="148">
        <f>'Table T2'!C50-'Table T3'!C50</f>
        <v>124.333</v>
      </c>
      <c r="D50" s="78">
        <f>'Table T2'!D50-'Table T3'!D50</f>
        <v>-45.446028915300246</v>
      </c>
      <c r="E50" s="31">
        <f>'Table T2'!E50-'Table T3'!E50</f>
        <v>-27.647999999999996</v>
      </c>
      <c r="F50" s="31">
        <f>'Table T2'!F50-'Table T3'!F50</f>
        <v>-17.79802891530025</v>
      </c>
      <c r="G50" s="154">
        <f>'Table T2'!G50-'Table T3'!G50</f>
        <v>-23.20997108469976</v>
      </c>
      <c r="H50" s="31">
        <f>'Table T2'!H50-'Table T3'!H50</f>
        <v>-29.919487126847034</v>
      </c>
      <c r="I50" s="76"/>
      <c r="J50" s="31"/>
      <c r="K50" s="31"/>
      <c r="L50" s="269">
        <v>1444.0184999999999</v>
      </c>
    </row>
    <row r="51" spans="1:12">
      <c r="A51" s="151">
        <v>1976</v>
      </c>
      <c r="B51" s="83">
        <f>'Table T2'!B51-'Table T3'!B51</f>
        <v>125.76499999999999</v>
      </c>
      <c r="C51" s="148">
        <f>'Table T2'!C51-'Table T3'!C51</f>
        <v>174.755</v>
      </c>
      <c r="D51" s="78">
        <f>'Table T2'!D51-'Table T3'!D51</f>
        <v>-49.011308366996886</v>
      </c>
      <c r="E51" s="32">
        <f>'Table T2'!E51-'Table T3'!E51</f>
        <v>-37.350666666666669</v>
      </c>
      <c r="F51" s="32">
        <f>'Table T2'!F51-'Table T3'!F51</f>
        <v>-11.660641700330217</v>
      </c>
      <c r="G51" s="149">
        <f>'Table T2'!G51-'Table T3'!G51</f>
        <v>2.130836699686256E-2</v>
      </c>
      <c r="H51" s="31">
        <f>'Table T2'!H51-'Table T3'!H51</f>
        <v>-36.443714469007034</v>
      </c>
      <c r="I51" s="149">
        <v>36.944000000000003</v>
      </c>
      <c r="J51" s="178"/>
      <c r="K51" s="32"/>
      <c r="L51" s="271">
        <v>1609.7895000000001</v>
      </c>
    </row>
    <row r="52" spans="1:12">
      <c r="A52" s="151">
        <v>1977</v>
      </c>
      <c r="B52" s="83">
        <f>'Table T2'!B52-'Table T3'!B52</f>
        <v>123.827</v>
      </c>
      <c r="C52" s="148">
        <f>'Table T2'!C52-'Table T3'!C52</f>
        <v>190.66500000000002</v>
      </c>
      <c r="D52" s="78">
        <f>'Table T2'!D52-'Table T3'!D52</f>
        <v>-43.635220700238456</v>
      </c>
      <c r="E52" s="32">
        <f>'Table T2'!E52-'Table T3'!E52</f>
        <v>-34.480333333333334</v>
      </c>
      <c r="F52" s="32">
        <f>'Table T2'!F52-'Table T3'!F52</f>
        <v>-9.1548873669051218</v>
      </c>
      <c r="G52" s="149">
        <f>'Table T2'!G52-'Table T3'!G52</f>
        <v>-23.202779299761517</v>
      </c>
      <c r="H52" s="31">
        <f>'Table T2'!H52-'Table T3'!H52</f>
        <v>-64.277179432770694</v>
      </c>
      <c r="I52" s="149">
        <v>45.780999999999999</v>
      </c>
      <c r="J52" s="178"/>
      <c r="K52" s="32"/>
      <c r="L52" s="271">
        <v>1797.4318000000001</v>
      </c>
    </row>
    <row r="53" spans="1:12">
      <c r="A53" s="151">
        <v>1978</v>
      </c>
      <c r="B53" s="83">
        <f>'Table T2'!B53-'Table T3'!B53</f>
        <v>142.59199999999998</v>
      </c>
      <c r="C53" s="148">
        <f>'Table T2'!C53-'Table T3'!C53</f>
        <v>216.029</v>
      </c>
      <c r="D53" s="78">
        <f>'Table T2'!D53-'Table T3'!D53</f>
        <v>-45.059666666666672</v>
      </c>
      <c r="E53" s="32">
        <f>'Table T2'!E53-'Table T3'!E53</f>
        <v>-36.507666666666665</v>
      </c>
      <c r="F53" s="32">
        <f>'Table T2'!F53-'Table T3'!F53</f>
        <v>-8.5519999999999996</v>
      </c>
      <c r="G53" s="149">
        <f>'Table T2'!G53-'Table T3'!G53</f>
        <v>-28.377333333333354</v>
      </c>
      <c r="H53" s="31">
        <f>'Table T2'!H53-'Table T3'!H53</f>
        <v>-82.794000000000011</v>
      </c>
      <c r="I53" s="149">
        <v>62.470999999999997</v>
      </c>
      <c r="J53" s="178"/>
      <c r="K53" s="32"/>
      <c r="L53" s="271">
        <v>2027.8733</v>
      </c>
    </row>
    <row r="54" spans="1:12">
      <c r="A54" s="223">
        <v>1979</v>
      </c>
      <c r="B54" s="249">
        <f>'Table T2'!B54-'Table T3'!B54</f>
        <v>180.18700000000001</v>
      </c>
      <c r="C54" s="225">
        <f>'Table T2'!C54-'Table T3'!C54</f>
        <v>247.72199999999998</v>
      </c>
      <c r="D54" s="226">
        <f>'Table T2'!D54-'Table T3'!D54</f>
        <v>-59.772612171826125</v>
      </c>
      <c r="E54" s="250">
        <f>'Table T2'!E54-'Table T3'!E54</f>
        <v>-40.13033333333334</v>
      </c>
      <c r="F54" s="250">
        <f>'Table T2'!F54-'Table T3'!F54</f>
        <v>-19.642278838492793</v>
      </c>
      <c r="G54" s="228">
        <f>'Table T2'!G54-'Table T3'!G54</f>
        <v>-7.7623878281738712</v>
      </c>
      <c r="H54" s="227">
        <f>'Table T2'!H54-'Table T3'!H54</f>
        <v>-63.415999999999997</v>
      </c>
      <c r="I54" s="228">
        <v>135.476</v>
      </c>
      <c r="J54" s="219"/>
      <c r="K54" s="250"/>
      <c r="L54" s="272">
        <v>2248.2842999999998</v>
      </c>
    </row>
    <row r="55" spans="1:12">
      <c r="A55" s="151">
        <v>1980</v>
      </c>
      <c r="B55" s="83">
        <f>'Table T2'!B55-'Table T3'!B55</f>
        <v>204.53100000000006</v>
      </c>
      <c r="C55" s="148">
        <f>'Table T2'!C55-'Table T3'!C55</f>
        <v>260.96699999999998</v>
      </c>
      <c r="D55" s="78">
        <f>'Table T2'!D55-'Table T3'!D55</f>
        <v>-86.39517793770176</v>
      </c>
      <c r="E55" s="32">
        <f>'Table T2'!E55-'Table T3'!E55</f>
        <v>-55.055666666666674</v>
      </c>
      <c r="F55" s="32">
        <f>'Table T2'!F55-'Table T3'!F55</f>
        <v>-31.339511271035079</v>
      </c>
      <c r="G55" s="149">
        <f>'Table T2'!G55-'Table T3'!G55</f>
        <v>29.959177937701838</v>
      </c>
      <c r="H55" s="31">
        <f>'Table T2'!H55-'Table T3'!H55</f>
        <v>-70.719000000000008</v>
      </c>
      <c r="I55" s="149">
        <v>155.816</v>
      </c>
      <c r="J55" s="178"/>
      <c r="K55" s="32"/>
      <c r="L55" s="271">
        <v>2432.9507999999996</v>
      </c>
    </row>
    <row r="56" spans="1:12">
      <c r="A56" s="151">
        <v>1981</v>
      </c>
      <c r="B56" s="83">
        <f>'Table T2'!B56-'Table T3'!B56</f>
        <v>234.74099999999999</v>
      </c>
      <c r="C56" s="148">
        <f>'Table T2'!C56-'Table T3'!C56</f>
        <v>243.18099999999998</v>
      </c>
      <c r="D56" s="78">
        <f>'Table T2'!D56-'Table T3'!D56</f>
        <v>-103.57231907721058</v>
      </c>
      <c r="E56" s="32">
        <f>'Table T2'!E56-'Table T3'!E56</f>
        <v>-58.276666666666671</v>
      </c>
      <c r="F56" s="32">
        <f>'Table T2'!F56-'Table T3'!F56</f>
        <v>-45.295652410543923</v>
      </c>
      <c r="G56" s="149">
        <f>'Table T2'!G56-'Table T3'!G56</f>
        <v>95.132319077210582</v>
      </c>
      <c r="H56" s="31">
        <f>'Table T2'!H56-'Table T3'!H56</f>
        <v>-63.273999999999994</v>
      </c>
      <c r="I56" s="149">
        <v>105.64400000000001</v>
      </c>
      <c r="J56" s="178"/>
      <c r="K56" s="179"/>
      <c r="L56" s="271">
        <v>2729.8482999999997</v>
      </c>
    </row>
    <row r="57" spans="1:12">
      <c r="A57" s="151">
        <v>1982</v>
      </c>
      <c r="B57" s="83">
        <f>'Table T2'!B57-'Table T3'!B57</f>
        <v>210.73799999999994</v>
      </c>
      <c r="C57" s="148">
        <f>'Table T2'!C57-'Table T3'!C57</f>
        <v>189.21700000000001</v>
      </c>
      <c r="D57" s="78">
        <f>'Table T2'!D57-'Table T3'!D57</f>
        <v>-124.82130019385397</v>
      </c>
      <c r="E57" s="32">
        <f>'Table T2'!E57-'Table T3'!E57</f>
        <v>-70.882000000000005</v>
      </c>
      <c r="F57" s="32">
        <f>'Table T2'!F57-'Table T3'!F57</f>
        <v>-53.939300193853967</v>
      </c>
      <c r="G57" s="149">
        <f>'Table T2'!G57-'Table T3'!G57</f>
        <v>146.34230019385387</v>
      </c>
      <c r="H57" s="31">
        <f>'Table T2'!H57-'Table T3'!H57</f>
        <v>-61.209999999999994</v>
      </c>
      <c r="I57" s="149">
        <v>120.63500000000001</v>
      </c>
      <c r="J57" s="178"/>
      <c r="K57" s="179">
        <f>'Table T2'!K57-'Table T3'!L57</f>
        <v>96.210000000000008</v>
      </c>
      <c r="L57" s="271">
        <v>2851.4112999999998</v>
      </c>
    </row>
    <row r="58" spans="1:12">
      <c r="A58" s="151">
        <v>1983</v>
      </c>
      <c r="B58" s="83">
        <f>'Table T2'!B58-'Table T3'!B58</f>
        <v>201.91999999999996</v>
      </c>
      <c r="C58" s="148">
        <f>'Table T2'!C58-'Table T3'!C58</f>
        <v>161.93499999999997</v>
      </c>
      <c r="D58" s="78">
        <f>'Table T2'!D58-'Table T3'!D58</f>
        <v>-159.15907025779427</v>
      </c>
      <c r="E58" s="32">
        <f>'Table T2'!E58-'Table T3'!E58</f>
        <v>-83.40100000000001</v>
      </c>
      <c r="F58" s="32">
        <f>'Table T2'!F58-'Table T3'!F58</f>
        <v>-75.758070257794273</v>
      </c>
      <c r="G58" s="149">
        <f>'Table T2'!G58-'Table T3'!G58</f>
        <v>199.14407025779423</v>
      </c>
      <c r="H58" s="31">
        <f>'Table T2'!H58-'Table T3'!H58</f>
        <v>-64.596000000000004</v>
      </c>
      <c r="I58" s="149">
        <v>100.48399999999999</v>
      </c>
      <c r="J58" s="178"/>
      <c r="K58" s="179">
        <f>'Table T2'!K58-'Table T3'!L58</f>
        <v>121.02399999999997</v>
      </c>
      <c r="L58" s="271">
        <v>3070.893</v>
      </c>
    </row>
    <row r="59" spans="1:12">
      <c r="A59" s="142">
        <v>1984</v>
      </c>
      <c r="B59" s="83">
        <f>'Table T2'!B59-'Table T3'!B59</f>
        <v>85.545000000000073</v>
      </c>
      <c r="C59" s="148">
        <f>'Table T2'!C59-'Table T3'!C59</f>
        <v>124.80399999999997</v>
      </c>
      <c r="D59" s="78">
        <f>'Table T2'!D59-'Table T3'!D59</f>
        <v>-179.27600000000004</v>
      </c>
      <c r="E59" s="32">
        <f>'Table T2'!E59-'Table T3'!E59</f>
        <v>-78.858000000000004</v>
      </c>
      <c r="F59" s="32">
        <f>'Table T2'!F59-'Table T3'!F59</f>
        <v>-100.41800000000001</v>
      </c>
      <c r="G59" s="149">
        <f>'Table T2'!G59-'Table T3'!G59</f>
        <v>140.01700000000017</v>
      </c>
      <c r="H59" s="31">
        <f>'Table T2'!H59-'Table T3'!H59</f>
        <v>-67.393999999999991</v>
      </c>
      <c r="I59" s="149">
        <v>81.201999999999998</v>
      </c>
      <c r="J59" s="178"/>
      <c r="K59" s="179">
        <f>'Table T2'!K59-'Table T3'!L59</f>
        <v>98.197000000000003</v>
      </c>
      <c r="L59" s="271">
        <v>3461.2997999999998</v>
      </c>
    </row>
    <row r="60" spans="1:12">
      <c r="A60" s="142">
        <v>1985</v>
      </c>
      <c r="B60" s="83">
        <f>'Table T2'!B60-'Table T3'!B60</f>
        <v>-24.095000000000027</v>
      </c>
      <c r="C60" s="148">
        <f>'Table T2'!C60-'Table T3'!C60</f>
        <v>123.81299999999999</v>
      </c>
      <c r="D60" s="78">
        <f>'Table T2'!D60-'Table T3'!D60</f>
        <v>-277.64</v>
      </c>
      <c r="E60" s="32">
        <f>'Table T2'!E60-'Table T3'!E60</f>
        <v>-93.816000000000003</v>
      </c>
      <c r="F60" s="32">
        <f>'Table T2'!F60-'Table T3'!F60</f>
        <v>-183.82400000000001</v>
      </c>
      <c r="G60" s="149">
        <f>'Table T2'!G60-'Table T3'!G60</f>
        <v>129.73199999999986</v>
      </c>
      <c r="H60" s="31">
        <f>'Table T2'!H60-'Table T3'!H60</f>
        <v>-53.173999999999992</v>
      </c>
      <c r="I60" s="149">
        <v>85.834000000000003</v>
      </c>
      <c r="J60" s="178"/>
      <c r="K60" s="179">
        <f>'Table T2'!K60-'Table T3'!L60</f>
        <v>166.35599999999997</v>
      </c>
      <c r="L60" s="271">
        <v>3696.2440000000001</v>
      </c>
    </row>
    <row r="61" spans="1:12">
      <c r="A61" s="142">
        <v>1986</v>
      </c>
      <c r="B61" s="83">
        <f>'Table T2'!B61-'Table T3'!B61</f>
        <v>-130.18700000000013</v>
      </c>
      <c r="C61" s="148">
        <f>'Table T2'!C61-'Table T3'!C61</f>
        <v>120.11699999999996</v>
      </c>
      <c r="D61" s="78">
        <f>'Table T2'!D61-'Table T3'!D61</f>
        <v>-365.79399999999993</v>
      </c>
      <c r="E61" s="32">
        <f>'Table T2'!E61-'Table T3'!E61</f>
        <v>-103.32499999999999</v>
      </c>
      <c r="F61" s="32">
        <f>'Table T2'!F61-'Table T3'!F61</f>
        <v>-262.46899999999999</v>
      </c>
      <c r="G61" s="149">
        <f>'Table T2'!G61-'Table T3'!G61</f>
        <v>115.48999999999978</v>
      </c>
      <c r="H61" s="31">
        <f>'Table T2'!H61-'Table T3'!H61</f>
        <v>-68.408000000000001</v>
      </c>
      <c r="I61" s="149">
        <v>102.428</v>
      </c>
      <c r="J61" s="178"/>
      <c r="K61" s="179">
        <f>'Table T2'!K61-'Table T3'!L61</f>
        <v>257.10799999999995</v>
      </c>
      <c r="L61" s="271">
        <v>3871.4479999999999</v>
      </c>
    </row>
    <row r="62" spans="1:12">
      <c r="A62" s="142">
        <v>1987</v>
      </c>
      <c r="B62" s="83">
        <f>'Table T2'!B62-'Table T3'!B62</f>
        <v>-198.56699999999978</v>
      </c>
      <c r="C62" s="148">
        <f>'Table T2'!C62-'Table T3'!C62</f>
        <v>143.51</v>
      </c>
      <c r="D62" s="78">
        <f>'Table T2'!D62-'Table T3'!D62</f>
        <v>-382.51600000000002</v>
      </c>
      <c r="E62" s="32">
        <f>'Table T2'!E62-'Table T3'!E62</f>
        <v>-94.435999999999993</v>
      </c>
      <c r="F62" s="32">
        <f>'Table T2'!F62-'Table T3'!F62</f>
        <v>-288.08</v>
      </c>
      <c r="G62" s="149">
        <f>'Table T2'!G62-'Table T3'!G62</f>
        <v>40.439000000000306</v>
      </c>
      <c r="H62" s="31">
        <f>'Table T2'!H62-'Table T3'!H62</f>
        <v>-77.274000000000001</v>
      </c>
      <c r="I62" s="149">
        <v>127.648</v>
      </c>
      <c r="J62" s="178"/>
      <c r="K62" s="179">
        <f>'Table T2'!K62-'Table T3'!L62</f>
        <v>274.04599999999999</v>
      </c>
      <c r="L62" s="271">
        <v>4150.0437999999995</v>
      </c>
    </row>
    <row r="63" spans="1:12">
      <c r="A63" s="142">
        <v>1988</v>
      </c>
      <c r="B63" s="83">
        <f>'Table T2'!B63-'Table T3'!B63</f>
        <v>-274.89200000000005</v>
      </c>
      <c r="C63" s="148">
        <f>'Table T2'!C63-'Table T3'!C63</f>
        <v>111.99499999999995</v>
      </c>
      <c r="D63" s="78">
        <f>'Table T2'!D63-'Table T3'!D63</f>
        <v>-432.911</v>
      </c>
      <c r="E63" s="32">
        <f>'Table T2'!E63-'Table T3'!E63</f>
        <v>-80.293000000000006</v>
      </c>
      <c r="F63" s="32">
        <f>'Table T2'!F63-'Table T3'!F63</f>
        <v>-352.61799999999999</v>
      </c>
      <c r="G63" s="149">
        <f>'Table T2'!G63-'Table T3'!G63</f>
        <v>46.024000000000115</v>
      </c>
      <c r="H63" s="31">
        <f>'Table T2'!H63-'Table T3'!H63</f>
        <v>-81.539000000000001</v>
      </c>
      <c r="I63" s="149">
        <v>107.434</v>
      </c>
      <c r="J63" s="178"/>
      <c r="K63" s="179">
        <f>'Table T2'!K63-'Table T3'!L63</f>
        <v>300.93100000000004</v>
      </c>
      <c r="L63" s="271">
        <v>4522.3002999999999</v>
      </c>
    </row>
    <row r="64" spans="1:12">
      <c r="A64" s="238">
        <v>1989</v>
      </c>
      <c r="B64" s="249">
        <f>'Table T2'!B64-'Table T3'!B64</f>
        <v>-351.39599999999996</v>
      </c>
      <c r="C64" s="225">
        <f>'Table T2'!C64-'Table T3'!C64</f>
        <v>85.206999999999937</v>
      </c>
      <c r="D64" s="226">
        <f>'Table T2'!D64-'Table T3'!D64</f>
        <v>-533.38099999999997</v>
      </c>
      <c r="E64" s="250">
        <f>'Table T2'!E64-'Table T3'!E64</f>
        <v>-78.75800000000001</v>
      </c>
      <c r="F64" s="250">
        <f>'Table T2'!F64-'Table T3'!F64</f>
        <v>-454.62299999999999</v>
      </c>
      <c r="G64" s="228">
        <f>'Table T2'!G64-'Table T3'!G64</f>
        <v>96.77800000000002</v>
      </c>
      <c r="H64" s="227">
        <f>'Table T2'!H64-'Table T3'!H64</f>
        <v>-47.604000000000006</v>
      </c>
      <c r="I64" s="228">
        <v>105.164</v>
      </c>
      <c r="J64" s="219"/>
      <c r="K64" s="252">
        <f>'Table T2'!K64-'Table T3'!L64</f>
        <v>297.726</v>
      </c>
      <c r="L64" s="272">
        <v>4800.5129999999999</v>
      </c>
    </row>
    <row r="65" spans="1:12">
      <c r="A65" s="142">
        <v>1990</v>
      </c>
      <c r="B65" s="83">
        <f>'Table T2'!B65-'Table T3'!B65</f>
        <v>-332.78099999999995</v>
      </c>
      <c r="C65" s="148">
        <f>'Table T2'!C65-'Table T3'!C65</f>
        <v>111.30899999999997</v>
      </c>
      <c r="D65" s="78">
        <f>'Table T2'!D65-'Table T3'!D65</f>
        <v>-488.91800000000001</v>
      </c>
      <c r="E65" s="32">
        <f>'Table T2'!E65-'Table T3'!E65</f>
        <v>-50.655000000000001</v>
      </c>
      <c r="F65" s="32">
        <f>'Table T2'!F65-'Table T3'!F65</f>
        <v>-438.26300000000003</v>
      </c>
      <c r="G65" s="149">
        <f>'Table T2'!G65-'Table T3'!G65</f>
        <v>44.828000000000202</v>
      </c>
      <c r="H65" s="31">
        <f>'Table T2'!H65-'Table T3'!H65</f>
        <v>-39.027999999999992</v>
      </c>
      <c r="I65" s="149">
        <v>102.40600000000001</v>
      </c>
      <c r="J65" s="178"/>
      <c r="K65" s="179">
        <f>'Table T2'!K65-'Table T3'!L65</f>
        <v>192.16099999999994</v>
      </c>
      <c r="L65" s="271">
        <v>5059.5474999999997</v>
      </c>
    </row>
    <row r="66" spans="1:12">
      <c r="A66" s="142">
        <v>1991</v>
      </c>
      <c r="B66" s="83">
        <f>'Table T2'!B66-'Table T3'!B66</f>
        <v>-384.31500000000005</v>
      </c>
      <c r="C66" s="148">
        <f>'Table T2'!C66-'Table T3'!C66</f>
        <v>109.96000000000004</v>
      </c>
      <c r="D66" s="78">
        <f>'Table T2'!D66-'Table T3'!D66</f>
        <v>-532.53</v>
      </c>
      <c r="E66" s="32">
        <f>'Table T2'!E66-'Table T3'!E66</f>
        <v>-53.879999999999995</v>
      </c>
      <c r="F66" s="32">
        <f>'Table T2'!F66-'Table T3'!F66</f>
        <v>-478.65</v>
      </c>
      <c r="G66" s="149">
        <f>'Table T2'!G66-'Table T3'!G66</f>
        <v>38.254999999999882</v>
      </c>
      <c r="H66" s="31">
        <f>'Table T2'!H66-'Table T3'!H66</f>
        <v>-47.296999999999997</v>
      </c>
      <c r="I66" s="149">
        <v>92.561000000000007</v>
      </c>
      <c r="J66" s="178"/>
      <c r="K66" s="179">
        <f>'Table T2'!K66-'Table T3'!L66</f>
        <v>158.40000000000009</v>
      </c>
      <c r="L66" s="271">
        <v>5217.9048000000003</v>
      </c>
    </row>
    <row r="67" spans="1:12">
      <c r="A67" s="142">
        <v>1992</v>
      </c>
      <c r="B67" s="83">
        <f>'Table T2'!B67-'Table T3'!B67</f>
        <v>-498.18900000000031</v>
      </c>
      <c r="C67" s="148">
        <f>'Table T2'!C67-'Table T3'!C67</f>
        <v>123.56000000000006</v>
      </c>
      <c r="D67" s="78">
        <f>'Table T2'!D67-'Table T3'!D67</f>
        <v>-545.07899999999995</v>
      </c>
      <c r="E67" s="32">
        <f>'Table T2'!E67-'Table T3'!E67</f>
        <v>-30.586999999999989</v>
      </c>
      <c r="F67" s="32">
        <f>'Table T2'!F67-'Table T3'!F67</f>
        <v>-514.49199999999996</v>
      </c>
      <c r="G67" s="149">
        <f>'Table T2'!G67-'Table T3'!G67</f>
        <v>-76.6700000000003</v>
      </c>
      <c r="H67" s="31">
        <f>'Table T2'!H67-'Table T3'!H67</f>
        <v>-71.210999999999999</v>
      </c>
      <c r="I67" s="149">
        <v>87.168000000000006</v>
      </c>
      <c r="J67" s="178"/>
      <c r="K67" s="179">
        <f>'Table T2'!K67-'Table T3'!L67</f>
        <v>102.45299999999997</v>
      </c>
      <c r="L67" s="271">
        <v>5517.1017999999995</v>
      </c>
    </row>
    <row r="68" spans="1:12">
      <c r="A68" s="142">
        <v>1993</v>
      </c>
      <c r="B68" s="83">
        <f>'Table T2'!B68-'Table T3'!B68</f>
        <v>-387.01600000000008</v>
      </c>
      <c r="C68" s="148">
        <f>'Table T2'!C68-'Table T3'!C68</f>
        <v>130.21299999999997</v>
      </c>
      <c r="D68" s="78">
        <f>'Table T2'!D68-'Table T3'!D68</f>
        <v>-353.68100000000004</v>
      </c>
      <c r="E68" s="32">
        <f>'Table T2'!E68-'Table T3'!E68</f>
        <v>149.29699999999997</v>
      </c>
      <c r="F68" s="32">
        <f>'Table T2'!F68-'Table T3'!F68</f>
        <v>-502.97800000000001</v>
      </c>
      <c r="G68" s="149">
        <f>'Table T2'!G68-'Table T3'!G68</f>
        <v>-163.54799999999977</v>
      </c>
      <c r="H68" s="31">
        <f>'Table T2'!H68-'Table T3'!H68</f>
        <v>-144.226</v>
      </c>
      <c r="I68" s="149">
        <v>102.556</v>
      </c>
      <c r="J68" s="178"/>
      <c r="K68" s="179">
        <f>'Table T2'!K68-'Table T3'!L68</f>
        <v>292.90099999999995</v>
      </c>
      <c r="L68" s="271">
        <v>5784.7214999999997</v>
      </c>
    </row>
    <row r="69" spans="1:12">
      <c r="A69" s="142">
        <v>1994</v>
      </c>
      <c r="B69" s="83">
        <f>'Table T2'!B69-'Table T3'!B69</f>
        <v>-398.56800000000021</v>
      </c>
      <c r="C69" s="148">
        <f>'Table T2'!C69-'Table T3'!C69</f>
        <v>168.58300000000008</v>
      </c>
      <c r="D69" s="78">
        <f>'Table T2'!D69-'Table T3'!D69</f>
        <v>-306.70999999999981</v>
      </c>
      <c r="E69" s="32">
        <f>'Table T2'!E69-'Table T3'!E69</f>
        <v>229.05899999999997</v>
      </c>
      <c r="F69" s="32">
        <f>'Table T2'!F69-'Table T3'!F69</f>
        <v>-535.76900000000001</v>
      </c>
      <c r="G69" s="149">
        <f>'Table T2'!G69-'Table T3'!G69</f>
        <v>-260.44100000000049</v>
      </c>
      <c r="H69" s="31">
        <f>'Table T2'!H69-'Table T3'!H69</f>
        <v>-162.80799999999999</v>
      </c>
      <c r="I69" s="149">
        <v>100.11</v>
      </c>
      <c r="J69" s="178"/>
      <c r="K69" s="179">
        <f>'Table T2'!K69-'Table T3'!L69</f>
        <v>356.72900000000016</v>
      </c>
      <c r="L69" s="271">
        <v>6181.2584999999999</v>
      </c>
    </row>
    <row r="70" spans="1:12">
      <c r="A70" s="142">
        <v>1995</v>
      </c>
      <c r="B70" s="83">
        <f>'Table T2'!B70-'Table T3'!B70</f>
        <v>-531.47299999999996</v>
      </c>
      <c r="C70" s="148">
        <f>'Table T2'!C70-'Table T3'!C70</f>
        <v>205.43999999999994</v>
      </c>
      <c r="D70" s="78">
        <f>'Table T2'!D70-'Table T3'!D70</f>
        <v>-444.077</v>
      </c>
      <c r="E70" s="32">
        <f>'Table T2'!E70-'Table T3'!E70</f>
        <v>244.07399999999996</v>
      </c>
      <c r="F70" s="32">
        <f>'Table T2'!F70-'Table T3'!F70</f>
        <v>-688.15100000000007</v>
      </c>
      <c r="G70" s="149">
        <f>'Table T2'!G70-'Table T3'!G70</f>
        <v>-292.83599999999956</v>
      </c>
      <c r="H70" s="31">
        <f>'Table T2'!H70-'Table T3'!H70</f>
        <v>-193.39500000000001</v>
      </c>
      <c r="I70" s="149">
        <v>101.279</v>
      </c>
      <c r="J70" s="178"/>
      <c r="K70" s="179">
        <f>'Table T2'!K70-'Table T3'!L70</f>
        <v>358.06599999999992</v>
      </c>
      <c r="L70" s="271">
        <v>6522.3239999999996</v>
      </c>
    </row>
    <row r="71" spans="1:12">
      <c r="A71" s="142">
        <v>1996</v>
      </c>
      <c r="B71" s="83">
        <f>'Table T2'!B71-'Table T3'!B71</f>
        <v>-560.03600000000051</v>
      </c>
      <c r="C71" s="148">
        <f>'Table T2'!C71-'Table T3'!C71</f>
        <v>244.19099999999992</v>
      </c>
      <c r="D71" s="78">
        <f>'Table T2'!D71-'Table T3'!D71</f>
        <v>-529.02600000000007</v>
      </c>
      <c r="E71" s="32">
        <f>'Table T2'!E71-'Table T3'!E71</f>
        <v>330.78099999999995</v>
      </c>
      <c r="F71" s="32">
        <f>'Table T2'!F71-'Table T3'!F71</f>
        <v>-859.80700000000002</v>
      </c>
      <c r="G71" s="149">
        <f>'Table T2'!G71-'Table T3'!G71</f>
        <v>-275.20100000000025</v>
      </c>
      <c r="H71" s="31">
        <f>'Table T2'!H71-'Table T3'!H71</f>
        <v>-241.40899999999999</v>
      </c>
      <c r="I71" s="149">
        <v>96.697999999999993</v>
      </c>
      <c r="J71" s="178"/>
      <c r="K71" s="179">
        <f>'Table T2'!K71-'Table T3'!L71</f>
        <v>379.22199999999998</v>
      </c>
      <c r="L71" s="271">
        <v>6931.6875</v>
      </c>
    </row>
    <row r="72" spans="1:12">
      <c r="A72" s="142">
        <v>1997</v>
      </c>
      <c r="B72" s="83">
        <f>'Table T2'!B72-'Table T3'!B72</f>
        <v>-862.10300000000007</v>
      </c>
      <c r="C72" s="148">
        <f>'Table T2'!C72-'Table T3'!C72</f>
        <v>243.92700000000013</v>
      </c>
      <c r="D72" s="78">
        <f>'Table T2'!D72-'Table T3'!D72</f>
        <v>-813.61099999999988</v>
      </c>
      <c r="E72" s="32">
        <f>'Table T2'!E72-'Table T3'!E72</f>
        <v>254.01700000000005</v>
      </c>
      <c r="F72" s="32">
        <f>'Table T2'!F72-'Table T3'!F72</f>
        <v>-1067.6279999999999</v>
      </c>
      <c r="G72" s="149">
        <f>'Table T2'!G72-'Table T3'!G72</f>
        <v>-292.41899999999987</v>
      </c>
      <c r="H72" s="31">
        <f>'Table T2'!H72-'Table T3'!H72</f>
        <v>-221.79599999999999</v>
      </c>
      <c r="I72" s="149">
        <v>75.929000000000002</v>
      </c>
      <c r="J72" s="178"/>
      <c r="K72" s="179">
        <f>'Table T2'!K72-'Table T3'!L72</f>
        <v>241.87700000000018</v>
      </c>
      <c r="L72" s="271">
        <v>7405.98</v>
      </c>
    </row>
    <row r="73" spans="1:12">
      <c r="A73" s="142">
        <v>1998</v>
      </c>
      <c r="B73" s="83">
        <f>'Table T2'!B73-'Table T3'!B73</f>
        <v>-933.65399999999954</v>
      </c>
      <c r="C73" s="148">
        <f>'Table T2'!C73-'Table T3'!C73</f>
        <v>275.97699999999998</v>
      </c>
      <c r="D73" s="78">
        <f>'Table T2'!D73-'Table T3'!D73</f>
        <v>-984.97299999999996</v>
      </c>
      <c r="E73" s="32">
        <f>'Table T2'!E73-'Table T3'!E73</f>
        <v>209.91799999999989</v>
      </c>
      <c r="F73" s="32">
        <f>'Table T2'!F73-'Table T3'!F73</f>
        <v>-1194.8910000000001</v>
      </c>
      <c r="G73" s="149">
        <f>'Table T2'!G73-'Table T3'!G73</f>
        <v>-224.65799999999945</v>
      </c>
      <c r="H73" s="31">
        <f>'Table T2'!H73-'Table T3'!H73</f>
        <v>-252.315</v>
      </c>
      <c r="I73" s="149">
        <v>75.290999999999997</v>
      </c>
      <c r="J73" s="178"/>
      <c r="K73" s="179">
        <f>'Table T2'!K73-'Table T3'!L73</f>
        <v>100.56600000000026</v>
      </c>
      <c r="L73" s="271">
        <v>7875.5855000000001</v>
      </c>
    </row>
    <row r="74" spans="1:12">
      <c r="A74" s="238">
        <v>1999</v>
      </c>
      <c r="B74" s="249">
        <f>'Table T2'!B74-'Table T3'!B74</f>
        <v>-807.01800000000003</v>
      </c>
      <c r="C74" s="225">
        <f>'Table T2'!C74-'Table T3'!C74</f>
        <v>312.64599999999996</v>
      </c>
      <c r="D74" s="226">
        <f>'Table T2'!D74-'Table T3'!D74</f>
        <v>-857.51800000000003</v>
      </c>
      <c r="E74" s="250">
        <f>'Table T2'!E74-'Table T3'!E74</f>
        <v>379.18499999999995</v>
      </c>
      <c r="F74" s="250">
        <f>'Table T2'!F74-'Table T3'!F74</f>
        <v>-1236.703</v>
      </c>
      <c r="G74" s="228">
        <f>'Table T2'!G74-'Table T3'!G74</f>
        <v>-262.14600000000064</v>
      </c>
      <c r="H74" s="227">
        <f>'Table T2'!H74-'Table T3'!H74</f>
        <v>-229.12200000000001</v>
      </c>
      <c r="I74" s="228">
        <v>75.95</v>
      </c>
      <c r="J74" s="219"/>
      <c r="K74" s="252">
        <f>'Table T2'!K74-'Table T3'!L74</f>
        <v>41.445999999999913</v>
      </c>
      <c r="L74" s="272">
        <v>8357.9668000000001</v>
      </c>
    </row>
    <row r="75" spans="1:12">
      <c r="A75" s="142">
        <v>2000</v>
      </c>
      <c r="B75" s="83">
        <f>'Table T2'!B75-'Table T3'!B75</f>
        <v>-1408.8130000000001</v>
      </c>
      <c r="C75" s="148">
        <f>'Table T2'!C75-'Table T3'!C75</f>
        <v>110.58999999999992</v>
      </c>
      <c r="D75" s="78">
        <f>'Table T2'!D75-'Table T3'!D75</f>
        <v>-1235.5949999999998</v>
      </c>
      <c r="E75" s="32">
        <f>'Table T2'!E75-'Table T3'!E75</f>
        <v>231.89900000000011</v>
      </c>
      <c r="F75" s="32">
        <f>'Table T2'!F75-'Table T3'!F75</f>
        <v>-1467.4939999999999</v>
      </c>
      <c r="G75" s="149">
        <f>'Table T2'!G75-'Table T3'!G75</f>
        <v>-283.80800000000045</v>
      </c>
      <c r="H75" s="31">
        <f>'Table T2'!H75-'Table T3'!H75</f>
        <v>-202.767</v>
      </c>
      <c r="I75" s="149">
        <v>71.799000000000007</v>
      </c>
      <c r="J75" s="178"/>
      <c r="K75" s="179">
        <f>'Table T2'!K75-'Table T3'!L75</f>
        <v>-89.221000000000004</v>
      </c>
      <c r="L75" s="271">
        <v>8938.8913000000011</v>
      </c>
    </row>
    <row r="76" spans="1:12">
      <c r="A76" s="142">
        <v>2001</v>
      </c>
      <c r="B76" s="83">
        <f>'Table T2'!B76-'Table T3'!B76</f>
        <v>-1947.3600000000006</v>
      </c>
      <c r="C76" s="148">
        <f>'Table T2'!C76-'Table T3'!C76</f>
        <v>174.65800000000013</v>
      </c>
      <c r="D76" s="78">
        <f>'Table T2'!D76-'Table T3'!D76</f>
        <v>-1764.4189999999994</v>
      </c>
      <c r="E76" s="32">
        <f>'Table T2'!E76-'Table T3'!E76</f>
        <v>39.594000000000051</v>
      </c>
      <c r="F76" s="32">
        <f>'Table T2'!F76-'Table T3'!F76</f>
        <v>-1804.0129999999999</v>
      </c>
      <c r="G76" s="149">
        <f>'Table T2'!G76-'Table T3'!G76</f>
        <v>-357.59900000000152</v>
      </c>
      <c r="H76" s="31">
        <f>'Table T2'!H76-'Table T3'!H76</f>
        <v>-179.06200000000001</v>
      </c>
      <c r="I76" s="149">
        <v>72.328000000000003</v>
      </c>
      <c r="J76" s="178"/>
      <c r="K76" s="179">
        <f>'Table T2'!K76-'Table T3'!L76</f>
        <v>-245.35999999999967</v>
      </c>
      <c r="L76" s="271">
        <v>9185.2099999999991</v>
      </c>
    </row>
    <row r="77" spans="1:12">
      <c r="A77" s="142">
        <v>2002</v>
      </c>
      <c r="B77" s="83">
        <f>'Table T2'!B77-'Table T3'!B77</f>
        <v>-2135.436999999999</v>
      </c>
      <c r="C77" s="148">
        <f>'Table T2'!C77-'Table T3'!C77</f>
        <v>367.09099999999989</v>
      </c>
      <c r="D77" s="78">
        <f>'Table T2'!D77-'Table T3'!D77</f>
        <v>-1972.4660000000003</v>
      </c>
      <c r="E77" s="32">
        <f>'Table T2'!E77-'Table T3'!E77</f>
        <v>45.20900000000006</v>
      </c>
      <c r="F77" s="32">
        <f>'Table T2'!F77-'Table T3'!F77</f>
        <v>-2017.675</v>
      </c>
      <c r="G77" s="149">
        <f>'Table T2'!G77-'Table T3'!G77</f>
        <v>-530.06199999999808</v>
      </c>
      <c r="H77" s="31">
        <f>'Table T2'!H77-'Table T3'!H77</f>
        <v>-251.29599999999996</v>
      </c>
      <c r="I77" s="149">
        <v>90.805999999999997</v>
      </c>
      <c r="J77" s="178"/>
      <c r="K77" s="179">
        <f>'Table T2'!K77-'Table T3'!L77</f>
        <v>0.77099999999995816</v>
      </c>
      <c r="L77" s="271">
        <v>9408.5253000000012</v>
      </c>
    </row>
    <row r="78" spans="1:12">
      <c r="A78" s="142">
        <v>2003</v>
      </c>
      <c r="B78" s="83">
        <f>'Table T2'!B78-'Table T3'!B78</f>
        <v>-2202.6599999999989</v>
      </c>
      <c r="C78" s="148">
        <f>'Table T2'!C78-'Table T3'!C78</f>
        <v>473.47</v>
      </c>
      <c r="D78" s="78">
        <f>'Table T2'!D78-'Table T3'!D78</f>
        <v>-2032.3990000000003</v>
      </c>
      <c r="E78" s="32">
        <f>'Table T2'!E78-'Table T3'!E78</f>
        <v>240.54300000000012</v>
      </c>
      <c r="F78" s="32">
        <f>'Table T2'!F78-'Table T3'!F78</f>
        <v>-2272.942</v>
      </c>
      <c r="G78" s="149">
        <f>'Table T2'!G78-'Table T3'!G78</f>
        <v>-643.73099999999886</v>
      </c>
      <c r="H78" s="31">
        <f>'Table T2'!H78-'Table T3'!H78</f>
        <v>-263.06900000000002</v>
      </c>
      <c r="I78" s="149">
        <v>108.866</v>
      </c>
      <c r="J78" s="178"/>
      <c r="K78" s="179">
        <f>'Table T2'!K78-'Table T3'!L78</f>
        <v>274.24900000000025</v>
      </c>
      <c r="L78" s="271">
        <v>9840.1749999999993</v>
      </c>
    </row>
    <row r="79" spans="1:12">
      <c r="A79" s="142">
        <v>2004</v>
      </c>
      <c r="B79" s="83">
        <f>'Table T2'!B79-'Table T3'!B79</f>
        <v>-2366.973</v>
      </c>
      <c r="C79" s="148">
        <f>'Table T2'!C79-'Table T3'!C79</f>
        <v>755.77800000000025</v>
      </c>
      <c r="D79" s="78">
        <f>'Table T2'!D79-'Table T3'!D79</f>
        <v>-2426.5180000000005</v>
      </c>
      <c r="E79" s="32">
        <f>'Table T2'!E79-'Table T3'!E79</f>
        <v>436.05999999999995</v>
      </c>
      <c r="F79" s="32">
        <f>'Table T2'!F79-'Table T3'!F79</f>
        <v>-2862.578</v>
      </c>
      <c r="G79" s="149">
        <f>'Table T2'!G79-'Table T3'!G79</f>
        <v>-696.23299999999972</v>
      </c>
      <c r="H79" s="31">
        <f>'Table T2'!H79-'Table T3'!H79</f>
        <v>-400.70400000000001</v>
      </c>
      <c r="I79" s="149">
        <v>113.947</v>
      </c>
      <c r="J79" s="178"/>
      <c r="K79" s="179">
        <f>'Table T2'!K79-'Table T3'!L79</f>
        <v>645.41300000000001</v>
      </c>
      <c r="L79" s="271">
        <v>10534.0535</v>
      </c>
    </row>
    <row r="80" spans="1:12">
      <c r="A80" s="142">
        <v>2005</v>
      </c>
      <c r="B80" s="83">
        <f>'Table T2'!B80-'Table T3'!B80</f>
        <v>-2124.2389999999996</v>
      </c>
      <c r="C80" s="148">
        <f>'Table T2'!C80-'Table T3'!C80</f>
        <v>745.74199999999996</v>
      </c>
      <c r="D80" s="78">
        <f>'Table T2'!D80-'Table T3'!D80</f>
        <v>-2404.0569999999998</v>
      </c>
      <c r="E80" s="32">
        <f>'Table T2'!E80-'Table T3'!E80</f>
        <v>1008.7709999999997</v>
      </c>
      <c r="F80" s="32">
        <f>'Table T2'!F80-'Table T3'!F80</f>
        <v>-3412.8279999999995</v>
      </c>
      <c r="G80" s="149">
        <f>'Table T2'!G80-'Table T3'!G80</f>
        <v>-465.92399999999998</v>
      </c>
      <c r="H80" s="31">
        <f>'Table T2'!H80-'Table T3'!H80</f>
        <v>-316.22000000000003</v>
      </c>
      <c r="I80" s="149">
        <v>134.17500000000001</v>
      </c>
      <c r="J80" s="178">
        <f>'Table T2'!J80-'Table T3'!K80</f>
        <v>57.914999999999964</v>
      </c>
      <c r="K80" s="179">
        <f>'Table T2'!K80-'Table T3'!L80</f>
        <v>820.02600000000029</v>
      </c>
      <c r="L80" s="271">
        <v>11273.826800000001</v>
      </c>
    </row>
    <row r="81" spans="1:14">
      <c r="A81" s="142">
        <v>2006</v>
      </c>
      <c r="B81" s="83">
        <f>'Table T2'!B81-'Table T3'!B81</f>
        <v>-2416.7559999999994</v>
      </c>
      <c r="C81" s="148">
        <f>'Table T2'!C81-'Table T3'!C81</f>
        <v>794.11000000000013</v>
      </c>
      <c r="D81" s="78">
        <f>'Table T2'!D81-'Table T3'!D81</f>
        <v>-2617.2630000000008</v>
      </c>
      <c r="E81" s="32">
        <f>'Table T2'!E81-'Table T3'!E81</f>
        <v>1541.6170000000002</v>
      </c>
      <c r="F81" s="32">
        <f>'Table T2'!F81-'Table T3'!F81</f>
        <v>-4158.88</v>
      </c>
      <c r="G81" s="149">
        <f>'Table T2'!G81-'Table T3'!G81</f>
        <v>-593.60299999999916</v>
      </c>
      <c r="H81" s="31">
        <f>'Table T2'!H81-'Table T3'!H81</f>
        <v>-254.74100000000004</v>
      </c>
      <c r="I81" s="149">
        <v>165.267</v>
      </c>
      <c r="J81" s="179">
        <f>'Table T2'!J81-'Table T3'!K81</f>
        <v>59.835999999999785</v>
      </c>
      <c r="K81" s="179">
        <f>'Table T2'!K81-'Table T3'!L81</f>
        <v>1177.29</v>
      </c>
      <c r="L81" s="271">
        <v>12031.229300000001</v>
      </c>
    </row>
    <row r="82" spans="1:14">
      <c r="A82" s="142">
        <v>2007</v>
      </c>
      <c r="B82" s="83">
        <f>'Table T2'!B82-'Table T3'!B82</f>
        <v>-2085.5020000000004</v>
      </c>
      <c r="C82" s="148">
        <f>'Table T2'!C82-'Table T3'!C82</f>
        <v>1207.172</v>
      </c>
      <c r="D82" s="78">
        <f>'Table T2'!D82-'Table T3'!D82</f>
        <v>-2649.5969999999998</v>
      </c>
      <c r="E82" s="32">
        <f>'Table T2'!E82-'Table T3'!E82</f>
        <v>2016.1579999999999</v>
      </c>
      <c r="F82" s="32">
        <f>'Table T2'!F82-'Table T3'!F82</f>
        <v>-4665.7550000000001</v>
      </c>
      <c r="G82" s="149">
        <f>'Table T2'!G82-'Table T3'!G82</f>
        <v>-643.07700000000114</v>
      </c>
      <c r="H82" s="31">
        <f>'Table T2'!H82-'Table T3'!H82</f>
        <v>-447.51299999999998</v>
      </c>
      <c r="I82" s="149">
        <v>218.02500000000001</v>
      </c>
      <c r="J82" s="179">
        <f>'Table T2'!J82-'Table T3'!K82</f>
        <v>71.471999999999753</v>
      </c>
      <c r="K82" s="179">
        <f>'Table T2'!K82-'Table T3'!L82</f>
        <v>1723.6840000000002</v>
      </c>
      <c r="L82" s="271">
        <v>12396.422</v>
      </c>
    </row>
    <row r="83" spans="1:14">
      <c r="A83" s="142">
        <v>2008</v>
      </c>
      <c r="B83" s="83">
        <f>'Table T2'!B83-'Table T3'!B83</f>
        <v>-3647.2320000000018</v>
      </c>
      <c r="C83" s="148">
        <f>'Table T2'!C83-'Table T3'!C83</f>
        <v>1351.116</v>
      </c>
      <c r="D83" s="78">
        <f>'Table T2'!D83-'Table T3'!D83</f>
        <v>-4290.51</v>
      </c>
      <c r="E83" s="32">
        <f>'Table T2'!E83-'Table T3'!E83</f>
        <v>633.07999999999993</v>
      </c>
      <c r="F83" s="32">
        <f>'Table T2'!F83-'Table T3'!F83</f>
        <v>-4923.59</v>
      </c>
      <c r="G83" s="149">
        <f>'Table T2'!G83-'Table T3'!G83</f>
        <v>-707.83800000000156</v>
      </c>
      <c r="H83" s="31">
        <f>'Table T2'!H83-'Table T3'!H83</f>
        <v>-817.596</v>
      </c>
      <c r="I83" s="149">
        <v>227.43899999999999</v>
      </c>
      <c r="J83" s="179">
        <f>'Table T2'!J83-'Table T3'!K83</f>
        <v>159.63500000000022</v>
      </c>
      <c r="K83" s="179">
        <f>'Table T2'!K83-'Table T3'!L83</f>
        <v>615.97200000000021</v>
      </c>
      <c r="L83" s="271">
        <v>12557.8025</v>
      </c>
    </row>
    <row r="84" spans="1:14">
      <c r="A84" s="255">
        <v>2009</v>
      </c>
      <c r="B84" s="249">
        <f>'Table T2'!B84-'Table T3'!B84</f>
        <v>-2732.4849999999988</v>
      </c>
      <c r="C84" s="225">
        <f>'Table T2'!C84-'Table T3'!C84</f>
        <v>1631.2489999999998</v>
      </c>
      <c r="D84" s="226">
        <f>'Table T2'!D84-'Table T3'!D84</f>
        <v>-3938.1869999999999</v>
      </c>
      <c r="E84" s="250">
        <f>'Table T2'!E84-'Table T3'!E84</f>
        <v>1072.4929999999999</v>
      </c>
      <c r="F84" s="250">
        <f>'Table T2'!F84-'Table T3'!F84</f>
        <v>-5010.68</v>
      </c>
      <c r="G84" s="228">
        <f>'Table T2'!G84-'Table T3'!G84</f>
        <v>-425.54699999999866</v>
      </c>
      <c r="H84" s="227">
        <f>'Table T2'!H84-'Table T3'!H84</f>
        <v>-591.78800000000001</v>
      </c>
      <c r="I84" s="228">
        <v>284.38</v>
      </c>
      <c r="J84" s="219">
        <f>'Table T2'!J84-'Table T3'!K84</f>
        <v>126.33500000000004</v>
      </c>
      <c r="K84" s="252">
        <f>'Table T2'!K84-'Table T3'!L84</f>
        <v>1291.7440000000006</v>
      </c>
      <c r="L84" s="272">
        <v>12225.053</v>
      </c>
    </row>
    <row r="85" spans="1:14">
      <c r="A85" s="160">
        <v>2010</v>
      </c>
      <c r="B85" s="83">
        <f>'Table T2'!B85-'Table T3'!B85</f>
        <v>-2951.518</v>
      </c>
      <c r="C85" s="148">
        <f>'Table T2'!C85-'Table T3'!C85</f>
        <v>1709.136</v>
      </c>
      <c r="D85" s="78">
        <f>'Table T2'!D85-'Table T3'!D85</f>
        <v>-4649.0349999999999</v>
      </c>
      <c r="E85" s="32">
        <f>'Table T2'!E85-'Table T3'!E85</f>
        <v>1056.1240000000003</v>
      </c>
      <c r="F85" s="32">
        <f>'Table T2'!F85-'Table T3'!F85</f>
        <v>-5705.1589999999997</v>
      </c>
      <c r="G85" s="149">
        <f>'Table T2'!G85-'Table T3'!G85</f>
        <v>-11.619000000002416</v>
      </c>
      <c r="H85" s="31">
        <f>'Table T2'!H85-'Table T3'!H85</f>
        <v>-520.197</v>
      </c>
      <c r="I85" s="149">
        <v>367.53699999999998</v>
      </c>
      <c r="J85" s="178">
        <f>'Table T2'!J85-'Table T3'!K85</f>
        <v>110.38200000000006</v>
      </c>
      <c r="K85" s="179">
        <f>'Table T2'!K85-'Table T3'!L85</f>
        <v>1369.3189999999995</v>
      </c>
      <c r="L85" s="271">
        <v>12821.625300000002</v>
      </c>
    </row>
    <row r="86" spans="1:14">
      <c r="A86" s="160">
        <v>2011</v>
      </c>
      <c r="B86" s="83">
        <f>'Table T2'!B86-'Table T3'!B86</f>
        <v>-4556.8569999999963</v>
      </c>
      <c r="C86" s="148">
        <f>'Table T2'!C86-'Table T3'!C86</f>
        <v>1772.7780000000002</v>
      </c>
      <c r="D86" s="78">
        <f>'Table T2'!D86-'Table T3'!D86</f>
        <v>-5639.1949999999997</v>
      </c>
      <c r="E86" s="32">
        <f>'Table T2'!E86-'Table T3'!E86</f>
        <v>328.35100000000011</v>
      </c>
      <c r="F86" s="32">
        <f>'Table T2'!F86-'Table T3'!F86</f>
        <v>-5967.5460000000003</v>
      </c>
      <c r="G86" s="149">
        <f>'Table T2'!G86-'Table T3'!G86</f>
        <v>-690.43999999999505</v>
      </c>
      <c r="H86" s="31">
        <f>'Table T2'!H86-'Table T3'!H86</f>
        <v>-518.01</v>
      </c>
      <c r="I86" s="149">
        <v>400.35500000000002</v>
      </c>
      <c r="J86" s="178">
        <f>'Table T2'!J86-'Table T3'!K86</f>
        <v>126.25200000000041</v>
      </c>
      <c r="K86" s="179">
        <f>'Table T2'!K86-'Table T3'!L86</f>
        <v>990.60300000000052</v>
      </c>
      <c r="L86" s="271">
        <v>13358.887500000001</v>
      </c>
    </row>
    <row r="87" spans="1:14" ht="16" thickBot="1">
      <c r="A87" s="161">
        <v>2012</v>
      </c>
      <c r="B87" s="85">
        <f>'Table T2'!B87-'Table T3'!B87</f>
        <v>-4905.7330000000002</v>
      </c>
      <c r="C87" s="162">
        <f>'Table T2'!C87-'Table T3'!C87</f>
        <v>1874.0439999999999</v>
      </c>
      <c r="D87" s="79">
        <f>'Table T2'!D87-'Table T3'!D87</f>
        <v>-5687.3710000000001</v>
      </c>
      <c r="E87" s="36">
        <f>'Table T2'!E87-'Table T3'!E87</f>
        <v>682.18599999999969</v>
      </c>
      <c r="F87" s="36">
        <f>'Table T2'!F87-'Table T3'!F87</f>
        <v>-6369.5569999999998</v>
      </c>
      <c r="G87" s="163">
        <f>'Table T2'!G87-'Table T3'!G87</f>
        <v>-1092.4059999999981</v>
      </c>
      <c r="H87" s="38">
        <f>'Table T2'!H87-'Table T3'!H87</f>
        <v>-436.40904561289261</v>
      </c>
      <c r="I87" s="163">
        <v>431.714</v>
      </c>
      <c r="J87" s="282">
        <f>'Table T2'!J87-'Table T3'!K87</f>
        <v>57.77599999999984</v>
      </c>
      <c r="K87" s="180">
        <f>'Table T2'!K87-'Table T3'!L87</f>
        <v>1259.1399999999999</v>
      </c>
      <c r="L87" s="273">
        <v>13875.9</v>
      </c>
    </row>
    <row r="88" spans="1:14" ht="31" customHeight="1" thickTop="1">
      <c r="A88" s="279"/>
      <c r="B88" s="479" t="s">
        <v>172</v>
      </c>
      <c r="C88" s="480"/>
      <c r="D88" s="480"/>
      <c r="E88" s="480"/>
      <c r="F88" s="480"/>
      <c r="G88" s="480"/>
      <c r="H88" s="480"/>
      <c r="I88" s="480"/>
      <c r="J88" s="480"/>
      <c r="K88" s="480"/>
      <c r="L88" s="481"/>
    </row>
    <row r="89" spans="1:14">
      <c r="A89" s="132">
        <v>1853</v>
      </c>
      <c r="B89" s="181">
        <f>B10/$L10</f>
        <v>-9.3874102239121252E-2</v>
      </c>
      <c r="C89" s="182"/>
      <c r="D89" s="214"/>
      <c r="E89" s="183"/>
      <c r="F89" s="183"/>
      <c r="G89" s="184">
        <f t="shared" ref="G89:L89" si="0">G10/$L10</f>
        <v>0</v>
      </c>
      <c r="H89" s="183">
        <f t="shared" si="0"/>
        <v>0</v>
      </c>
      <c r="I89" s="185"/>
      <c r="J89" s="183"/>
      <c r="K89" s="183"/>
      <c r="L89" s="209">
        <f t="shared" si="0"/>
        <v>1</v>
      </c>
      <c r="N89" s="196"/>
    </row>
    <row r="90" spans="1:14">
      <c r="A90" s="132">
        <v>1869</v>
      </c>
      <c r="B90" s="181">
        <f t="shared" ref="B90:L105" si="1">B11/$L11</f>
        <v>-0.18329839691957092</v>
      </c>
      <c r="C90" s="182"/>
      <c r="D90" s="215"/>
      <c r="E90" s="187"/>
      <c r="F90" s="187"/>
      <c r="G90" s="184"/>
      <c r="H90" s="188"/>
      <c r="I90" s="184"/>
      <c r="J90" s="187"/>
      <c r="K90" s="187"/>
      <c r="L90" s="210">
        <f t="shared" si="1"/>
        <v>1</v>
      </c>
      <c r="N90" s="196"/>
    </row>
    <row r="91" spans="1:14">
      <c r="A91" s="132">
        <v>1899</v>
      </c>
      <c r="B91" s="181">
        <f t="shared" si="1"/>
        <v>-0.15341176470588236</v>
      </c>
      <c r="C91" s="182"/>
      <c r="D91" s="214"/>
      <c r="E91" s="189"/>
      <c r="F91" s="189"/>
      <c r="G91" s="184">
        <f t="shared" si="1"/>
        <v>0</v>
      </c>
      <c r="H91" s="189"/>
      <c r="I91" s="190"/>
      <c r="J91" s="189"/>
      <c r="K91" s="189"/>
      <c r="L91" s="211">
        <f t="shared" si="1"/>
        <v>1</v>
      </c>
      <c r="N91" s="196"/>
    </row>
    <row r="92" spans="1:14">
      <c r="A92" s="238">
        <v>1914</v>
      </c>
      <c r="B92" s="257">
        <f t="shared" si="1"/>
        <v>-0.1342567824142441</v>
      </c>
      <c r="C92" s="258">
        <f t="shared" si="1"/>
        <v>3.3350829078941817E-2</v>
      </c>
      <c r="D92" s="259">
        <f t="shared" si="1"/>
        <v>-0.1511948019070925</v>
      </c>
      <c r="E92" s="260"/>
      <c r="F92" s="260"/>
      <c r="G92" s="261">
        <f t="shared" si="1"/>
        <v>-1.641280958609341E-2</v>
      </c>
      <c r="H92" s="260"/>
      <c r="I92" s="262">
        <f t="shared" si="1"/>
        <v>4.9238428758280238E-2</v>
      </c>
      <c r="J92" s="260"/>
      <c r="K92" s="260"/>
      <c r="L92" s="263">
        <f t="shared" si="1"/>
        <v>1</v>
      </c>
      <c r="N92" s="196"/>
    </row>
    <row r="93" spans="1:14">
      <c r="A93" s="142">
        <v>1918</v>
      </c>
      <c r="B93" s="192">
        <f t="shared" si="1"/>
        <v>0.17101743246024045</v>
      </c>
      <c r="C93" s="193">
        <f t="shared" si="1"/>
        <v>4.106985244823786E-2</v>
      </c>
      <c r="D93" s="195">
        <f t="shared" si="1"/>
        <v>8.0214555562964571E-3</v>
      </c>
      <c r="E93" s="189"/>
      <c r="F93" s="189"/>
      <c r="G93" s="194">
        <f t="shared" si="1"/>
        <v>0.12192612445570614</v>
      </c>
      <c r="H93" s="189"/>
      <c r="I93" s="190">
        <f t="shared" si="1"/>
        <v>4.6043154893141661E-2</v>
      </c>
      <c r="J93" s="189"/>
      <c r="K93" s="189"/>
      <c r="L93" s="211">
        <f t="shared" si="1"/>
        <v>1</v>
      </c>
      <c r="N93" s="196"/>
    </row>
    <row r="94" spans="1:14">
      <c r="A94" s="142">
        <v>1924</v>
      </c>
      <c r="B94" s="192">
        <f t="shared" si="1"/>
        <v>8.782545165477891E-2</v>
      </c>
      <c r="C94" s="193">
        <f t="shared" si="1"/>
        <v>5.5581753943420582E-2</v>
      </c>
      <c r="D94" s="195">
        <f t="shared" si="1"/>
        <v>3.4755867381117453E-2</v>
      </c>
      <c r="E94" s="189"/>
      <c r="F94" s="189"/>
      <c r="G94" s="194">
        <f t="shared" si="1"/>
        <v>-2.5121696697591213E-3</v>
      </c>
      <c r="H94" s="189">
        <f t="shared" si="1"/>
        <v>-2.5121696697591213E-3</v>
      </c>
      <c r="I94" s="190">
        <f t="shared" si="1"/>
        <v>5.2755563064941564E-2</v>
      </c>
      <c r="J94" s="189"/>
      <c r="K94" s="189"/>
      <c r="L94" s="211">
        <f t="shared" si="1"/>
        <v>1</v>
      </c>
      <c r="N94" s="196"/>
    </row>
    <row r="95" spans="1:14">
      <c r="A95" s="142">
        <v>1929</v>
      </c>
      <c r="B95" s="192">
        <f t="shared" si="1"/>
        <v>0.12129925452609157</v>
      </c>
      <c r="C95" s="193">
        <f t="shared" si="1"/>
        <v>6.9382321618743331E-2</v>
      </c>
      <c r="D95" s="195">
        <f t="shared" si="1"/>
        <v>3.0617678381256643E-2</v>
      </c>
      <c r="E95" s="189"/>
      <c r="F95" s="189"/>
      <c r="G95" s="194">
        <f t="shared" si="1"/>
        <v>2.1299254526091587E-2</v>
      </c>
      <c r="H95" s="189">
        <f t="shared" si="1"/>
        <v>2.1299254526091587E-2</v>
      </c>
      <c r="I95" s="190">
        <f t="shared" si="1"/>
        <v>4.2598509052183174E-2</v>
      </c>
      <c r="J95" s="189"/>
      <c r="K95" s="189"/>
      <c r="L95" s="211">
        <f t="shared" si="1"/>
        <v>1</v>
      </c>
      <c r="N95" s="196"/>
    </row>
    <row r="96" spans="1:14">
      <c r="A96" s="142">
        <v>1934</v>
      </c>
      <c r="B96" s="192">
        <f t="shared" si="1"/>
        <v>0.12662650602409639</v>
      </c>
      <c r="C96" s="193">
        <f t="shared" si="1"/>
        <v>0.10327022375215146</v>
      </c>
      <c r="D96" s="195">
        <f t="shared" si="1"/>
        <v>2.8519793459552495E-2</v>
      </c>
      <c r="E96" s="189"/>
      <c r="F96" s="189"/>
      <c r="G96" s="194">
        <f t="shared" si="1"/>
        <v>-5.1635111876075718E-3</v>
      </c>
      <c r="H96" s="189">
        <f t="shared" si="1"/>
        <v>-5.1635111876075718E-3</v>
      </c>
      <c r="I96" s="190">
        <f t="shared" si="1"/>
        <v>0.14113597246127366</v>
      </c>
      <c r="J96" s="189"/>
      <c r="K96" s="189"/>
      <c r="L96" s="211">
        <f t="shared" si="1"/>
        <v>1</v>
      </c>
      <c r="N96" s="196"/>
    </row>
    <row r="97" spans="1:14">
      <c r="A97" s="238">
        <v>1937</v>
      </c>
      <c r="B97" s="257">
        <f t="shared" si="1"/>
        <v>5.5738295318127261E-2</v>
      </c>
      <c r="C97" s="258">
        <f t="shared" si="1"/>
        <v>6.8031212484993997E-2</v>
      </c>
      <c r="D97" s="259">
        <f t="shared" si="1"/>
        <v>-8.691476590636257E-3</v>
      </c>
      <c r="E97" s="260"/>
      <c r="F97" s="260"/>
      <c r="G97" s="261">
        <f t="shared" si="1"/>
        <v>-3.6014405762304917E-3</v>
      </c>
      <c r="H97" s="260">
        <f t="shared" si="1"/>
        <v>-3.6014405762304917E-3</v>
      </c>
      <c r="I97" s="262">
        <f t="shared" si="1"/>
        <v>0.15366146458583435</v>
      </c>
      <c r="J97" s="260"/>
      <c r="K97" s="260"/>
      <c r="L97" s="263">
        <f t="shared" si="1"/>
        <v>1</v>
      </c>
      <c r="N97" s="196"/>
    </row>
    <row r="98" spans="1:14">
      <c r="A98" s="142">
        <v>1941</v>
      </c>
      <c r="B98" s="192">
        <f t="shared" si="1"/>
        <v>3.5696891191709837E-2</v>
      </c>
      <c r="C98" s="193">
        <f t="shared" si="1"/>
        <v>4.317789291882556E-2</v>
      </c>
      <c r="D98" s="195">
        <f t="shared" si="1"/>
        <v>3.7452504317789254E-3</v>
      </c>
      <c r="E98" s="189"/>
      <c r="F98" s="189"/>
      <c r="G98" s="194">
        <f t="shared" si="1"/>
        <v>-1.1226252158894648E-2</v>
      </c>
      <c r="H98" s="189"/>
      <c r="I98" s="190">
        <f t="shared" si="1"/>
        <v>0.19084628670120901</v>
      </c>
      <c r="J98" s="189"/>
      <c r="K98" s="189"/>
      <c r="L98" s="211">
        <f t="shared" si="1"/>
        <v>1</v>
      </c>
      <c r="N98" s="196"/>
    </row>
    <row r="99" spans="1:14">
      <c r="A99" s="142">
        <v>1945</v>
      </c>
      <c r="B99" s="192">
        <f t="shared" si="1"/>
        <v>-2.4054462934947154E-3</v>
      </c>
      <c r="C99" s="193">
        <f t="shared" si="1"/>
        <v>2.38023197175996E-2</v>
      </c>
      <c r="D99" s="195">
        <f t="shared" si="1"/>
        <v>-8.6399903187607593E-3</v>
      </c>
      <c r="E99" s="189">
        <f t="shared" si="1"/>
        <v>-8.8653555219364612E-3</v>
      </c>
      <c r="F99" s="189">
        <f t="shared" si="1"/>
        <v>2.2536520317570412E-4</v>
      </c>
      <c r="G99" s="194">
        <f t="shared" si="1"/>
        <v>-1.7567775692333552E-2</v>
      </c>
      <c r="H99" s="189">
        <f t="shared" si="1"/>
        <v>1.0909410507086636E-3</v>
      </c>
      <c r="I99" s="190">
        <f t="shared" si="1"/>
        <v>0.10085728693898134</v>
      </c>
      <c r="J99" s="189"/>
      <c r="K99" s="189"/>
      <c r="L99" s="211">
        <f t="shared" si="1"/>
        <v>1</v>
      </c>
      <c r="N99" s="196"/>
    </row>
    <row r="100" spans="1:14">
      <c r="A100" s="142">
        <v>1946</v>
      </c>
      <c r="B100" s="192">
        <f t="shared" si="1"/>
        <v>1.6263846928499498E-2</v>
      </c>
      <c r="C100" s="193">
        <f t="shared" si="1"/>
        <v>2.3786505538771402E-2</v>
      </c>
      <c r="D100" s="195">
        <f t="shared" si="1"/>
        <v>-7.8160327764063217E-3</v>
      </c>
      <c r="E100" s="189">
        <f t="shared" si="1"/>
        <v>-8.5045317220543808E-3</v>
      </c>
      <c r="F100" s="189">
        <f t="shared" si="1"/>
        <v>6.8849894564805927E-4</v>
      </c>
      <c r="G100" s="194">
        <f t="shared" si="1"/>
        <v>2.9337416613441954E-4</v>
      </c>
      <c r="H100" s="189">
        <f t="shared" si="1"/>
        <v>0</v>
      </c>
      <c r="I100" s="190"/>
      <c r="J100" s="189"/>
      <c r="K100" s="189"/>
      <c r="L100" s="211">
        <f t="shared" si="1"/>
        <v>1</v>
      </c>
      <c r="N100" s="196"/>
    </row>
    <row r="101" spans="1:14">
      <c r="A101" s="142">
        <v>1947</v>
      </c>
      <c r="B101" s="192">
        <f t="shared" si="1"/>
        <v>5.2515025427646793E-2</v>
      </c>
      <c r="C101" s="193">
        <f t="shared" si="1"/>
        <v>2.6643550624133146E-2</v>
      </c>
      <c r="D101" s="195">
        <f t="shared" si="1"/>
        <v>-5.6404415308655741E-3</v>
      </c>
      <c r="E101" s="189">
        <f t="shared" si="1"/>
        <v>-6.9717984281091076E-3</v>
      </c>
      <c r="F101" s="189">
        <f t="shared" si="1"/>
        <v>1.3313568972435352E-3</v>
      </c>
      <c r="G101" s="194">
        <f t="shared" si="1"/>
        <v>3.151191633437922E-2</v>
      </c>
      <c r="H101" s="189">
        <f t="shared" si="1"/>
        <v>-3.5219183215441901E-4</v>
      </c>
      <c r="I101" s="216"/>
      <c r="J101" s="189"/>
      <c r="K101" s="189"/>
      <c r="L101" s="211">
        <f t="shared" si="1"/>
        <v>1</v>
      </c>
      <c r="N101" s="196"/>
    </row>
    <row r="102" spans="1:14">
      <c r="A102" s="142">
        <v>1948</v>
      </c>
      <c r="B102" s="192">
        <f t="shared" si="1"/>
        <v>5.5684253915910968E-2</v>
      </c>
      <c r="C102" s="193">
        <f t="shared" si="1"/>
        <v>2.818631492168178E-2</v>
      </c>
      <c r="D102" s="195">
        <f t="shared" si="1"/>
        <v>-3.4288644270882591E-3</v>
      </c>
      <c r="E102" s="189">
        <f t="shared" si="1"/>
        <v>-5.610057708161584E-3</v>
      </c>
      <c r="F102" s="189">
        <f t="shared" si="1"/>
        <v>2.1811932810733266E-3</v>
      </c>
      <c r="G102" s="194">
        <f t="shared" si="1"/>
        <v>3.0926803421317442E-2</v>
      </c>
      <c r="H102" s="189">
        <f t="shared" si="1"/>
        <v>-1.3324025115419118E-3</v>
      </c>
      <c r="I102" s="190">
        <f t="shared" si="1"/>
        <v>0.1005729596042869</v>
      </c>
      <c r="J102" s="189"/>
      <c r="K102" s="189"/>
      <c r="L102" s="211">
        <f t="shared" si="1"/>
        <v>1</v>
      </c>
      <c r="N102" s="196"/>
    </row>
    <row r="103" spans="1:14">
      <c r="A103" s="223">
        <v>1949</v>
      </c>
      <c r="B103" s="257">
        <f t="shared" si="1"/>
        <v>6.0947368421052632E-2</v>
      </c>
      <c r="C103" s="258">
        <f t="shared" si="1"/>
        <v>3.2669473684210526E-2</v>
      </c>
      <c r="D103" s="259">
        <f t="shared" si="1"/>
        <v>-4.6778947368421083E-3</v>
      </c>
      <c r="E103" s="260">
        <f t="shared" si="1"/>
        <v>-7.5031578947368435E-3</v>
      </c>
      <c r="F103" s="260">
        <f t="shared" si="1"/>
        <v>2.8252631578947361E-3</v>
      </c>
      <c r="G103" s="261">
        <f t="shared" si="1"/>
        <v>3.2955789473684216E-2</v>
      </c>
      <c r="H103" s="260">
        <f t="shared" si="1"/>
        <v>-2.805234714068672E-3</v>
      </c>
      <c r="I103" s="262"/>
      <c r="J103" s="260"/>
      <c r="K103" s="260"/>
      <c r="L103" s="263">
        <f t="shared" si="1"/>
        <v>1</v>
      </c>
      <c r="N103" s="196"/>
    </row>
    <row r="104" spans="1:14">
      <c r="A104" s="151">
        <v>1950</v>
      </c>
      <c r="B104" s="192">
        <f t="shared" si="1"/>
        <v>5.2296324365289894E-2</v>
      </c>
      <c r="C104" s="193">
        <f t="shared" si="1"/>
        <v>3.1818870784388033E-2</v>
      </c>
      <c r="D104" s="195">
        <f t="shared" si="1"/>
        <v>-3.6747562012370899E-3</v>
      </c>
      <c r="E104" s="189">
        <f t="shared" si="1"/>
        <v>-6.6312997347480101E-3</v>
      </c>
      <c r="F104" s="189">
        <f t="shared" si="1"/>
        <v>2.9565435335109215E-3</v>
      </c>
      <c r="G104" s="194">
        <f t="shared" si="1"/>
        <v>2.4152209782138952E-2</v>
      </c>
      <c r="H104" s="189">
        <f t="shared" si="1"/>
        <v>-6.6527426026565441E-3</v>
      </c>
      <c r="I104" s="190">
        <f t="shared" si="1"/>
        <v>8.6472148541114069E-2</v>
      </c>
      <c r="J104" s="189"/>
      <c r="K104" s="189"/>
      <c r="L104" s="211">
        <f t="shared" si="1"/>
        <v>1</v>
      </c>
      <c r="N104" s="196"/>
    </row>
    <row r="105" spans="1:14">
      <c r="A105" s="151">
        <v>1951</v>
      </c>
      <c r="B105" s="192">
        <f t="shared" si="1"/>
        <v>4.8341013824884781E-2</v>
      </c>
      <c r="C105" s="193">
        <f t="shared" si="1"/>
        <v>3.0681369321922315E-2</v>
      </c>
      <c r="D105" s="195">
        <f t="shared" si="1"/>
        <v>-3.7974716054901304E-3</v>
      </c>
      <c r="E105" s="189">
        <f t="shared" si="1"/>
        <v>-6.7807768268597773E-3</v>
      </c>
      <c r="F105" s="189">
        <f t="shared" si="1"/>
        <v>2.9833052213696486E-3</v>
      </c>
      <c r="G105" s="194">
        <f t="shared" si="1"/>
        <v>2.1457116108452596E-2</v>
      </c>
      <c r="H105" s="189">
        <f t="shared" si="1"/>
        <v>-5.4921821396745705E-3</v>
      </c>
      <c r="I105" s="190"/>
      <c r="J105" s="189"/>
      <c r="K105" s="189"/>
      <c r="L105" s="211">
        <f t="shared" si="1"/>
        <v>1</v>
      </c>
      <c r="N105" s="196"/>
    </row>
    <row r="106" spans="1:14">
      <c r="A106" s="151">
        <v>1952</v>
      </c>
      <c r="B106" s="192">
        <f t="shared" ref="B106:L121" si="2">B27/$L27</f>
        <v>4.9156551509492684E-2</v>
      </c>
      <c r="C106" s="193">
        <f t="shared" si="2"/>
        <v>3.3538748832866477E-2</v>
      </c>
      <c r="D106" s="195">
        <f t="shared" si="2"/>
        <v>-4.5854336516785573E-3</v>
      </c>
      <c r="E106" s="189">
        <f t="shared" si="2"/>
        <v>-6.9903516962340493E-3</v>
      </c>
      <c r="F106" s="189">
        <f t="shared" si="2"/>
        <v>2.4049180445554945E-3</v>
      </c>
      <c r="G106" s="194">
        <f t="shared" si="2"/>
        <v>2.0203236328304758E-2</v>
      </c>
      <c r="H106" s="189">
        <f t="shared" si="2"/>
        <v>-5.333523499664366E-3</v>
      </c>
      <c r="I106" s="190"/>
      <c r="J106" s="189"/>
      <c r="K106" s="189"/>
      <c r="L106" s="211">
        <f t="shared" si="2"/>
        <v>1</v>
      </c>
      <c r="N106" s="196"/>
    </row>
    <row r="107" spans="1:14">
      <c r="A107" s="151">
        <v>1953</v>
      </c>
      <c r="B107" s="192">
        <f t="shared" si="2"/>
        <v>5.0200826934435901E-2</v>
      </c>
      <c r="C107" s="193">
        <f t="shared" si="2"/>
        <v>3.5445953927938562E-2</v>
      </c>
      <c r="D107" s="195">
        <f t="shared" si="2"/>
        <v>-5.4083835447751045E-3</v>
      </c>
      <c r="E107" s="189">
        <f t="shared" si="2"/>
        <v>-6.8546958062610736E-3</v>
      </c>
      <c r="F107" s="189">
        <f t="shared" si="2"/>
        <v>1.4463122614859708E-3</v>
      </c>
      <c r="G107" s="194">
        <f t="shared" si="2"/>
        <v>2.0163256551272442E-2</v>
      </c>
      <c r="H107" s="189">
        <f t="shared" si="2"/>
        <v>-6.2485554057533062E-3</v>
      </c>
      <c r="I107" s="190"/>
      <c r="J107" s="189"/>
      <c r="K107" s="189"/>
      <c r="L107" s="211">
        <f t="shared" si="2"/>
        <v>1</v>
      </c>
      <c r="N107" s="196"/>
    </row>
    <row r="108" spans="1:14">
      <c r="A108" s="151">
        <v>1954</v>
      </c>
      <c r="B108" s="192">
        <f t="shared" si="2"/>
        <v>4.8266902863891348E-2</v>
      </c>
      <c r="C108" s="193">
        <f t="shared" si="2"/>
        <v>3.8376144080307061E-2</v>
      </c>
      <c r="D108" s="195">
        <f t="shared" si="2"/>
        <v>-9.2361245733085674E-3</v>
      </c>
      <c r="E108" s="189">
        <f t="shared" si="2"/>
        <v>-9.9970475346914649E-3</v>
      </c>
      <c r="F108" s="189">
        <f t="shared" si="2"/>
        <v>7.6092296138289878E-4</v>
      </c>
      <c r="G108" s="194">
        <f t="shared" si="2"/>
        <v>1.912688335689286E-2</v>
      </c>
      <c r="H108" s="189">
        <f t="shared" si="2"/>
        <v>-7.2658057948615969E-3</v>
      </c>
      <c r="I108" s="190">
        <f t="shared" si="2"/>
        <v>6.4343076468851484E-2</v>
      </c>
      <c r="J108" s="189"/>
      <c r="K108" s="189"/>
      <c r="L108" s="211">
        <f t="shared" si="2"/>
        <v>1</v>
      </c>
      <c r="N108" s="196"/>
    </row>
    <row r="109" spans="1:14">
      <c r="A109" s="151">
        <v>1955</v>
      </c>
      <c r="B109" s="192">
        <f t="shared" si="2"/>
        <v>4.6002688172043012E-2</v>
      </c>
      <c r="C109" s="193">
        <f t="shared" si="2"/>
        <v>3.8491935483870962E-2</v>
      </c>
      <c r="D109" s="195">
        <f t="shared" si="2"/>
        <v>-1.1465053763440862E-2</v>
      </c>
      <c r="E109" s="189">
        <f t="shared" si="2"/>
        <v>-1.1118279569892473E-2</v>
      </c>
      <c r="F109" s="189">
        <f t="shared" si="2"/>
        <v>-3.4677419354838711E-4</v>
      </c>
      <c r="G109" s="194">
        <f t="shared" si="2"/>
        <v>1.8975806451612901E-2</v>
      </c>
      <c r="H109" s="189">
        <f t="shared" si="2"/>
        <v>-6.6569059154869201E-3</v>
      </c>
      <c r="I109" s="190">
        <f t="shared" si="2"/>
        <v>5.8473118279569893E-2</v>
      </c>
      <c r="J109" s="189"/>
      <c r="K109" s="189"/>
      <c r="L109" s="211">
        <f t="shared" si="2"/>
        <v>1</v>
      </c>
      <c r="N109" s="196"/>
    </row>
    <row r="110" spans="1:14">
      <c r="A110" s="151">
        <v>1956</v>
      </c>
      <c r="B110" s="192">
        <f t="shared" si="2"/>
        <v>5.1344644213724998E-2</v>
      </c>
      <c r="C110" s="193">
        <f t="shared" si="2"/>
        <v>4.3165358318561664E-2</v>
      </c>
      <c r="D110" s="195">
        <f t="shared" si="2"/>
        <v>-1.109345097326239E-2</v>
      </c>
      <c r="E110" s="189">
        <f t="shared" si="2"/>
        <v>-1.0979994935426691E-2</v>
      </c>
      <c r="F110" s="189">
        <f t="shared" si="2"/>
        <v>-1.1345603783570133E-4</v>
      </c>
      <c r="G110" s="194">
        <f t="shared" si="2"/>
        <v>1.9272736868425726E-2</v>
      </c>
      <c r="H110" s="189">
        <f t="shared" si="2"/>
        <v>-6.9586483261614629E-3</v>
      </c>
      <c r="I110" s="190"/>
      <c r="J110" s="189"/>
      <c r="K110" s="189"/>
      <c r="L110" s="211">
        <f t="shared" si="2"/>
        <v>1</v>
      </c>
      <c r="N110" s="196"/>
    </row>
    <row r="111" spans="1:14">
      <c r="A111" s="151">
        <v>1957</v>
      </c>
      <c r="B111" s="192">
        <f t="shared" si="2"/>
        <v>5.9939511250907331E-2</v>
      </c>
      <c r="C111" s="193">
        <f t="shared" si="2"/>
        <v>4.7626421485603671E-2</v>
      </c>
      <c r="D111" s="195">
        <f t="shared" si="2"/>
        <v>-8.9754200966801773E-3</v>
      </c>
      <c r="E111" s="189">
        <f t="shared" si="2"/>
        <v>-9.3346237599806429E-3</v>
      </c>
      <c r="F111" s="189">
        <f t="shared" si="2"/>
        <v>3.5920366330046674E-4</v>
      </c>
      <c r="G111" s="194">
        <f t="shared" si="2"/>
        <v>2.1288509861983836E-2</v>
      </c>
      <c r="H111" s="189">
        <f t="shared" si="2"/>
        <v>-6.504209031973949E-3</v>
      </c>
      <c r="I111" s="190"/>
      <c r="J111" s="189"/>
      <c r="K111" s="189"/>
      <c r="L111" s="211">
        <f t="shared" si="2"/>
        <v>1</v>
      </c>
      <c r="N111" s="196"/>
    </row>
    <row r="112" spans="1:14">
      <c r="A112" s="151">
        <v>1958</v>
      </c>
      <c r="B112" s="192">
        <f t="shared" si="2"/>
        <v>6.2038017324350339E-2</v>
      </c>
      <c r="C112" s="193">
        <f t="shared" si="2"/>
        <v>5.1236766121270441E-2</v>
      </c>
      <c r="D112" s="195">
        <f t="shared" si="2"/>
        <v>-1.0592724590104482E-2</v>
      </c>
      <c r="E112" s="189">
        <f t="shared" si="2"/>
        <v>-1.2536092396535126E-2</v>
      </c>
      <c r="F112" s="189">
        <f t="shared" si="2"/>
        <v>1.9433678064306446E-3</v>
      </c>
      <c r="G112" s="194">
        <f t="shared" si="2"/>
        <v>2.1393975793184375E-2</v>
      </c>
      <c r="H112" s="189">
        <f t="shared" si="2"/>
        <v>-5.9437129408632574E-3</v>
      </c>
      <c r="I112" s="190"/>
      <c r="J112" s="189"/>
      <c r="K112" s="189"/>
      <c r="L112" s="211">
        <f t="shared" si="2"/>
        <v>1</v>
      </c>
      <c r="N112" s="196"/>
    </row>
    <row r="113" spans="1:14">
      <c r="A113" s="223">
        <v>1959</v>
      </c>
      <c r="B113" s="257">
        <f t="shared" si="2"/>
        <v>5.5839029768467476E-2</v>
      </c>
      <c r="C113" s="258">
        <f t="shared" si="2"/>
        <v>5.1208379272326354E-2</v>
      </c>
      <c r="D113" s="259">
        <f t="shared" si="2"/>
        <v>-1.0298551481940917E-2</v>
      </c>
      <c r="E113" s="260">
        <f t="shared" si="2"/>
        <v>-1.2511576626240351E-2</v>
      </c>
      <c r="F113" s="260">
        <f t="shared" si="2"/>
        <v>2.2130251442994309E-3</v>
      </c>
      <c r="G113" s="261">
        <f t="shared" si="2"/>
        <v>1.4929201978082045E-2</v>
      </c>
      <c r="H113" s="260">
        <f t="shared" si="2"/>
        <v>-1.2678740349374612E-2</v>
      </c>
      <c r="I113" s="262"/>
      <c r="J113" s="260"/>
      <c r="K113" s="260"/>
      <c r="L113" s="263">
        <f t="shared" si="2"/>
        <v>1</v>
      </c>
      <c r="N113" s="196"/>
    </row>
    <row r="114" spans="1:14">
      <c r="A114" s="151">
        <v>1960</v>
      </c>
      <c r="B114" s="192">
        <f t="shared" si="2"/>
        <v>6.0134558433323722E-2</v>
      </c>
      <c r="C114" s="193">
        <f t="shared" si="2"/>
        <v>5.2624860076742823E-2</v>
      </c>
      <c r="D114" s="195">
        <f t="shared" si="2"/>
        <v>-8.5119761647786899E-3</v>
      </c>
      <c r="E114" s="189">
        <f t="shared" si="2"/>
        <v>-1.1221291334728082E-2</v>
      </c>
      <c r="F114" s="189">
        <f t="shared" si="2"/>
        <v>2.70931516994939E-3</v>
      </c>
      <c r="G114" s="194">
        <f t="shared" si="2"/>
        <v>1.6021674521359587E-2</v>
      </c>
      <c r="H114" s="189">
        <f t="shared" si="2"/>
        <v>-1.3128449574601894E-2</v>
      </c>
      <c r="I114" s="190"/>
      <c r="J114" s="189"/>
      <c r="K114" s="189"/>
      <c r="L114" s="211">
        <f t="shared" si="2"/>
        <v>1</v>
      </c>
      <c r="N114" s="196"/>
    </row>
    <row r="115" spans="1:14">
      <c r="A115" s="151">
        <v>1961</v>
      </c>
      <c r="B115" s="192">
        <f t="shared" si="2"/>
        <v>6.3126231063404412E-2</v>
      </c>
      <c r="C115" s="193">
        <f t="shared" si="2"/>
        <v>5.5970905889437893E-2</v>
      </c>
      <c r="D115" s="195">
        <f t="shared" si="2"/>
        <v>-1.1266786332364239E-2</v>
      </c>
      <c r="E115" s="189">
        <f t="shared" si="2"/>
        <v>-1.4074245414814234E-2</v>
      </c>
      <c r="F115" s="189">
        <f t="shared" si="2"/>
        <v>2.807459082449993E-3</v>
      </c>
      <c r="G115" s="194">
        <f t="shared" si="2"/>
        <v>1.842211150633075E-2</v>
      </c>
      <c r="H115" s="189">
        <f t="shared" si="2"/>
        <v>-1.2766753998903485E-2</v>
      </c>
      <c r="I115" s="190"/>
      <c r="J115" s="189"/>
      <c r="K115" s="189"/>
      <c r="L115" s="211">
        <f t="shared" si="2"/>
        <v>1</v>
      </c>
      <c r="N115" s="196"/>
    </row>
    <row r="116" spans="1:14">
      <c r="A116" s="151">
        <v>1962</v>
      </c>
      <c r="B116" s="192">
        <f t="shared" si="2"/>
        <v>6.5032441533861049E-2</v>
      </c>
      <c r="C116" s="193">
        <f t="shared" si="2"/>
        <v>5.6196696947952686E-2</v>
      </c>
      <c r="D116" s="195">
        <f t="shared" si="2"/>
        <v>-6.8448403725513141E-3</v>
      </c>
      <c r="E116" s="189">
        <f t="shared" si="2"/>
        <v>-1.0630121134598094E-2</v>
      </c>
      <c r="F116" s="189">
        <f t="shared" si="2"/>
        <v>3.7852807620467797E-3</v>
      </c>
      <c r="G116" s="194">
        <f t="shared" si="2"/>
        <v>1.5680584958459681E-2</v>
      </c>
      <c r="H116" s="189">
        <f t="shared" si="2"/>
        <v>-1.3932056407197281E-2</v>
      </c>
      <c r="I116" s="190"/>
      <c r="J116" s="189"/>
      <c r="K116" s="189"/>
      <c r="L116" s="211">
        <f t="shared" si="2"/>
        <v>1</v>
      </c>
      <c r="N116" s="196"/>
    </row>
    <row r="117" spans="1:14">
      <c r="A117" s="151">
        <v>1963</v>
      </c>
      <c r="B117" s="192">
        <f t="shared" si="2"/>
        <v>6.2918195090890763E-2</v>
      </c>
      <c r="C117" s="193">
        <f t="shared" si="2"/>
        <v>5.8780462182621944E-2</v>
      </c>
      <c r="D117" s="195">
        <f t="shared" si="2"/>
        <v>-8.4736095224193283E-3</v>
      </c>
      <c r="E117" s="189">
        <f t="shared" si="2"/>
        <v>-1.3113540391490991E-2</v>
      </c>
      <c r="F117" s="189">
        <f t="shared" si="2"/>
        <v>4.639930869071664E-3</v>
      </c>
      <c r="G117" s="194">
        <f t="shared" si="2"/>
        <v>1.2611342430688149E-2</v>
      </c>
      <c r="H117" s="189">
        <f t="shared" si="2"/>
        <v>-1.4118235844015597E-2</v>
      </c>
      <c r="I117" s="190"/>
      <c r="J117" s="189"/>
      <c r="K117" s="189"/>
      <c r="L117" s="211">
        <f t="shared" si="2"/>
        <v>1</v>
      </c>
      <c r="N117" s="196"/>
    </row>
    <row r="118" spans="1:14">
      <c r="A118" s="151">
        <v>1964</v>
      </c>
      <c r="B118" s="192">
        <f t="shared" si="2"/>
        <v>6.2178021520130002E-2</v>
      </c>
      <c r="C118" s="193">
        <f t="shared" si="2"/>
        <v>6.0412195638210535E-2</v>
      </c>
      <c r="D118" s="195">
        <f t="shared" si="2"/>
        <v>-9.8585517717146992E-3</v>
      </c>
      <c r="E118" s="189">
        <f t="shared" si="2"/>
        <v>-1.4241335855593354E-2</v>
      </c>
      <c r="F118" s="189">
        <f t="shared" si="2"/>
        <v>4.3827840838786573E-3</v>
      </c>
      <c r="G118" s="194">
        <f t="shared" si="2"/>
        <v>1.1624377653634162E-2</v>
      </c>
      <c r="H118" s="189">
        <f t="shared" si="2"/>
        <v>-1.3862509371335924E-2</v>
      </c>
      <c r="I118" s="190"/>
      <c r="J118" s="189"/>
      <c r="K118" s="189"/>
      <c r="L118" s="211">
        <f t="shared" si="2"/>
        <v>1</v>
      </c>
      <c r="N118" s="196"/>
    </row>
    <row r="119" spans="1:14">
      <c r="A119" s="151">
        <v>1965</v>
      </c>
      <c r="B119" s="192">
        <f t="shared" si="2"/>
        <v>6.5112811606931748E-2</v>
      </c>
      <c r="C119" s="193">
        <f t="shared" si="2"/>
        <v>7.1879392028959058E-2</v>
      </c>
      <c r="D119" s="195">
        <f t="shared" si="2"/>
        <v>-1.0604502650972328E-2</v>
      </c>
      <c r="E119" s="189">
        <f t="shared" si="2"/>
        <v>-1.4644824294308374E-2</v>
      </c>
      <c r="F119" s="189">
        <f t="shared" si="2"/>
        <v>4.0403216433360445E-3</v>
      </c>
      <c r="G119" s="194">
        <f t="shared" si="2"/>
        <v>3.8379222289450228E-3</v>
      </c>
      <c r="H119" s="189">
        <f t="shared" si="2"/>
        <v>-1.2698810139668868E-2</v>
      </c>
      <c r="I119" s="190"/>
      <c r="J119" s="189"/>
      <c r="K119" s="189"/>
      <c r="L119" s="211">
        <f t="shared" si="2"/>
        <v>1</v>
      </c>
      <c r="N119" s="196"/>
    </row>
    <row r="120" spans="1:14">
      <c r="A120" s="151">
        <v>1966</v>
      </c>
      <c r="B120" s="192">
        <f t="shared" si="2"/>
        <v>6.5980412175149786E-2</v>
      </c>
      <c r="C120" s="193">
        <f t="shared" si="2"/>
        <v>7.0542924936807791E-2</v>
      </c>
      <c r="D120" s="195">
        <f t="shared" si="2"/>
        <v>-9.1592361731455234E-3</v>
      </c>
      <c r="E120" s="189">
        <f t="shared" si="2"/>
        <v>-1.1714673970442241E-2</v>
      </c>
      <c r="F120" s="189">
        <f t="shared" si="2"/>
        <v>2.5554377972967176E-3</v>
      </c>
      <c r="G120" s="194">
        <f t="shared" si="2"/>
        <v>4.5967234114875164E-3</v>
      </c>
      <c r="H120" s="189">
        <f t="shared" si="2"/>
        <v>-9.3237618546612947E-3</v>
      </c>
      <c r="I120" s="190"/>
      <c r="J120" s="189"/>
      <c r="K120" s="189"/>
      <c r="L120" s="211">
        <f t="shared" si="2"/>
        <v>1</v>
      </c>
      <c r="N120" s="196"/>
    </row>
    <row r="121" spans="1:14">
      <c r="A121" s="151">
        <v>1967</v>
      </c>
      <c r="B121" s="192">
        <f t="shared" si="2"/>
        <v>4.9769754749328848E-2</v>
      </c>
      <c r="C121" s="193">
        <f t="shared" si="2"/>
        <v>7.4496715398746402E-2</v>
      </c>
      <c r="D121" s="195">
        <f t="shared" si="2"/>
        <v>-2.5546172615412852E-2</v>
      </c>
      <c r="E121" s="189">
        <f t="shared" si="2"/>
        <v>-2.7016420007849196E-2</v>
      </c>
      <c r="F121" s="189">
        <f t="shared" si="2"/>
        <v>1.4702473924363441E-3</v>
      </c>
      <c r="G121" s="194">
        <f t="shared" si="2"/>
        <v>8.1921196599530732E-4</v>
      </c>
      <c r="H121" s="189">
        <f t="shared" si="2"/>
        <v>-9.4004114012762457E-3</v>
      </c>
      <c r="I121" s="190"/>
      <c r="J121" s="189"/>
      <c r="K121" s="189"/>
      <c r="L121" s="211">
        <f t="shared" si="2"/>
        <v>1</v>
      </c>
      <c r="N121" s="196"/>
    </row>
    <row r="122" spans="1:14">
      <c r="A122" s="151">
        <v>1968</v>
      </c>
      <c r="B122" s="192">
        <f t="shared" ref="B122:L137" si="3">B43/$L43</f>
        <v>4.6471651829640158E-2</v>
      </c>
      <c r="C122" s="193">
        <f t="shared" si="3"/>
        <v>7.6962812936562208E-2</v>
      </c>
      <c r="D122" s="195">
        <f t="shared" si="3"/>
        <v>-2.8332536517545134E-2</v>
      </c>
      <c r="E122" s="189">
        <f t="shared" si="3"/>
        <v>-2.8087329004000051E-2</v>
      </c>
      <c r="F122" s="189">
        <f t="shared" si="3"/>
        <v>-2.4520751354507739E-4</v>
      </c>
      <c r="G122" s="194">
        <f t="shared" si="3"/>
        <v>-2.1586245893769132E-3</v>
      </c>
      <c r="H122" s="189">
        <f t="shared" si="3"/>
        <v>-8.3412346272120491E-3</v>
      </c>
      <c r="I122" s="190"/>
      <c r="J122" s="189"/>
      <c r="K122" s="189"/>
      <c r="L122" s="211">
        <f t="shared" si="3"/>
        <v>1</v>
      </c>
      <c r="N122" s="196"/>
    </row>
    <row r="123" spans="1:14">
      <c r="A123" s="223">
        <v>1969</v>
      </c>
      <c r="B123" s="257">
        <f t="shared" si="3"/>
        <v>4.4401449884606863E-2</v>
      </c>
      <c r="C123" s="258">
        <f t="shared" si="3"/>
        <v>8.0349178854555142E-2</v>
      </c>
      <c r="D123" s="259">
        <f t="shared" si="3"/>
        <v>-2.4695458322017912E-2</v>
      </c>
      <c r="E123" s="260">
        <f t="shared" si="3"/>
        <v>-2.2294142441426947E-2</v>
      </c>
      <c r="F123" s="260">
        <f t="shared" si="3"/>
        <v>-2.4013158805909632E-3</v>
      </c>
      <c r="G123" s="261">
        <f t="shared" si="3"/>
        <v>-1.1252270647930357E-2</v>
      </c>
      <c r="H123" s="260">
        <f t="shared" si="3"/>
        <v>-4.9117413265781628E-3</v>
      </c>
      <c r="I123" s="262"/>
      <c r="J123" s="260"/>
      <c r="K123" s="260"/>
      <c r="L123" s="263">
        <f t="shared" si="3"/>
        <v>1</v>
      </c>
      <c r="N123" s="196"/>
    </row>
    <row r="124" spans="1:14">
      <c r="A124" s="151">
        <v>1970</v>
      </c>
      <c r="B124" s="192">
        <f t="shared" si="3"/>
        <v>4.571344965383025E-2</v>
      </c>
      <c r="C124" s="193">
        <f t="shared" si="3"/>
        <v>8.7275336608466966E-2</v>
      </c>
      <c r="D124" s="195">
        <f t="shared" si="3"/>
        <v>-2.7502085732620647E-2</v>
      </c>
      <c r="E124" s="189">
        <f t="shared" si="3"/>
        <v>-2.2200478844404615E-2</v>
      </c>
      <c r="F124" s="189">
        <f t="shared" si="3"/>
        <v>-5.3016068882160289E-3</v>
      </c>
      <c r="G124" s="194">
        <f t="shared" si="3"/>
        <v>-1.4059801222016072E-2</v>
      </c>
      <c r="H124" s="189">
        <f t="shared" si="3"/>
        <v>-1.1538379007664476E-2</v>
      </c>
      <c r="I124" s="190"/>
      <c r="J124" s="189"/>
      <c r="K124" s="189"/>
      <c r="L124" s="211">
        <f t="shared" si="3"/>
        <v>1</v>
      </c>
      <c r="N124" s="196"/>
    </row>
    <row r="125" spans="1:14">
      <c r="A125" s="151">
        <v>1971</v>
      </c>
      <c r="B125" s="192">
        <f t="shared" si="3"/>
        <v>2.6195745853831845E-2</v>
      </c>
      <c r="C125" s="193">
        <f t="shared" si="3"/>
        <v>8.9775345848382482E-2</v>
      </c>
      <c r="D125" s="195">
        <f t="shared" si="3"/>
        <v>-3.1204964192398221E-2</v>
      </c>
      <c r="E125" s="189">
        <f t="shared" si="3"/>
        <v>-2.3040482535523064E-2</v>
      </c>
      <c r="F125" s="189">
        <f t="shared" si="3"/>
        <v>-8.164481656875151E-3</v>
      </c>
      <c r="G125" s="194">
        <f t="shared" si="3"/>
        <v>-3.237463580215242E-2</v>
      </c>
      <c r="H125" s="189">
        <f t="shared" si="3"/>
        <v>-3.0045332656266941E-2</v>
      </c>
      <c r="I125" s="190"/>
      <c r="J125" s="189"/>
      <c r="K125" s="189"/>
      <c r="L125" s="211">
        <f t="shared" si="3"/>
        <v>1</v>
      </c>
      <c r="N125" s="196"/>
    </row>
    <row r="126" spans="1:14">
      <c r="A126" s="151">
        <v>1972</v>
      </c>
      <c r="B126" s="192">
        <f t="shared" si="3"/>
        <v>1.5906846509558568E-2</v>
      </c>
      <c r="C126" s="193">
        <f t="shared" si="3"/>
        <v>9.9764981791605187E-2</v>
      </c>
      <c r="D126" s="195">
        <f t="shared" si="3"/>
        <v>-3.6915219977947465E-2</v>
      </c>
      <c r="E126" s="189">
        <f t="shared" si="3"/>
        <v>-2.5800517169148118E-2</v>
      </c>
      <c r="F126" s="189">
        <f t="shared" si="3"/>
        <v>-1.1114702808799353E-2</v>
      </c>
      <c r="G126" s="194">
        <f t="shared" si="3"/>
        <v>-4.694291530409915E-2</v>
      </c>
      <c r="H126" s="189">
        <f t="shared" si="3"/>
        <v>-3.0475000738233973E-2</v>
      </c>
      <c r="I126" s="190"/>
      <c r="J126" s="189"/>
      <c r="K126" s="189"/>
      <c r="L126" s="211">
        <f t="shared" si="3"/>
        <v>1</v>
      </c>
      <c r="N126" s="196"/>
    </row>
    <row r="127" spans="1:14">
      <c r="A127" s="151">
        <v>1973</v>
      </c>
      <c r="B127" s="192">
        <f t="shared" si="3"/>
        <v>4.7141216118504831E-2</v>
      </c>
      <c r="C127" s="193">
        <f t="shared" si="3"/>
        <v>8.6993207048824406E-2</v>
      </c>
      <c r="D127" s="195">
        <f t="shared" si="3"/>
        <v>-3.3318742352941119E-2</v>
      </c>
      <c r="E127" s="189">
        <f t="shared" si="3"/>
        <v>-1.9121743730113397E-2</v>
      </c>
      <c r="F127" s="189">
        <f t="shared" si="3"/>
        <v>-1.4196998622827719E-2</v>
      </c>
      <c r="G127" s="194">
        <f t="shared" si="3"/>
        <v>-6.5332485773784473E-3</v>
      </c>
      <c r="H127" s="189">
        <f t="shared" si="3"/>
        <v>-2.3108526350237513E-2</v>
      </c>
      <c r="I127" s="190"/>
      <c r="J127" s="189"/>
      <c r="K127" s="189"/>
      <c r="L127" s="211">
        <f t="shared" si="3"/>
        <v>1</v>
      </c>
      <c r="N127" s="196"/>
    </row>
    <row r="128" spans="1:14">
      <c r="A128" s="151">
        <v>1974</v>
      </c>
      <c r="B128" s="192">
        <f t="shared" si="3"/>
        <v>2.8684144769838056E-2</v>
      </c>
      <c r="C128" s="193">
        <f t="shared" si="3"/>
        <v>8.4006175898609356E-2</v>
      </c>
      <c r="D128" s="195">
        <f t="shared" si="3"/>
        <v>-2.882602862565185E-2</v>
      </c>
      <c r="E128" s="189">
        <f t="shared" si="3"/>
        <v>-1.1659821453952203E-2</v>
      </c>
      <c r="F128" s="189">
        <f t="shared" si="3"/>
        <v>-1.716620717169964E-2</v>
      </c>
      <c r="G128" s="194">
        <f t="shared" si="3"/>
        <v>-2.6496002503119447E-2</v>
      </c>
      <c r="H128" s="189">
        <f t="shared" si="3"/>
        <v>-1.8675986396128427E-2</v>
      </c>
      <c r="I128" s="190"/>
      <c r="J128" s="189"/>
      <c r="K128" s="189"/>
      <c r="L128" s="211">
        <f t="shared" si="3"/>
        <v>1</v>
      </c>
      <c r="N128" s="196"/>
    </row>
    <row r="129" spans="1:14">
      <c r="A129" s="151">
        <v>1975</v>
      </c>
      <c r="B129" s="197">
        <f t="shared" si="3"/>
        <v>3.8556985246380154E-2</v>
      </c>
      <c r="C129" s="193">
        <f t="shared" si="3"/>
        <v>8.6102082487170356E-2</v>
      </c>
      <c r="D129" s="195">
        <f t="shared" si="3"/>
        <v>-3.1471915986741338E-2</v>
      </c>
      <c r="E129" s="189">
        <f t="shared" si="3"/>
        <v>-1.9146569105589713E-2</v>
      </c>
      <c r="F129" s="189">
        <f t="shared" si="3"/>
        <v>-1.2325346881151628E-2</v>
      </c>
      <c r="G129" s="198">
        <f t="shared" si="3"/>
        <v>-1.6073181254048864E-2</v>
      </c>
      <c r="H129" s="189">
        <f t="shared" si="3"/>
        <v>-2.0719600979382906E-2</v>
      </c>
      <c r="I129" s="190"/>
      <c r="J129" s="189"/>
      <c r="K129" s="189"/>
      <c r="L129" s="211">
        <f t="shared" si="3"/>
        <v>1</v>
      </c>
      <c r="N129" s="196"/>
    </row>
    <row r="130" spans="1:14">
      <c r="A130" s="151">
        <v>1976</v>
      </c>
      <c r="B130" s="192">
        <f t="shared" si="3"/>
        <v>7.8125121327974861E-2</v>
      </c>
      <c r="C130" s="193">
        <f t="shared" si="3"/>
        <v>0.10855767167073707</v>
      </c>
      <c r="D130" s="195">
        <f t="shared" si="3"/>
        <v>-3.0445787083961527E-2</v>
      </c>
      <c r="E130" s="199">
        <f t="shared" si="3"/>
        <v>-2.3202205422924341E-2</v>
      </c>
      <c r="F130" s="199">
        <f t="shared" si="3"/>
        <v>-7.2435816610371831E-3</v>
      </c>
      <c r="G130" s="194">
        <f t="shared" si="3"/>
        <v>1.3236741199307461E-5</v>
      </c>
      <c r="H130" s="189">
        <f t="shared" si="3"/>
        <v>-2.2638807414886872E-2</v>
      </c>
      <c r="I130" s="200">
        <f t="shared" si="3"/>
        <v>2.294958440218426E-2</v>
      </c>
      <c r="J130" s="189"/>
      <c r="K130" s="199"/>
      <c r="L130" s="212">
        <f t="shared" si="3"/>
        <v>1</v>
      </c>
      <c r="N130" s="196"/>
    </row>
    <row r="131" spans="1:14">
      <c r="A131" s="151">
        <v>1977</v>
      </c>
      <c r="B131" s="192">
        <f t="shared" si="3"/>
        <v>6.8891070025577594E-2</v>
      </c>
      <c r="C131" s="193">
        <f t="shared" si="3"/>
        <v>0.10607634737518275</v>
      </c>
      <c r="D131" s="195">
        <f t="shared" si="3"/>
        <v>-2.4276426343541074E-2</v>
      </c>
      <c r="E131" s="199">
        <f t="shared" si="3"/>
        <v>-1.918311077690588E-2</v>
      </c>
      <c r="F131" s="199">
        <f t="shared" si="3"/>
        <v>-5.0933155666351964E-3</v>
      </c>
      <c r="G131" s="194">
        <f t="shared" si="3"/>
        <v>-1.2908851006064049E-2</v>
      </c>
      <c r="H131" s="189">
        <f t="shared" si="3"/>
        <v>-3.57605665109356E-2</v>
      </c>
      <c r="I131" s="200">
        <f t="shared" si="3"/>
        <v>2.5470229245971945E-2</v>
      </c>
      <c r="J131" s="189"/>
      <c r="K131" s="199"/>
      <c r="L131" s="212">
        <f t="shared" si="3"/>
        <v>1</v>
      </c>
      <c r="N131" s="196"/>
    </row>
    <row r="132" spans="1:14">
      <c r="A132" s="151">
        <v>1978</v>
      </c>
      <c r="B132" s="192">
        <f t="shared" si="3"/>
        <v>7.0316030099119103E-2</v>
      </c>
      <c r="C132" s="193">
        <f t="shared" si="3"/>
        <v>0.10652983103037059</v>
      </c>
      <c r="D132" s="195">
        <f t="shared" si="3"/>
        <v>-2.2220158757781699E-2</v>
      </c>
      <c r="E132" s="199">
        <f t="shared" si="3"/>
        <v>-1.8002932760477031E-2</v>
      </c>
      <c r="F132" s="199">
        <f t="shared" si="3"/>
        <v>-4.217225997304664E-3</v>
      </c>
      <c r="G132" s="194">
        <f t="shared" si="3"/>
        <v>-1.3993642173469789E-2</v>
      </c>
      <c r="H132" s="189">
        <f t="shared" si="3"/>
        <v>-4.0827994530033024E-2</v>
      </c>
      <c r="I132" s="200">
        <f t="shared" si="3"/>
        <v>3.0806165256971427E-2</v>
      </c>
      <c r="J132" s="189"/>
      <c r="K132" s="199"/>
      <c r="L132" s="212">
        <f t="shared" si="3"/>
        <v>1</v>
      </c>
      <c r="N132" s="196"/>
    </row>
    <row r="133" spans="1:14">
      <c r="A133" s="223">
        <v>1979</v>
      </c>
      <c r="B133" s="257">
        <f t="shared" si="3"/>
        <v>8.0144223753197061E-2</v>
      </c>
      <c r="C133" s="258">
        <f t="shared" si="3"/>
        <v>0.11018268463645813</v>
      </c>
      <c r="D133" s="259">
        <f t="shared" si="3"/>
        <v>-2.6585878027892706E-2</v>
      </c>
      <c r="E133" s="264">
        <f t="shared" si="3"/>
        <v>-1.7849314400911549E-2</v>
      </c>
      <c r="F133" s="264">
        <f t="shared" si="3"/>
        <v>-8.736563626981159E-3</v>
      </c>
      <c r="G133" s="261">
        <f t="shared" si="3"/>
        <v>-3.4525828553683678E-3</v>
      </c>
      <c r="H133" s="260">
        <f t="shared" si="3"/>
        <v>-2.8206397206972447E-2</v>
      </c>
      <c r="I133" s="265">
        <f t="shared" si="3"/>
        <v>6.0257503910871063E-2</v>
      </c>
      <c r="J133" s="260"/>
      <c r="K133" s="264"/>
      <c r="L133" s="266">
        <f t="shared" si="3"/>
        <v>1</v>
      </c>
      <c r="N133" s="196"/>
    </row>
    <row r="134" spans="1:14">
      <c r="A134" s="151">
        <v>1980</v>
      </c>
      <c r="B134" s="192">
        <f t="shared" si="3"/>
        <v>8.4067051417562613E-2</v>
      </c>
      <c r="C134" s="193">
        <f t="shared" si="3"/>
        <v>0.10726357475046353</v>
      </c>
      <c r="D134" s="195">
        <f t="shared" si="3"/>
        <v>-3.5510450082961713E-2</v>
      </c>
      <c r="E134" s="199">
        <f t="shared" si="3"/>
        <v>-2.262917386848377E-2</v>
      </c>
      <c r="F134" s="199">
        <f t="shared" si="3"/>
        <v>-1.2881276214477943E-2</v>
      </c>
      <c r="G134" s="194">
        <f t="shared" si="3"/>
        <v>1.2313926750060808E-2</v>
      </c>
      <c r="H134" s="189">
        <f t="shared" si="3"/>
        <v>-2.9067172258477245E-2</v>
      </c>
      <c r="I134" s="200">
        <f t="shared" si="3"/>
        <v>6.4044040676860384E-2</v>
      </c>
      <c r="J134" s="189"/>
      <c r="K134" s="199"/>
      <c r="L134" s="212">
        <f t="shared" si="3"/>
        <v>1</v>
      </c>
      <c r="N134" s="196"/>
    </row>
    <row r="135" spans="1:14">
      <c r="A135" s="151">
        <v>1981</v>
      </c>
      <c r="B135" s="192">
        <f t="shared" si="3"/>
        <v>8.5990492585247325E-2</v>
      </c>
      <c r="C135" s="193">
        <f t="shared" si="3"/>
        <v>8.9082239478288958E-2</v>
      </c>
      <c r="D135" s="195">
        <f t="shared" si="3"/>
        <v>-3.7940686695744442E-2</v>
      </c>
      <c r="E135" s="199">
        <f t="shared" si="3"/>
        <v>-2.1347950604678905E-2</v>
      </c>
      <c r="F135" s="199">
        <f t="shared" si="3"/>
        <v>-1.6592736091065548E-2</v>
      </c>
      <c r="G135" s="194">
        <f t="shared" si="3"/>
        <v>3.4848939802702809E-2</v>
      </c>
      <c r="H135" s="189">
        <f t="shared" si="3"/>
        <v>-2.317857735904226E-2</v>
      </c>
      <c r="I135" s="200">
        <f t="shared" si="3"/>
        <v>3.8699586346977601E-2</v>
      </c>
      <c r="J135" s="189"/>
      <c r="K135" s="199"/>
      <c r="L135" s="212">
        <f t="shared" si="3"/>
        <v>1</v>
      </c>
      <c r="N135" s="196"/>
    </row>
    <row r="136" spans="1:14">
      <c r="A136" s="151">
        <v>1982</v>
      </c>
      <c r="B136" s="192">
        <f t="shared" si="3"/>
        <v>7.3906559884924339E-2</v>
      </c>
      <c r="C136" s="193">
        <f t="shared" si="3"/>
        <v>6.6359069279132071E-2</v>
      </c>
      <c r="D136" s="195">
        <f t="shared" si="3"/>
        <v>-4.3775270229817066E-2</v>
      </c>
      <c r="E136" s="199">
        <f t="shared" si="3"/>
        <v>-2.4858567404849666E-2</v>
      </c>
      <c r="F136" s="199">
        <f t="shared" si="3"/>
        <v>-1.89167028249674E-2</v>
      </c>
      <c r="G136" s="194">
        <f t="shared" si="3"/>
        <v>5.1322760835609327E-2</v>
      </c>
      <c r="H136" s="189">
        <f t="shared" si="3"/>
        <v>-2.1466562891154988E-2</v>
      </c>
      <c r="I136" s="200">
        <f t="shared" si="3"/>
        <v>4.2307119986513347E-2</v>
      </c>
      <c r="J136" s="189"/>
      <c r="K136" s="199">
        <f t="shared" si="3"/>
        <v>3.3741186338147718E-2</v>
      </c>
      <c r="L136" s="212">
        <f t="shared" si="3"/>
        <v>1</v>
      </c>
      <c r="N136" s="196"/>
    </row>
    <row r="137" spans="1:14">
      <c r="A137" s="151">
        <v>1983</v>
      </c>
      <c r="B137" s="192">
        <f t="shared" si="3"/>
        <v>6.5752860812799394E-2</v>
      </c>
      <c r="C137" s="193">
        <f t="shared" si="3"/>
        <v>5.2732218283085726E-2</v>
      </c>
      <c r="D137" s="195">
        <f t="shared" si="3"/>
        <v>-5.1828269580800848E-2</v>
      </c>
      <c r="E137" s="199">
        <f t="shared" si="3"/>
        <v>-2.7158549646633733E-2</v>
      </c>
      <c r="F137" s="199">
        <f t="shared" si="3"/>
        <v>-2.4669719934167122E-2</v>
      </c>
      <c r="G137" s="194">
        <f t="shared" si="3"/>
        <v>6.4848912110514509E-2</v>
      </c>
      <c r="H137" s="189">
        <f t="shared" si="3"/>
        <v>-2.1034923717628717E-2</v>
      </c>
      <c r="I137" s="200">
        <f t="shared" si="3"/>
        <v>3.2721426633881411E-2</v>
      </c>
      <c r="J137" s="189"/>
      <c r="K137" s="199">
        <f t="shared" si="3"/>
        <v>3.9410034800952023E-2</v>
      </c>
      <c r="L137" s="212">
        <f t="shared" si="3"/>
        <v>1</v>
      </c>
      <c r="N137" s="196"/>
    </row>
    <row r="138" spans="1:14">
      <c r="A138" s="142">
        <v>1984</v>
      </c>
      <c r="B138" s="192">
        <f t="shared" ref="B138:L153" si="4">B59/$L59</f>
        <v>2.4714703996458233E-2</v>
      </c>
      <c r="C138" s="193">
        <f t="shared" si="4"/>
        <v>3.6056974897118121E-2</v>
      </c>
      <c r="D138" s="195">
        <f t="shared" si="4"/>
        <v>-5.1794415496744906E-2</v>
      </c>
      <c r="E138" s="199">
        <f t="shared" si="4"/>
        <v>-2.2782770796103826E-2</v>
      </c>
      <c r="F138" s="199">
        <f t="shared" si="4"/>
        <v>-2.9011644700641076E-2</v>
      </c>
      <c r="G138" s="194">
        <f t="shared" si="4"/>
        <v>4.0452144596085024E-2</v>
      </c>
      <c r="H138" s="189">
        <f t="shared" si="4"/>
        <v>-1.9470720219034478E-2</v>
      </c>
      <c r="I138" s="200">
        <f t="shared" si="4"/>
        <v>2.3459973042496928E-2</v>
      </c>
      <c r="J138" s="189"/>
      <c r="K138" s="199">
        <f t="shared" si="4"/>
        <v>2.8369978237655118E-2</v>
      </c>
      <c r="L138" s="212">
        <f t="shared" si="4"/>
        <v>1</v>
      </c>
      <c r="N138" s="196"/>
    </row>
    <row r="139" spans="1:14">
      <c r="A139" s="142">
        <v>1985</v>
      </c>
      <c r="B139" s="192">
        <f t="shared" si="4"/>
        <v>-6.518779604376774E-3</v>
      </c>
      <c r="C139" s="193">
        <f t="shared" si="4"/>
        <v>3.349697693117662E-2</v>
      </c>
      <c r="D139" s="195">
        <f t="shared" si="4"/>
        <v>-7.5114088788510711E-2</v>
      </c>
      <c r="E139" s="199">
        <f t="shared" si="4"/>
        <v>-2.5381441268487685E-2</v>
      </c>
      <c r="F139" s="199">
        <f t="shared" si="4"/>
        <v>-4.9732647520023029E-2</v>
      </c>
      <c r="G139" s="194">
        <f t="shared" si="4"/>
        <v>3.5098332252957283E-2</v>
      </c>
      <c r="H139" s="189">
        <f t="shared" si="4"/>
        <v>-1.4385955039764689E-2</v>
      </c>
      <c r="I139" s="200">
        <f t="shared" si="4"/>
        <v>2.3221951797554489E-2</v>
      </c>
      <c r="J139" s="189"/>
      <c r="K139" s="199">
        <f t="shared" si="4"/>
        <v>4.5006769033646039E-2</v>
      </c>
      <c r="L139" s="212">
        <f t="shared" si="4"/>
        <v>1</v>
      </c>
      <c r="N139" s="196"/>
    </row>
    <row r="140" spans="1:14">
      <c r="A140" s="142">
        <v>1986</v>
      </c>
      <c r="B140" s="192">
        <f t="shared" si="4"/>
        <v>-3.3627469618602683E-2</v>
      </c>
      <c r="C140" s="193">
        <f t="shared" si="4"/>
        <v>3.1026375660992984E-2</v>
      </c>
      <c r="D140" s="195">
        <f t="shared" si="4"/>
        <v>-9.4485060886779298E-2</v>
      </c>
      <c r="E140" s="199">
        <f t="shared" si="4"/>
        <v>-2.6688980453825027E-2</v>
      </c>
      <c r="F140" s="199">
        <f t="shared" si="4"/>
        <v>-6.7796080432954292E-2</v>
      </c>
      <c r="G140" s="194">
        <f t="shared" si="4"/>
        <v>2.9831215607183614E-2</v>
      </c>
      <c r="H140" s="189">
        <f t="shared" si="4"/>
        <v>-1.7669874424246432E-2</v>
      </c>
      <c r="I140" s="200">
        <f t="shared" si="4"/>
        <v>2.6457284199606967E-2</v>
      </c>
      <c r="J140" s="189"/>
      <c r="K140" s="199">
        <f t="shared" si="4"/>
        <v>6.6411327234667736E-2</v>
      </c>
      <c r="L140" s="212">
        <f t="shared" si="4"/>
        <v>1</v>
      </c>
      <c r="N140" s="196"/>
    </row>
    <row r="141" spans="1:14">
      <c r="A141" s="142">
        <v>1987</v>
      </c>
      <c r="B141" s="192">
        <f t="shared" si="4"/>
        <v>-4.7846964892274101E-2</v>
      </c>
      <c r="C141" s="193">
        <f t="shared" si="4"/>
        <v>3.4580357922969394E-2</v>
      </c>
      <c r="D141" s="195">
        <f t="shared" si="4"/>
        <v>-9.2171557321876957E-2</v>
      </c>
      <c r="E141" s="199">
        <f t="shared" si="4"/>
        <v>-2.2755422484938594E-2</v>
      </c>
      <c r="F141" s="199">
        <f t="shared" si="4"/>
        <v>-6.9416134836938356E-2</v>
      </c>
      <c r="G141" s="194">
        <f t="shared" si="4"/>
        <v>9.7442345066334739E-3</v>
      </c>
      <c r="H141" s="189">
        <f t="shared" si="4"/>
        <v>-1.8620044443868281E-2</v>
      </c>
      <c r="I141" s="200">
        <f t="shared" si="4"/>
        <v>3.0758229587841943E-2</v>
      </c>
      <c r="J141" s="189"/>
      <c r="K141" s="199">
        <f t="shared" si="4"/>
        <v>6.6034483780629025E-2</v>
      </c>
      <c r="L141" s="212">
        <f t="shared" si="4"/>
        <v>1</v>
      </c>
      <c r="N141" s="196"/>
    </row>
    <row r="142" spans="1:14">
      <c r="A142" s="142">
        <v>1988</v>
      </c>
      <c r="B142" s="192">
        <f t="shared" si="4"/>
        <v>-6.0785879257067486E-2</v>
      </c>
      <c r="C142" s="193">
        <f t="shared" si="4"/>
        <v>2.4765051538041372E-2</v>
      </c>
      <c r="D142" s="195">
        <f t="shared" si="4"/>
        <v>-9.5728052380776224E-2</v>
      </c>
      <c r="E142" s="199">
        <f t="shared" si="4"/>
        <v>-1.7754902300495173E-2</v>
      </c>
      <c r="F142" s="199">
        <f t="shared" si="4"/>
        <v>-7.7973150080281051E-2</v>
      </c>
      <c r="G142" s="194">
        <f t="shared" si="4"/>
        <v>1.017712158566739E-2</v>
      </c>
      <c r="H142" s="189">
        <f t="shared" si="4"/>
        <v>-1.8030425799012064E-2</v>
      </c>
      <c r="I142" s="200">
        <f t="shared" si="4"/>
        <v>2.3756494012571433E-2</v>
      </c>
      <c r="J142" s="189"/>
      <c r="K142" s="199">
        <f t="shared" si="4"/>
        <v>6.6543789672702636E-2</v>
      </c>
      <c r="L142" s="212">
        <f t="shared" si="4"/>
        <v>1</v>
      </c>
      <c r="N142" s="196"/>
    </row>
    <row r="143" spans="1:14">
      <c r="A143" s="238">
        <v>1989</v>
      </c>
      <c r="B143" s="257">
        <f t="shared" si="4"/>
        <v>-7.3199676784543644E-2</v>
      </c>
      <c r="C143" s="258">
        <f t="shared" si="4"/>
        <v>1.774956134896415E-2</v>
      </c>
      <c r="D143" s="259">
        <f t="shared" si="4"/>
        <v>-0.11110916687445696</v>
      </c>
      <c r="E143" s="264">
        <f t="shared" si="4"/>
        <v>-1.6406163257968474E-2</v>
      </c>
      <c r="F143" s="264">
        <f t="shared" si="4"/>
        <v>-9.4703003616488493E-2</v>
      </c>
      <c r="G143" s="261">
        <f t="shared" si="4"/>
        <v>2.015992874094915E-2</v>
      </c>
      <c r="H143" s="260">
        <f t="shared" si="4"/>
        <v>-9.9164401804557149E-3</v>
      </c>
      <c r="I143" s="265">
        <f t="shared" si="4"/>
        <v>2.1906825374704744E-2</v>
      </c>
      <c r="J143" s="260"/>
      <c r="K143" s="264">
        <f t="shared" si="4"/>
        <v>6.2019621652935841E-2</v>
      </c>
      <c r="L143" s="266">
        <f t="shared" si="4"/>
        <v>1</v>
      </c>
      <c r="N143" s="196"/>
    </row>
    <row r="144" spans="1:14">
      <c r="A144" s="142">
        <v>1990</v>
      </c>
      <c r="B144" s="192">
        <f t="shared" si="4"/>
        <v>-6.5772877910524608E-2</v>
      </c>
      <c r="C144" s="193">
        <f t="shared" si="4"/>
        <v>2.1999793459790619E-2</v>
      </c>
      <c r="D144" s="195">
        <f t="shared" si="4"/>
        <v>-9.663275223723071E-2</v>
      </c>
      <c r="E144" s="199">
        <f t="shared" si="4"/>
        <v>-1.0011764886089123E-2</v>
      </c>
      <c r="F144" s="199">
        <f t="shared" si="4"/>
        <v>-8.6620987351141598E-2</v>
      </c>
      <c r="G144" s="194">
        <f t="shared" si="4"/>
        <v>8.8600808669155109E-3</v>
      </c>
      <c r="H144" s="189">
        <f t="shared" si="4"/>
        <v>-7.7137332933429311E-3</v>
      </c>
      <c r="I144" s="200">
        <f t="shared" si="4"/>
        <v>2.0240149934356782E-2</v>
      </c>
      <c r="J144" s="189"/>
      <c r="K144" s="199">
        <f t="shared" si="4"/>
        <v>3.7979878635391789E-2</v>
      </c>
      <c r="L144" s="212">
        <f t="shared" si="4"/>
        <v>1</v>
      </c>
      <c r="N144" s="196"/>
    </row>
    <row r="145" spans="1:14">
      <c r="A145" s="142">
        <v>1991</v>
      </c>
      <c r="B145" s="192">
        <f t="shared" si="4"/>
        <v>-7.3653126059333246E-2</v>
      </c>
      <c r="C145" s="193">
        <f t="shared" si="4"/>
        <v>2.107359260368262E-2</v>
      </c>
      <c r="D145" s="195">
        <f t="shared" si="4"/>
        <v>-0.10205820543142143</v>
      </c>
      <c r="E145" s="199">
        <f t="shared" si="4"/>
        <v>-1.0325983716682603E-2</v>
      </c>
      <c r="F145" s="199">
        <f t="shared" si="4"/>
        <v>-9.1732221714738826E-2</v>
      </c>
      <c r="G145" s="194">
        <f t="shared" si="4"/>
        <v>7.3314867684055639E-3</v>
      </c>
      <c r="H145" s="189">
        <f t="shared" si="4"/>
        <v>-9.0643662184101172E-3</v>
      </c>
      <c r="I145" s="200">
        <f t="shared" si="4"/>
        <v>1.7739112449886015E-2</v>
      </c>
      <c r="J145" s="189"/>
      <c r="K145" s="199">
        <f t="shared" si="4"/>
        <v>3.0357012262853107E-2</v>
      </c>
      <c r="L145" s="212">
        <f t="shared" si="4"/>
        <v>1</v>
      </c>
      <c r="N145" s="196"/>
    </row>
    <row r="146" spans="1:14">
      <c r="A146" s="142">
        <v>1992</v>
      </c>
      <c r="B146" s="192">
        <f t="shared" si="4"/>
        <v>-9.0299040702856048E-2</v>
      </c>
      <c r="C146" s="193">
        <f t="shared" si="4"/>
        <v>2.2395816586164873E-2</v>
      </c>
      <c r="D146" s="195">
        <f t="shared" si="4"/>
        <v>-9.8798068217628321E-2</v>
      </c>
      <c r="E146" s="199">
        <f t="shared" si="4"/>
        <v>-5.5440340071303369E-3</v>
      </c>
      <c r="F146" s="199">
        <f t="shared" si="4"/>
        <v>-9.325403421049798E-2</v>
      </c>
      <c r="G146" s="194">
        <f t="shared" si="4"/>
        <v>-1.3896789071392576E-2</v>
      </c>
      <c r="H146" s="189">
        <f t="shared" si="4"/>
        <v>-1.2907320289069164E-2</v>
      </c>
      <c r="I146" s="200">
        <f t="shared" si="4"/>
        <v>1.579959971012317E-2</v>
      </c>
      <c r="J146" s="189"/>
      <c r="K146" s="199">
        <f t="shared" si="4"/>
        <v>1.8570076049711459E-2</v>
      </c>
      <c r="L146" s="212">
        <f t="shared" si="4"/>
        <v>1</v>
      </c>
      <c r="N146" s="196"/>
    </row>
    <row r="147" spans="1:14">
      <c r="A147" s="142">
        <v>1993</v>
      </c>
      <c r="B147" s="192">
        <f t="shared" si="4"/>
        <v>-6.6903134403272502E-2</v>
      </c>
      <c r="C147" s="193">
        <f t="shared" si="4"/>
        <v>2.2509813134478467E-2</v>
      </c>
      <c r="D147" s="195">
        <f t="shared" si="4"/>
        <v>-6.1140540646598122E-2</v>
      </c>
      <c r="E147" s="199">
        <f t="shared" si="4"/>
        <v>2.5808848360288388E-2</v>
      </c>
      <c r="F147" s="199">
        <f t="shared" si="4"/>
        <v>-8.6949389006886507E-2</v>
      </c>
      <c r="G147" s="194">
        <f t="shared" si="4"/>
        <v>-2.8272406891152804E-2</v>
      </c>
      <c r="H147" s="189">
        <f t="shared" si="4"/>
        <v>-2.493222880306338E-2</v>
      </c>
      <c r="I147" s="200">
        <f t="shared" si="4"/>
        <v>1.7728770520758864E-2</v>
      </c>
      <c r="J147" s="189"/>
      <c r="K147" s="199">
        <f t="shared" si="4"/>
        <v>5.0633552540083386E-2</v>
      </c>
      <c r="L147" s="212">
        <f t="shared" si="4"/>
        <v>1</v>
      </c>
      <c r="N147" s="196"/>
    </row>
    <row r="148" spans="1:14">
      <c r="A148" s="142">
        <v>1994</v>
      </c>
      <c r="B148" s="192">
        <f t="shared" si="4"/>
        <v>-6.4480073111325184E-2</v>
      </c>
      <c r="C148" s="193">
        <f t="shared" si="4"/>
        <v>2.7273248643459917E-2</v>
      </c>
      <c r="D148" s="195">
        <f t="shared" si="4"/>
        <v>-4.9619345316168191E-2</v>
      </c>
      <c r="E148" s="199">
        <f t="shared" si="4"/>
        <v>3.7057016787115434E-2</v>
      </c>
      <c r="F148" s="199">
        <f t="shared" si="4"/>
        <v>-8.6676362103283666E-2</v>
      </c>
      <c r="G148" s="194">
        <f t="shared" si="4"/>
        <v>-4.213397643861691E-2</v>
      </c>
      <c r="H148" s="189">
        <f t="shared" si="4"/>
        <v>-2.633897288068441E-2</v>
      </c>
      <c r="I148" s="200">
        <f t="shared" si="4"/>
        <v>1.6195731014970495E-2</v>
      </c>
      <c r="J148" s="189"/>
      <c r="K148" s="199">
        <f t="shared" si="4"/>
        <v>5.7711386766950479E-2</v>
      </c>
      <c r="L148" s="212">
        <f t="shared" si="4"/>
        <v>1</v>
      </c>
      <c r="N148" s="196"/>
    </row>
    <row r="149" spans="1:14">
      <c r="A149" s="142">
        <v>1995</v>
      </c>
      <c r="B149" s="192">
        <f t="shared" si="4"/>
        <v>-8.1485219072220269E-2</v>
      </c>
      <c r="C149" s="193">
        <f t="shared" si="4"/>
        <v>3.1497975261578534E-2</v>
      </c>
      <c r="D149" s="195">
        <f t="shared" si="4"/>
        <v>-6.8085700741024213E-2</v>
      </c>
      <c r="E149" s="199">
        <f t="shared" si="4"/>
        <v>3.7421324055658685E-2</v>
      </c>
      <c r="F149" s="199">
        <f t="shared" si="4"/>
        <v>-0.10550702479668292</v>
      </c>
      <c r="G149" s="194">
        <f t="shared" si="4"/>
        <v>-4.4897493592774534E-2</v>
      </c>
      <c r="H149" s="189">
        <f t="shared" si="4"/>
        <v>-2.965124087671818E-2</v>
      </c>
      <c r="I149" s="200">
        <f t="shared" si="4"/>
        <v>1.5528054110774013E-2</v>
      </c>
      <c r="J149" s="189"/>
      <c r="K149" s="199">
        <f t="shared" si="4"/>
        <v>5.4898530033159948E-2</v>
      </c>
      <c r="L149" s="212">
        <f t="shared" si="4"/>
        <v>1</v>
      </c>
      <c r="N149" s="196"/>
    </row>
    <row r="150" spans="1:14">
      <c r="A150" s="142">
        <v>1996</v>
      </c>
      <c r="B150" s="192">
        <f t="shared" si="4"/>
        <v>-8.0793601846592261E-2</v>
      </c>
      <c r="C150" s="193">
        <f t="shared" si="4"/>
        <v>3.5228218236901178E-2</v>
      </c>
      <c r="D150" s="195">
        <f t="shared" si="4"/>
        <v>-7.6319943736644219E-2</v>
      </c>
      <c r="E150" s="199">
        <f t="shared" si="4"/>
        <v>4.7720125871225434E-2</v>
      </c>
      <c r="F150" s="199">
        <f t="shared" si="4"/>
        <v>-0.12404006960786966</v>
      </c>
      <c r="G150" s="194">
        <f t="shared" si="4"/>
        <v>-3.9701876346849199E-2</v>
      </c>
      <c r="H150" s="189">
        <f t="shared" si="4"/>
        <v>-3.4826872965637877E-2</v>
      </c>
      <c r="I150" s="200">
        <f t="shared" si="4"/>
        <v>1.3950138404248604E-2</v>
      </c>
      <c r="J150" s="189"/>
      <c r="K150" s="199">
        <f t="shared" si="4"/>
        <v>5.4708467454714305E-2</v>
      </c>
      <c r="L150" s="212">
        <f t="shared" si="4"/>
        <v>1</v>
      </c>
      <c r="N150" s="196"/>
    </row>
    <row r="151" spans="1:14">
      <c r="A151" s="142">
        <v>1997</v>
      </c>
      <c r="B151" s="192">
        <f t="shared" si="4"/>
        <v>-0.11640633650104376</v>
      </c>
      <c r="C151" s="193">
        <f t="shared" si="4"/>
        <v>3.2936491861981824E-2</v>
      </c>
      <c r="D151" s="195">
        <f t="shared" si="4"/>
        <v>-0.10985865476277278</v>
      </c>
      <c r="E151" s="199">
        <f t="shared" si="4"/>
        <v>3.4298904398877672E-2</v>
      </c>
      <c r="F151" s="199">
        <f t="shared" si="4"/>
        <v>-0.14415755916165046</v>
      </c>
      <c r="G151" s="194">
        <f t="shared" si="4"/>
        <v>-3.9484173600252755E-2</v>
      </c>
      <c r="H151" s="189">
        <f t="shared" si="4"/>
        <v>-2.9948231024118348E-2</v>
      </c>
      <c r="I151" s="200">
        <f t="shared" si="4"/>
        <v>1.0252390635675495E-2</v>
      </c>
      <c r="J151" s="189"/>
      <c r="K151" s="199">
        <f t="shared" si="4"/>
        <v>3.265968852197821E-2</v>
      </c>
      <c r="L151" s="212">
        <f t="shared" si="4"/>
        <v>1</v>
      </c>
      <c r="N151" s="196"/>
    </row>
    <row r="152" spans="1:14">
      <c r="A152" s="142">
        <v>1998</v>
      </c>
      <c r="B152" s="192">
        <f t="shared" si="4"/>
        <v>-0.11855042396530385</v>
      </c>
      <c r="C152" s="193">
        <f t="shared" si="4"/>
        <v>3.5042093060890518E-2</v>
      </c>
      <c r="D152" s="195">
        <f t="shared" si="4"/>
        <v>-0.12506663790266767</v>
      </c>
      <c r="E152" s="199">
        <f t="shared" si="4"/>
        <v>2.6654272244266777E-2</v>
      </c>
      <c r="F152" s="199">
        <f t="shared" si="4"/>
        <v>-0.15172091014693448</v>
      </c>
      <c r="G152" s="194">
        <f t="shared" si="4"/>
        <v>-2.8525879123526682E-2</v>
      </c>
      <c r="H152" s="189">
        <f t="shared" si="4"/>
        <v>-3.2037618028526262E-2</v>
      </c>
      <c r="I152" s="200">
        <f t="shared" si="4"/>
        <v>9.5600511225482857E-3</v>
      </c>
      <c r="J152" s="189"/>
      <c r="K152" s="199">
        <f t="shared" si="4"/>
        <v>1.2769336324264432E-2</v>
      </c>
      <c r="L152" s="212">
        <f t="shared" si="4"/>
        <v>1</v>
      </c>
      <c r="N152" s="196"/>
    </row>
    <row r="153" spans="1:14">
      <c r="A153" s="238">
        <v>1999</v>
      </c>
      <c r="B153" s="257">
        <f t="shared" si="4"/>
        <v>-9.6556736741284982E-2</v>
      </c>
      <c r="C153" s="258">
        <f t="shared" si="4"/>
        <v>3.7406944473624845E-2</v>
      </c>
      <c r="D153" s="259">
        <f t="shared" si="4"/>
        <v>-0.10259887608072336</v>
      </c>
      <c r="E153" s="264">
        <f t="shared" si="4"/>
        <v>4.536809119653358E-2</v>
      </c>
      <c r="F153" s="264">
        <f t="shared" si="4"/>
        <v>-0.14796696727725694</v>
      </c>
      <c r="G153" s="261">
        <f t="shared" si="4"/>
        <v>-3.1364805134186539E-2</v>
      </c>
      <c r="H153" s="260">
        <f t="shared" si="4"/>
        <v>-2.7413604945164417E-2</v>
      </c>
      <c r="I153" s="265">
        <f t="shared" si="4"/>
        <v>9.0871382738682335E-3</v>
      </c>
      <c r="J153" s="260"/>
      <c r="K153" s="264">
        <f t="shared" si="4"/>
        <v>4.9588615259873866E-3</v>
      </c>
      <c r="L153" s="266">
        <f t="shared" si="4"/>
        <v>1</v>
      </c>
      <c r="N153" s="196"/>
    </row>
    <row r="154" spans="1:14">
      <c r="A154" s="142">
        <v>2000</v>
      </c>
      <c r="B154" s="192">
        <f t="shared" ref="B154:L166" si="5">B75/$L75</f>
        <v>-0.15760489223087432</v>
      </c>
      <c r="C154" s="193">
        <f t="shared" si="5"/>
        <v>1.2371780379519763E-2</v>
      </c>
      <c r="D154" s="195">
        <f t="shared" si="5"/>
        <v>-0.13822687384060703</v>
      </c>
      <c r="E154" s="199">
        <f t="shared" si="5"/>
        <v>2.5942702760016791E-2</v>
      </c>
      <c r="F154" s="199">
        <f t="shared" si="5"/>
        <v>-0.16416957660062381</v>
      </c>
      <c r="G154" s="194">
        <f t="shared" si="5"/>
        <v>-3.1749798769787077E-2</v>
      </c>
      <c r="H154" s="189">
        <f t="shared" si="5"/>
        <v>-2.2683685615463293E-2</v>
      </c>
      <c r="I154" s="200">
        <f t="shared" si="5"/>
        <v>8.0322041727926598E-3</v>
      </c>
      <c r="J154" s="189"/>
      <c r="K154" s="199">
        <f t="shared" si="5"/>
        <v>-9.981215455657234E-3</v>
      </c>
      <c r="L154" s="212">
        <f t="shared" si="5"/>
        <v>1</v>
      </c>
      <c r="N154" s="196"/>
    </row>
    <row r="155" spans="1:14">
      <c r="A155" s="142">
        <v>2001</v>
      </c>
      <c r="B155" s="192">
        <f t="shared" si="5"/>
        <v>-0.2120103949719169</v>
      </c>
      <c r="C155" s="193">
        <f t="shared" si="5"/>
        <v>1.9015134112339308E-2</v>
      </c>
      <c r="D155" s="195">
        <f t="shared" si="5"/>
        <v>-0.19209348507002014</v>
      </c>
      <c r="E155" s="199">
        <f t="shared" si="5"/>
        <v>4.3106254511328596E-3</v>
      </c>
      <c r="F155" s="199">
        <f t="shared" si="5"/>
        <v>-0.19640411052115303</v>
      </c>
      <c r="G155" s="194">
        <f t="shared" si="5"/>
        <v>-3.8932044014236097E-2</v>
      </c>
      <c r="H155" s="189">
        <f t="shared" si="5"/>
        <v>-1.9494600558942043E-2</v>
      </c>
      <c r="I155" s="200">
        <f t="shared" si="5"/>
        <v>7.8743980812632491E-3</v>
      </c>
      <c r="J155" s="189"/>
      <c r="K155" s="199">
        <f t="shared" si="5"/>
        <v>-2.6712508478303674E-2</v>
      </c>
      <c r="L155" s="212">
        <f t="shared" si="5"/>
        <v>1</v>
      </c>
      <c r="N155" s="196"/>
    </row>
    <row r="156" spans="1:14">
      <c r="A156" s="142">
        <v>2002</v>
      </c>
      <c r="B156" s="192">
        <f t="shared" si="5"/>
        <v>-0.22696830076016256</v>
      </c>
      <c r="C156" s="193">
        <f t="shared" si="5"/>
        <v>3.9016847836929325E-2</v>
      </c>
      <c r="D156" s="195">
        <f t="shared" si="5"/>
        <v>-0.209646670132247</v>
      </c>
      <c r="E156" s="199">
        <f t="shared" si="5"/>
        <v>4.8051101058313632E-3</v>
      </c>
      <c r="F156" s="199">
        <f t="shared" si="5"/>
        <v>-0.21445178023807829</v>
      </c>
      <c r="G156" s="194">
        <f t="shared" si="5"/>
        <v>-5.6338478464844861E-2</v>
      </c>
      <c r="H156" s="189">
        <f t="shared" si="5"/>
        <v>-2.6709393022517559E-2</v>
      </c>
      <c r="I156" s="200">
        <f t="shared" si="5"/>
        <v>9.65145940565202E-3</v>
      </c>
      <c r="J156" s="189"/>
      <c r="K156" s="199">
        <f t="shared" si="5"/>
        <v>8.1946955066375613E-5</v>
      </c>
      <c r="L156" s="212">
        <f t="shared" si="5"/>
        <v>1</v>
      </c>
      <c r="N156" s="196"/>
    </row>
    <row r="157" spans="1:14">
      <c r="A157" s="142">
        <v>2003</v>
      </c>
      <c r="B157" s="192">
        <f t="shared" si="5"/>
        <v>-0.22384358001763172</v>
      </c>
      <c r="C157" s="193">
        <f t="shared" si="5"/>
        <v>4.8116014196901993E-2</v>
      </c>
      <c r="D157" s="195">
        <f t="shared" si="5"/>
        <v>-0.20654094058286571</v>
      </c>
      <c r="E157" s="199">
        <f t="shared" si="5"/>
        <v>2.4444992086014746E-2</v>
      </c>
      <c r="F157" s="199">
        <f t="shared" si="5"/>
        <v>-0.2309859326688804</v>
      </c>
      <c r="G157" s="194">
        <f t="shared" si="5"/>
        <v>-6.5418653631668031E-2</v>
      </c>
      <c r="H157" s="189">
        <f t="shared" si="5"/>
        <v>-2.6734179016125226E-2</v>
      </c>
      <c r="I157" s="200">
        <f t="shared" si="5"/>
        <v>1.1063421128181155E-2</v>
      </c>
      <c r="J157" s="189"/>
      <c r="K157" s="199">
        <f t="shared" si="5"/>
        <v>2.7870337671840214E-2</v>
      </c>
      <c r="L157" s="212">
        <f t="shared" si="5"/>
        <v>1</v>
      </c>
      <c r="N157" s="196"/>
    </row>
    <row r="158" spans="1:14">
      <c r="A158" s="142">
        <v>2004</v>
      </c>
      <c r="B158" s="192">
        <f t="shared" si="5"/>
        <v>-0.22469726397345524</v>
      </c>
      <c r="C158" s="193">
        <f t="shared" si="5"/>
        <v>7.1746170645516485E-2</v>
      </c>
      <c r="D158" s="195">
        <f t="shared" si="5"/>
        <v>-0.23034988383151847</v>
      </c>
      <c r="E158" s="199">
        <f t="shared" si="5"/>
        <v>4.1395271060660543E-2</v>
      </c>
      <c r="F158" s="199">
        <f t="shared" si="5"/>
        <v>-0.27174515489217899</v>
      </c>
      <c r="G158" s="194">
        <f t="shared" si="5"/>
        <v>-6.6093550787453256E-2</v>
      </c>
      <c r="H158" s="189">
        <f t="shared" si="5"/>
        <v>-3.8038918256870446E-2</v>
      </c>
      <c r="I158" s="200">
        <f t="shared" si="5"/>
        <v>1.0817013602598468E-2</v>
      </c>
      <c r="J158" s="189"/>
      <c r="K158" s="199">
        <f t="shared" si="5"/>
        <v>6.1269197085433449E-2</v>
      </c>
      <c r="L158" s="212">
        <f t="shared" si="5"/>
        <v>1</v>
      </c>
      <c r="N158" s="196"/>
    </row>
    <row r="159" spans="1:14">
      <c r="A159" s="142">
        <v>2005</v>
      </c>
      <c r="B159" s="192">
        <f t="shared" si="5"/>
        <v>-0.18842217799549657</v>
      </c>
      <c r="C159" s="193">
        <f t="shared" si="5"/>
        <v>6.614808025966834E-2</v>
      </c>
      <c r="D159" s="195">
        <f t="shared" si="5"/>
        <v>-0.2132423215868457</v>
      </c>
      <c r="E159" s="199">
        <f t="shared" si="5"/>
        <v>8.9479022331618543E-2</v>
      </c>
      <c r="F159" s="199">
        <f t="shared" si="5"/>
        <v>-0.30272134391846423</v>
      </c>
      <c r="G159" s="194">
        <f t="shared" si="5"/>
        <v>-4.1327936668319222E-2</v>
      </c>
      <c r="H159" s="189">
        <f t="shared" si="5"/>
        <v>-2.8049038326542323E-2</v>
      </c>
      <c r="I159" s="200">
        <f t="shared" si="5"/>
        <v>1.1901460114679073E-2</v>
      </c>
      <c r="J159" s="189">
        <f t="shared" si="5"/>
        <v>5.1371198996954578E-3</v>
      </c>
      <c r="K159" s="199">
        <f t="shared" si="5"/>
        <v>7.2737147247995709E-2</v>
      </c>
      <c r="L159" s="212">
        <f t="shared" si="5"/>
        <v>1</v>
      </c>
      <c r="N159" s="196"/>
    </row>
    <row r="160" spans="1:14">
      <c r="A160" s="142">
        <v>2006</v>
      </c>
      <c r="B160" s="192">
        <f t="shared" si="5"/>
        <v>-0.20087357158091892</v>
      </c>
      <c r="C160" s="193">
        <f t="shared" si="5"/>
        <v>6.6004061613221851E-2</v>
      </c>
      <c r="D160" s="195">
        <f t="shared" si="5"/>
        <v>-0.21753911713743171</v>
      </c>
      <c r="E160" s="199">
        <f t="shared" si="5"/>
        <v>0.12813462045811064</v>
      </c>
      <c r="F160" s="199">
        <f t="shared" si="5"/>
        <v>-0.34567373759554226</v>
      </c>
      <c r="G160" s="194">
        <f t="shared" si="5"/>
        <v>-4.9338516056709109E-2</v>
      </c>
      <c r="H160" s="189">
        <f t="shared" si="5"/>
        <v>-2.1173314351177731E-2</v>
      </c>
      <c r="I160" s="200">
        <f t="shared" si="5"/>
        <v>1.3736501555996442E-2</v>
      </c>
      <c r="J160" s="199">
        <f t="shared" si="5"/>
        <v>4.9733903749968247E-3</v>
      </c>
      <c r="K160" s="199">
        <f t="shared" si="5"/>
        <v>9.785284368239909E-2</v>
      </c>
      <c r="L160" s="212">
        <f t="shared" si="5"/>
        <v>1</v>
      </c>
      <c r="N160" s="196"/>
    </row>
    <row r="161" spans="1:14">
      <c r="A161" s="142">
        <v>2007</v>
      </c>
      <c r="B161" s="192">
        <f t="shared" si="5"/>
        <v>-0.16823418886514191</v>
      </c>
      <c r="C161" s="193">
        <f t="shared" si="5"/>
        <v>9.7380679683218271E-2</v>
      </c>
      <c r="D161" s="195">
        <f t="shared" si="5"/>
        <v>-0.21373885142019203</v>
      </c>
      <c r="E161" s="199">
        <f t="shared" si="5"/>
        <v>0.16264031669783424</v>
      </c>
      <c r="F161" s="199">
        <f t="shared" si="5"/>
        <v>-0.3763791681180263</v>
      </c>
      <c r="G161" s="194">
        <f t="shared" si="5"/>
        <v>-5.1876017128168202E-2</v>
      </c>
      <c r="H161" s="189">
        <f t="shared" si="5"/>
        <v>-3.6100174711703098E-2</v>
      </c>
      <c r="I161" s="200">
        <f t="shared" si="5"/>
        <v>1.7587736203236708E-2</v>
      </c>
      <c r="J161" s="199">
        <f t="shared" si="5"/>
        <v>5.7655346034524921E-3</v>
      </c>
      <c r="K161" s="199">
        <f t="shared" si="5"/>
        <v>0.13904689595110589</v>
      </c>
      <c r="L161" s="212">
        <f t="shared" si="5"/>
        <v>1</v>
      </c>
      <c r="N161" s="196"/>
    </row>
    <row r="162" spans="1:14">
      <c r="A162" s="142">
        <v>2008</v>
      </c>
      <c r="B162" s="192">
        <f t="shared" si="5"/>
        <v>-0.29043552803127792</v>
      </c>
      <c r="C162" s="193">
        <f t="shared" si="5"/>
        <v>0.10759175421018129</v>
      </c>
      <c r="D162" s="195">
        <f t="shared" si="5"/>
        <v>-0.34166089170457969</v>
      </c>
      <c r="E162" s="199">
        <f t="shared" si="5"/>
        <v>5.04132789156383E-2</v>
      </c>
      <c r="F162" s="199">
        <f t="shared" si="5"/>
        <v>-0.39207417062021799</v>
      </c>
      <c r="G162" s="194">
        <f t="shared" si="5"/>
        <v>-5.6366390536879488E-2</v>
      </c>
      <c r="H162" s="189">
        <f t="shared" si="5"/>
        <v>-6.5106613995561724E-2</v>
      </c>
      <c r="I162" s="200">
        <f t="shared" si="5"/>
        <v>1.811136940559465E-2</v>
      </c>
      <c r="J162" s="199">
        <f t="shared" si="5"/>
        <v>1.2712017090569804E-2</v>
      </c>
      <c r="K162" s="199">
        <f t="shared" si="5"/>
        <v>4.9050938649497014E-2</v>
      </c>
      <c r="L162" s="212">
        <f t="shared" si="5"/>
        <v>1</v>
      </c>
      <c r="N162" s="196"/>
    </row>
    <row r="163" spans="1:14">
      <c r="A163" s="255">
        <v>2009</v>
      </c>
      <c r="B163" s="257">
        <f t="shared" si="5"/>
        <v>-0.22351518639632881</v>
      </c>
      <c r="C163" s="258">
        <f t="shared" si="5"/>
        <v>0.13343492253162417</v>
      </c>
      <c r="D163" s="259">
        <f t="shared" si="5"/>
        <v>-0.3221406892878092</v>
      </c>
      <c r="E163" s="264">
        <f t="shared" si="5"/>
        <v>8.7729108413681312E-2</v>
      </c>
      <c r="F163" s="264">
        <f t="shared" si="5"/>
        <v>-0.40986979770149057</v>
      </c>
      <c r="G163" s="261">
        <f t="shared" si="5"/>
        <v>-3.4809419640143779E-2</v>
      </c>
      <c r="H163" s="260">
        <f t="shared" si="5"/>
        <v>-4.8407806493763257E-2</v>
      </c>
      <c r="I163" s="265">
        <f t="shared" si="5"/>
        <v>2.3262066839301227E-2</v>
      </c>
      <c r="J163" s="260">
        <f t="shared" si="5"/>
        <v>1.0334106526981931E-2</v>
      </c>
      <c r="K163" s="264">
        <f t="shared" si="5"/>
        <v>0.10566367278734912</v>
      </c>
      <c r="L163" s="266">
        <f t="shared" si="5"/>
        <v>1</v>
      </c>
      <c r="N163" s="196"/>
    </row>
    <row r="164" spans="1:14">
      <c r="A164" s="160">
        <v>2010</v>
      </c>
      <c r="B164" s="192">
        <f t="shared" si="5"/>
        <v>-0.2301984288996497</v>
      </c>
      <c r="C164" s="193">
        <f t="shared" si="5"/>
        <v>0.13330104101544754</v>
      </c>
      <c r="D164" s="195">
        <f t="shared" si="5"/>
        <v>-0.36259326654944435</v>
      </c>
      <c r="E164" s="199">
        <f t="shared" si="5"/>
        <v>8.2370524429535477E-2</v>
      </c>
      <c r="F164" s="199">
        <f t="shared" si="5"/>
        <v>-0.44496379097897981</v>
      </c>
      <c r="G164" s="194">
        <f t="shared" si="5"/>
        <v>-9.0620336565305911E-4</v>
      </c>
      <c r="H164" s="189">
        <f t="shared" si="5"/>
        <v>-4.0571845443026631E-2</v>
      </c>
      <c r="I164" s="200">
        <f t="shared" si="5"/>
        <v>2.8665398605900606E-2</v>
      </c>
      <c r="J164" s="189">
        <f t="shared" si="5"/>
        <v>8.6090489635506709E-3</v>
      </c>
      <c r="K164" s="199">
        <f t="shared" si="5"/>
        <v>0.10679761480785119</v>
      </c>
      <c r="L164" s="212">
        <f t="shared" si="5"/>
        <v>1</v>
      </c>
      <c r="N164" s="196"/>
    </row>
    <row r="165" spans="1:14">
      <c r="A165" s="160">
        <v>2011</v>
      </c>
      <c r="B165" s="192">
        <f t="shared" si="5"/>
        <v>-0.34111051537787079</v>
      </c>
      <c r="C165" s="193">
        <f t="shared" si="5"/>
        <v>0.13270401446228214</v>
      </c>
      <c r="D165" s="195">
        <f t="shared" si="5"/>
        <v>-0.42213058535001508</v>
      </c>
      <c r="E165" s="199">
        <f t="shared" si="5"/>
        <v>2.4579217393663963E-2</v>
      </c>
      <c r="F165" s="199">
        <f t="shared" si="5"/>
        <v>-0.44670980274367905</v>
      </c>
      <c r="G165" s="194">
        <f t="shared" si="5"/>
        <v>-5.1683944490137745E-2</v>
      </c>
      <c r="H165" s="189">
        <f t="shared" si="5"/>
        <v>-3.8776432543503339E-2</v>
      </c>
      <c r="I165" s="200">
        <f t="shared" si="5"/>
        <v>2.9969187179695912E-2</v>
      </c>
      <c r="J165" s="189">
        <f t="shared" si="5"/>
        <v>9.4507869760861746E-3</v>
      </c>
      <c r="K165" s="199">
        <f t="shared" si="5"/>
        <v>7.4153105937900921E-2</v>
      </c>
      <c r="L165" s="212">
        <f t="shared" si="5"/>
        <v>1</v>
      </c>
      <c r="N165" s="196"/>
    </row>
    <row r="166" spans="1:14" ht="16" thickBot="1">
      <c r="A166" s="161">
        <v>2012</v>
      </c>
      <c r="B166" s="202">
        <f t="shared" si="5"/>
        <v>-0.35354340979684201</v>
      </c>
      <c r="C166" s="203">
        <f t="shared" si="5"/>
        <v>0.13505747374945049</v>
      </c>
      <c r="D166" s="204">
        <f t="shared" si="5"/>
        <v>-0.40987402618929225</v>
      </c>
      <c r="E166" s="205">
        <f t="shared" si="5"/>
        <v>4.9163369583234223E-2</v>
      </c>
      <c r="F166" s="205">
        <f t="shared" si="5"/>
        <v>-0.45903739577252645</v>
      </c>
      <c r="G166" s="206">
        <f t="shared" si="5"/>
        <v>-7.8726857357000135E-2</v>
      </c>
      <c r="H166" s="207">
        <f t="shared" si="5"/>
        <v>-3.1450864132264764E-2</v>
      </c>
      <c r="I166" s="208">
        <f t="shared" si="5"/>
        <v>3.1112504414128092E-2</v>
      </c>
      <c r="J166" s="207">
        <f t="shared" si="5"/>
        <v>4.1637659539200947E-3</v>
      </c>
      <c r="K166" s="205">
        <f t="shared" si="5"/>
        <v>9.0742942800106655E-2</v>
      </c>
      <c r="L166" s="213">
        <f t="shared" si="5"/>
        <v>1</v>
      </c>
      <c r="N166" s="196"/>
    </row>
    <row r="167" spans="1:14" ht="17" thickTop="1" thickBot="1"/>
    <row r="168" spans="1:14">
      <c r="A168" s="468" t="s">
        <v>184</v>
      </c>
      <c r="B168" s="469"/>
      <c r="C168" s="469"/>
      <c r="D168" s="469"/>
      <c r="E168" s="469"/>
      <c r="F168" s="469"/>
      <c r="G168" s="469"/>
      <c r="H168" s="469"/>
      <c r="I168" s="469"/>
      <c r="J168" s="469"/>
      <c r="K168" s="469"/>
      <c r="L168" s="470"/>
    </row>
    <row r="169" spans="1:14" ht="16" thickBot="1">
      <c r="A169" s="471"/>
      <c r="B169" s="472"/>
      <c r="C169" s="472"/>
      <c r="D169" s="472"/>
      <c r="E169" s="472"/>
      <c r="F169" s="472"/>
      <c r="G169" s="472"/>
      <c r="H169" s="472"/>
      <c r="I169" s="472"/>
      <c r="J169" s="472"/>
      <c r="K169" s="472"/>
      <c r="L169" s="473"/>
    </row>
  </sheetData>
  <mergeCells count="15">
    <mergeCell ref="A168:L169"/>
    <mergeCell ref="K6:K8"/>
    <mergeCell ref="L6:L8"/>
    <mergeCell ref="B9:L9"/>
    <mergeCell ref="B88:L88"/>
    <mergeCell ref="A3:L3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honeticPr fontId="37" type="noConversion"/>
  <pageMargins left="0.75000000000000011" right="0.75000000000000011" top="1" bottom="1" header="0.5" footer="0.5"/>
  <pageSetup paperSize="9" scale="26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41"/>
  <sheetViews>
    <sheetView workbookViewId="0">
      <pane xSplit="1" ySplit="8" topLeftCell="F9" activePane="bottomRight" state="frozen"/>
      <selection pane="topRight" activeCell="C1" sqref="C1"/>
      <selection pane="bottomLeft" activeCell="A9" sqref="A9"/>
      <selection pane="bottomRight" activeCell="A3" sqref="A3:V3"/>
    </sheetView>
  </sheetViews>
  <sheetFormatPr baseColWidth="10" defaultColWidth="10.83203125" defaultRowHeight="12" x14ac:dyDescent="0"/>
  <cols>
    <col min="1" max="1" width="11.1640625" style="3" customWidth="1"/>
    <col min="2" max="2" width="11.1640625" style="2" customWidth="1"/>
    <col min="3" max="15" width="11.1640625" style="3" customWidth="1"/>
    <col min="16" max="16384" width="10.83203125" style="3"/>
  </cols>
  <sheetData>
    <row r="2" spans="1:22" ht="13" customHeight="1" thickBot="1">
      <c r="A2" s="1"/>
    </row>
    <row r="3" spans="1:22" s="5" customFormat="1" ht="20" customHeight="1" thickTop="1">
      <c r="A3" s="449" t="s">
        <v>224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1"/>
    </row>
    <row r="4" spans="1:22">
      <c r="A4" s="7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1:22">
      <c r="A5" s="7"/>
      <c r="B5" s="25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" t="s">
        <v>69</v>
      </c>
      <c r="Q5" s="1" t="s">
        <v>70</v>
      </c>
      <c r="R5" s="1" t="s">
        <v>76</v>
      </c>
      <c r="S5" s="1" t="s">
        <v>77</v>
      </c>
      <c r="T5" s="1" t="s">
        <v>78</v>
      </c>
      <c r="U5" s="1" t="s">
        <v>79</v>
      </c>
      <c r="V5" s="6" t="s">
        <v>80</v>
      </c>
    </row>
    <row r="6" spans="1:22" ht="19" customHeight="1">
      <c r="A6" s="7"/>
      <c r="B6" s="537" t="s">
        <v>207</v>
      </c>
      <c r="C6" s="537"/>
      <c r="D6" s="537"/>
      <c r="E6" s="537"/>
      <c r="F6" s="537"/>
      <c r="G6" s="537"/>
      <c r="H6" s="537"/>
      <c r="I6" s="536" t="s">
        <v>68</v>
      </c>
      <c r="J6" s="537"/>
      <c r="K6" s="537"/>
      <c r="L6" s="537"/>
      <c r="M6" s="537"/>
      <c r="N6" s="537"/>
      <c r="O6" s="537"/>
      <c r="P6" s="536" t="s">
        <v>198</v>
      </c>
      <c r="Q6" s="537"/>
      <c r="R6" s="537"/>
      <c r="S6" s="537"/>
      <c r="T6" s="537"/>
      <c r="U6" s="537"/>
      <c r="V6" s="538"/>
    </row>
    <row r="7" spans="1:22" ht="32" customHeight="1">
      <c r="A7" s="7"/>
      <c r="B7" s="543" t="s">
        <v>211</v>
      </c>
      <c r="C7" s="534" t="s">
        <v>2</v>
      </c>
      <c r="D7" s="534" t="s">
        <v>125</v>
      </c>
      <c r="E7" s="534" t="s">
        <v>126</v>
      </c>
      <c r="F7" s="534" t="s">
        <v>128</v>
      </c>
      <c r="G7" s="534" t="s">
        <v>127</v>
      </c>
      <c r="H7" s="534" t="s">
        <v>15</v>
      </c>
      <c r="I7" s="539" t="s">
        <v>213</v>
      </c>
      <c r="J7" s="534" t="s">
        <v>2</v>
      </c>
      <c r="K7" s="534" t="s">
        <v>125</v>
      </c>
      <c r="L7" s="534" t="s">
        <v>126</v>
      </c>
      <c r="M7" s="534" t="s">
        <v>128</v>
      </c>
      <c r="N7" s="534" t="s">
        <v>127</v>
      </c>
      <c r="O7" s="534" t="s">
        <v>15</v>
      </c>
      <c r="P7" s="539" t="s">
        <v>214</v>
      </c>
      <c r="Q7" s="534" t="s">
        <v>2</v>
      </c>
      <c r="R7" s="534" t="s">
        <v>125</v>
      </c>
      <c r="S7" s="534" t="s">
        <v>126</v>
      </c>
      <c r="T7" s="534" t="s">
        <v>128</v>
      </c>
      <c r="U7" s="534" t="s">
        <v>127</v>
      </c>
      <c r="V7" s="541" t="s">
        <v>15</v>
      </c>
    </row>
    <row r="8" spans="1:22" ht="61" customHeight="1" thickBot="1">
      <c r="A8" s="14"/>
      <c r="B8" s="544"/>
      <c r="C8" s="535"/>
      <c r="D8" s="535"/>
      <c r="E8" s="535"/>
      <c r="F8" s="535"/>
      <c r="G8" s="535"/>
      <c r="H8" s="535"/>
      <c r="I8" s="540"/>
      <c r="J8" s="535"/>
      <c r="K8" s="535"/>
      <c r="L8" s="535"/>
      <c r="M8" s="535"/>
      <c r="N8" s="535"/>
      <c r="O8" s="535"/>
      <c r="P8" s="540"/>
      <c r="Q8" s="535"/>
      <c r="R8" s="535"/>
      <c r="S8" s="535"/>
      <c r="T8" s="535"/>
      <c r="U8" s="535"/>
      <c r="V8" s="542"/>
    </row>
    <row r="9" spans="1:22" ht="15">
      <c r="A9" s="300">
        <v>1941</v>
      </c>
      <c r="B9" s="381">
        <f>'Table T5'!B13</f>
        <v>3.5663</v>
      </c>
      <c r="C9" s="440">
        <f>(RawData!AM25/1000)/'Table T10'!B9</f>
        <v>0.13431287328603875</v>
      </c>
      <c r="D9" s="440">
        <f>(RawData!AK25/1000)/'Table T10'!B9</f>
        <v>1.1496508986905195E-2</v>
      </c>
      <c r="E9" s="440">
        <f>((RawData!AO25+RawData!AP25+RawData!AQ25+RawData!AR25+RawData!AS25+RawData!AT25)/1000)/'Table T10'!B9</f>
        <v>1.4861340885511594E-2</v>
      </c>
      <c r="F9" s="440">
        <f>((RawData!AN25+RawData!AL25)/1000)/'Table T10'!B9</f>
        <v>0</v>
      </c>
      <c r="G9" s="440">
        <f>((RawData!AU25+RawData!AX25)/1000)/'Table T10'!B9</f>
        <v>0</v>
      </c>
      <c r="H9" s="440">
        <f>'Table T9'!H9*'Table T9'!B9/'Table T10'!B9</f>
        <v>1.9628186075207349E-4</v>
      </c>
      <c r="I9" s="439">
        <f>'Table T5'!J13</f>
        <v>2.1486999999999998</v>
      </c>
      <c r="J9" s="441">
        <f>(RawData!BB25/1000)/'Table T10'!$I9</f>
        <v>0.1406431795969656</v>
      </c>
      <c r="K9" s="441">
        <f>(RawData!AZ25/1000)/'Table T10'!$I9</f>
        <v>1.3682691860194537E-2</v>
      </c>
      <c r="L9" s="440">
        <f>((RawData!BD25+RawData!BE25+RawData!BF25+RawData!BG25+RawData!BH25+RawData!BI25)/1000)/'Table T10'!I9</f>
        <v>2.2478708056033882E-2</v>
      </c>
      <c r="M9" s="440">
        <f>((RawData!BA25+RawData!BC25)/1000)/'Table T10'!I9</f>
        <v>0</v>
      </c>
      <c r="N9" s="440">
        <f>((RawData!BJ25+RawData!BM25)/1000)/'Table T10'!I9</f>
        <v>0</v>
      </c>
      <c r="O9" s="440">
        <f>'Table T9'!O9*'Table T9'!I9/'Table T10'!I9</f>
        <v>-4.9073128758679316E-18</v>
      </c>
      <c r="P9" s="439">
        <f>B9-I9</f>
        <v>1.4176000000000002</v>
      </c>
      <c r="Q9" s="441">
        <f>(C9*$B9-J9*$I9)/$P9</f>
        <v>0.1247178329571106</v>
      </c>
      <c r="R9" s="441">
        <f t="shared" ref="R9:V9" si="0">(D9*$B9-K9*$I9)/$P9</f>
        <v>8.1828442437923265E-3</v>
      </c>
      <c r="S9" s="440">
        <f t="shared" si="0"/>
        <v>3.3154627539503352E-3</v>
      </c>
      <c r="T9" s="440">
        <f t="shared" si="0"/>
        <v>0</v>
      </c>
      <c r="U9" s="440">
        <f t="shared" si="0"/>
        <v>0</v>
      </c>
      <c r="V9" s="442">
        <f t="shared" si="0"/>
        <v>4.9379232505652516E-4</v>
      </c>
    </row>
    <row r="10" spans="1:22" ht="15">
      <c r="A10" s="18">
        <v>1974</v>
      </c>
      <c r="B10" s="384"/>
      <c r="C10" s="55"/>
      <c r="D10" s="55"/>
      <c r="E10" s="55"/>
      <c r="F10" s="55"/>
      <c r="G10" s="55"/>
      <c r="H10" s="55"/>
      <c r="I10" s="434">
        <f>'Table T5'!J14</f>
        <v>24.652333333333331</v>
      </c>
      <c r="J10" s="59">
        <f>(RawData!BB32/1000)/'Table T10'!$I10</f>
        <v>0.28524683261895428</v>
      </c>
      <c r="K10" s="59">
        <f>(RawData!AZ32/1000)/'Table T10'!$I10</f>
        <v>3.7643495544708416E-2</v>
      </c>
      <c r="L10" s="54">
        <f>((RawData!BD32+RawData!BE32+RawData!BF32+RawData!BG32+RawData!BH32+RawData!BI32)/1000)/'Table T10'!I10</f>
        <v>4.3525291723569101E-2</v>
      </c>
      <c r="M10" s="54">
        <f>((RawData!BA32+RawData!BC32)/1000)/'Table T10'!I10</f>
        <v>0</v>
      </c>
      <c r="N10" s="54">
        <f>((RawData!BJ32+RawData!BM32)/1000)/'Table T10'!I10</f>
        <v>7.0175913030544775E-3</v>
      </c>
      <c r="O10" s="55"/>
      <c r="P10" s="434"/>
      <c r="Q10" s="59"/>
      <c r="R10" s="59"/>
      <c r="S10" s="54"/>
      <c r="T10" s="54"/>
      <c r="U10" s="54"/>
      <c r="V10" s="437"/>
    </row>
    <row r="11" spans="1:22" ht="15">
      <c r="A11" s="319">
        <v>1978</v>
      </c>
      <c r="B11" s="385">
        <f>'Table T5'!B15</f>
        <v>98.443666666666672</v>
      </c>
      <c r="C11" s="396">
        <f>(RawData!AM36/1000)/'Table T10'!B11</f>
        <v>0.13627082832482873</v>
      </c>
      <c r="D11" s="396">
        <f>(RawData!AK36/1000)/'Table T10'!B11</f>
        <v>1.2819514375395741E-2</v>
      </c>
      <c r="E11" s="396">
        <f>((RawData!AO36+RawData!AP36+RawData!AQ36+RawData!AR36+RawData!AS36+RawData!AT36)/1000)/'Table T10'!B11</f>
        <v>2.7061161882768827E-2</v>
      </c>
      <c r="F11" s="396">
        <f>((RawData!AN36+RawData!AL36)/1000)/'Table T10'!B11</f>
        <v>0</v>
      </c>
      <c r="G11" s="396">
        <f>((RawData!AU36+RawData!AX36)/1000)/'Table T10'!B11</f>
        <v>1.0117461424638794E-2</v>
      </c>
      <c r="H11" s="445">
        <f>'Table T9'!H11*'Table T9'!B11/'Table T10'!B11</f>
        <v>1.8589311653703958E-3</v>
      </c>
      <c r="I11" s="443">
        <f>'Table T5'!J15</f>
        <v>47.743666666666662</v>
      </c>
      <c r="J11" s="398">
        <f>(RawData!BB36/1000)/'Table T10'!$I11</f>
        <v>0.25668325990881868</v>
      </c>
      <c r="K11" s="398">
        <f>(RawData!AZ36/1000)/'Table T10'!$I11</f>
        <v>1.8850667802361224E-2</v>
      </c>
      <c r="L11" s="396">
        <f>((RawData!BD36+RawData!BE36+RawData!BF36+RawData!BG36+RawData!BH36+RawData!BI36)/1000)/'Table T10'!I11</f>
        <v>5.1985952761622843E-2</v>
      </c>
      <c r="M11" s="396">
        <f>((RawData!BA36+RawData!BC36)/1000)/'Table T10'!I11</f>
        <v>0</v>
      </c>
      <c r="N11" s="396">
        <f>((RawData!BJ36+RawData!BM36)/1000)/'Table T10'!I11</f>
        <v>1.2357660003770135E-2</v>
      </c>
      <c r="O11" s="445">
        <f>'Table T9'!O11*'Table T9'!I11/'Table T10'!I11</f>
        <v>8.5875264432978772E-4</v>
      </c>
      <c r="P11" s="443">
        <f t="shared" ref="P11:P40" si="1">B11-I11</f>
        <v>50.70000000000001</v>
      </c>
      <c r="Q11" s="398">
        <f>(C11*$B11-J11*$I11)/$P11</f>
        <v>2.2879684418145883E-2</v>
      </c>
      <c r="R11" s="398">
        <f t="shared" ref="R11:V26" si="2">(D11*$B11-K11*$I11)/$P11</f>
        <v>7.1400394477317518E-3</v>
      </c>
      <c r="S11" s="396">
        <f t="shared" si="2"/>
        <v>3.589743589743588E-3</v>
      </c>
      <c r="T11" s="396">
        <f t="shared" si="2"/>
        <v>0</v>
      </c>
      <c r="U11" s="396">
        <f t="shared" si="2"/>
        <v>8.0078895463510831E-3</v>
      </c>
      <c r="V11" s="444">
        <f t="shared" si="2"/>
        <v>2.8007889546351377E-3</v>
      </c>
    </row>
    <row r="12" spans="1:22" ht="15">
      <c r="A12" s="18">
        <v>1984</v>
      </c>
      <c r="B12" s="384">
        <f>'Table T5'!B16</f>
        <v>268.08000000000004</v>
      </c>
      <c r="C12" s="54">
        <f>(RawData!AM42/1000)/'Table T10'!B12</f>
        <v>8.3594449418084138E-2</v>
      </c>
      <c r="D12" s="54">
        <f>(RawData!AK42/1000)/'Table T10'!B12</f>
        <v>1.8539242017308263E-2</v>
      </c>
      <c r="E12" s="54">
        <f>((RawData!AO42+RawData!AP42+RawData!AQ42+RawData!AR42+RawData!AS42+RawData!AT42)/1000)/'Table T10'!B12</f>
        <v>3.9335273052820051E-2</v>
      </c>
      <c r="F12" s="54">
        <f>((RawData!AN42+RawData!AL42)/1000)/'Table T10'!B12</f>
        <v>0</v>
      </c>
      <c r="G12" s="54">
        <f>((RawData!AU42+RawData!AX42)/1000)/'Table T10'!B12</f>
        <v>3.3471351835273049E-2</v>
      </c>
      <c r="H12" s="68">
        <f>'Table T9'!H12*'Table T9'!B12/'Table T10'!B12</f>
        <v>5.8564607579826491E-4</v>
      </c>
      <c r="I12" s="434">
        <f>'Table T5'!J16</f>
        <v>104.852</v>
      </c>
      <c r="J12" s="59">
        <f>(RawData!BB42/1000)/'Table T10'!$I12</f>
        <v>0.16570976233166748</v>
      </c>
      <c r="K12" s="59">
        <f>(RawData!AZ42/1000)/'Table T10'!$I12</f>
        <v>1.7062144737344066E-2</v>
      </c>
      <c r="L12" s="54">
        <f>((RawData!BD42+RawData!BE42+RawData!BF42+RawData!BG42+RawData!BH42+RawData!BI42)/1000)/'Table T10'!I12</f>
        <v>6.9736390340670654E-2</v>
      </c>
      <c r="M12" s="54">
        <f>((RawData!BA42+RawData!BC42)/1000)/'Table T10'!I12</f>
        <v>0</v>
      </c>
      <c r="N12" s="54">
        <f>((RawData!BJ42+RawData!BM42)/1000)/'Table T10'!I12</f>
        <v>1.6070270476481137E-2</v>
      </c>
      <c r="O12" s="68">
        <f>'Table T9'!O12*'Table T9'!I12/'Table T10'!I12</f>
        <v>1.0490977759127179E-3</v>
      </c>
      <c r="P12" s="434">
        <f t="shared" si="1"/>
        <v>163.22800000000004</v>
      </c>
      <c r="Q12" s="59">
        <f t="shared" ref="Q12:V40" si="3">(C12*$B12-J12*$I12)/$P12</f>
        <v>3.0846423407748666E-2</v>
      </c>
      <c r="R12" s="59">
        <f t="shared" si="2"/>
        <v>1.9488078025828897E-2</v>
      </c>
      <c r="S12" s="54">
        <f t="shared" si="2"/>
        <v>1.9806650819712314E-2</v>
      </c>
      <c r="T12" s="54">
        <f t="shared" si="2"/>
        <v>0</v>
      </c>
      <c r="U12" s="54">
        <f t="shared" si="2"/>
        <v>4.4649202342735304E-2</v>
      </c>
      <c r="V12" s="437">
        <f t="shared" si="2"/>
        <v>2.8794079447152799E-4</v>
      </c>
    </row>
    <row r="13" spans="1:22" ht="15">
      <c r="A13" s="18">
        <v>1985</v>
      </c>
      <c r="B13" s="384">
        <f>'Table T5'!B17</f>
        <v>397.04300000000001</v>
      </c>
      <c r="C13" s="54">
        <f>(RawData!AM43/1000)/'Table T10'!B13</f>
        <v>7.7807693373261835E-2</v>
      </c>
      <c r="D13" s="54">
        <f>(RawData!AK43/1000)/'Table T10'!B13</f>
        <v>2.459431346226983E-2</v>
      </c>
      <c r="E13" s="54">
        <f>((RawData!AO43+RawData!AP43+RawData!AQ43+RawData!AR43+RawData!AS43+RawData!AT43)/1000)/'Table T10'!B13</f>
        <v>4.3300095959379711E-2</v>
      </c>
      <c r="F13" s="54">
        <f>((RawData!AN43+RawData!AL43)/1000)/'Table T10'!B13</f>
        <v>0</v>
      </c>
      <c r="G13" s="54">
        <f>((RawData!AU43+RawData!AX43)/1000)/'Table T10'!B13</f>
        <v>3.5676236578909587E-2</v>
      </c>
      <c r="H13" s="68">
        <f>'Table T9'!H13*'Table T9'!B13/'Table T10'!B13</f>
        <v>4.4075830577543104E-4</v>
      </c>
      <c r="I13" s="434">
        <f>'Table T5'!J17</f>
        <v>138.19900000000001</v>
      </c>
      <c r="J13" s="59">
        <f>(RawData!BB43/1000)/'Table T10'!$I13</f>
        <v>0.15220081187273424</v>
      </c>
      <c r="K13" s="59">
        <f>(RawData!AZ43/1000)/'Table T10'!$I13</f>
        <v>2.507254032228887E-2</v>
      </c>
      <c r="L13" s="54">
        <f>((RawData!BD43+RawData!BE43+RawData!BF43+RawData!BG43+RawData!BH43+RawData!BI43)/1000)/'Table T10'!I13</f>
        <v>7.0000506515966093E-2</v>
      </c>
      <c r="M13" s="54">
        <f>((RawData!BA43+RawData!BC43)/1000)/'Table T10'!I13</f>
        <v>0</v>
      </c>
      <c r="N13" s="54">
        <f>((RawData!BJ43+RawData!BM43)/1000)/'Table T10'!I13</f>
        <v>1.5209950867951285E-2</v>
      </c>
      <c r="O13" s="68">
        <f>'Table T9'!O13*'Table T9'!I13/'Table T10'!I13</f>
        <v>9.4067250848416226E-4</v>
      </c>
      <c r="P13" s="434">
        <f t="shared" si="1"/>
        <v>258.84399999999999</v>
      </c>
      <c r="Q13" s="59">
        <f t="shared" si="3"/>
        <v>3.8088578448795408E-2</v>
      </c>
      <c r="R13" s="59">
        <f t="shared" si="2"/>
        <v>2.4338984098530393E-2</v>
      </c>
      <c r="S13" s="54">
        <f t="shared" si="2"/>
        <v>2.9044521024246268E-2</v>
      </c>
      <c r="T13" s="54">
        <f t="shared" si="2"/>
        <v>0</v>
      </c>
      <c r="U13" s="54">
        <f t="shared" si="2"/>
        <v>4.6603359552471753E-2</v>
      </c>
      <c r="V13" s="437">
        <f t="shared" si="2"/>
        <v>1.7384988641804219E-4</v>
      </c>
    </row>
    <row r="14" spans="1:22" ht="15">
      <c r="A14" s="18">
        <v>1986</v>
      </c>
      <c r="B14" s="384">
        <f>'Table T5'!B18</f>
        <v>523.91699999999992</v>
      </c>
      <c r="C14" s="54">
        <f>(RawData!AM44/1000)/'Table T10'!B14</f>
        <v>7.262409885535305E-2</v>
      </c>
      <c r="D14" s="54">
        <f>(RawData!AK44/1000)/'Table T10'!B14</f>
        <v>2.7844105077712695E-2</v>
      </c>
      <c r="E14" s="54">
        <f>((RawData!AO44+RawData!AP44+RawData!AQ44+RawData!AR44+RawData!AS44+RawData!AT44)/1000)/'Table T10'!B14</f>
        <v>4.1058030184170397E-2</v>
      </c>
      <c r="F14" s="54">
        <f>((RawData!AN44+RawData!AL44)/1000)/'Table T10'!B14</f>
        <v>0</v>
      </c>
      <c r="G14" s="54">
        <f>((RawData!AU44+RawData!AX44)/1000)/'Table T10'!B14</f>
        <v>3.5522802275933026E-2</v>
      </c>
      <c r="H14" s="68">
        <f>'Table T9'!H14*'Table T9'!B14/'Table T10'!B14</f>
        <v>5.1153140669228788E-4</v>
      </c>
      <c r="I14" s="434">
        <f>'Table T5'!J18</f>
        <v>175.72399999999999</v>
      </c>
      <c r="J14" s="59">
        <f>(RawData!BB44/1000)/'Table T10'!$I14</f>
        <v>0.13935489745282376</v>
      </c>
      <c r="K14" s="59">
        <f>(RawData!AZ44/1000)/'Table T10'!$I14</f>
        <v>3.2977851630966747E-2</v>
      </c>
      <c r="L14" s="54">
        <f>((RawData!BD44+RawData!BE44+RawData!BF44+RawData!BG44+RawData!BH44+RawData!BI44)/1000)/'Table T10'!I14</f>
        <v>6.6382508934465415E-2</v>
      </c>
      <c r="M14" s="54">
        <f>((RawData!BA44+RawData!BC44)/1000)/'Table T10'!I14</f>
        <v>0</v>
      </c>
      <c r="N14" s="54">
        <f>((RawData!BJ44+RawData!BM44)/1000)/'Table T10'!I14</f>
        <v>1.5820263595183355E-2</v>
      </c>
      <c r="O14" s="68">
        <f>'Table T9'!O14*'Table T9'!I14/'Table T10'!I14</f>
        <v>9.2190025266897322E-4</v>
      </c>
      <c r="P14" s="434">
        <f t="shared" si="1"/>
        <v>348.19299999999993</v>
      </c>
      <c r="Q14" s="59">
        <f t="shared" si="3"/>
        <v>3.8946791003839833E-2</v>
      </c>
      <c r="R14" s="59">
        <f t="shared" si="2"/>
        <v>2.5253235992682223E-2</v>
      </c>
      <c r="S14" s="54">
        <f t="shared" si="2"/>
        <v>2.8277420855674876E-2</v>
      </c>
      <c r="T14" s="54">
        <f t="shared" si="2"/>
        <v>0</v>
      </c>
      <c r="U14" s="54">
        <f t="shared" si="2"/>
        <v>4.5466163880376699E-2</v>
      </c>
      <c r="V14" s="437">
        <f t="shared" si="2"/>
        <v>3.0442886560040188E-4</v>
      </c>
    </row>
    <row r="15" spans="1:22" ht="15">
      <c r="A15" s="18">
        <v>1987</v>
      </c>
      <c r="B15" s="384">
        <f>'Table T5'!B19</f>
        <v>571.10500000000002</v>
      </c>
      <c r="C15" s="54">
        <f>(RawData!AM45/1000)/'Table T10'!B15</f>
        <v>6.4047767048090981E-2</v>
      </c>
      <c r="D15" s="54">
        <f>(RawData!AK45/1000)/'Table T10'!B15</f>
        <v>3.1015312420658199E-2</v>
      </c>
      <c r="E15" s="54">
        <f>((RawData!AO45+RawData!AP45+RawData!AQ45+RawData!AR45+RawData!AS45+RawData!AT45)/1000)/'Table T10'!B15</f>
        <v>3.375036114199665E-2</v>
      </c>
      <c r="F15" s="54">
        <f>((RawData!AN45+RawData!AL45)/1000)/'Table T10'!B15</f>
        <v>0</v>
      </c>
      <c r="G15" s="54">
        <f>((RawData!AU45+RawData!AX45)/1000)/'Table T10'!B15</f>
        <v>2.6473240472417506E-2</v>
      </c>
      <c r="H15" s="68">
        <f>'Table T9'!H15*'Table T9'!B15/'Table T10'!B15</f>
        <v>1.2221920662575105E-3</v>
      </c>
      <c r="I15" s="434">
        <f>'Table T5'!J19</f>
        <v>189.136</v>
      </c>
      <c r="J15" s="59">
        <f>(RawData!BB45/1000)/'Table T10'!$I15</f>
        <v>0.11835927586498604</v>
      </c>
      <c r="K15" s="59">
        <f>(RawData!AZ45/1000)/'Table T10'!$I15</f>
        <v>3.9225742322984515E-2</v>
      </c>
      <c r="L15" s="54">
        <f>((RawData!BD45+RawData!BE45+RawData!BF45+RawData!BG45+RawData!BH45+RawData!BI45)/1000)/'Table T10'!I15</f>
        <v>5.9502157177903726E-2</v>
      </c>
      <c r="M15" s="54">
        <f>((RawData!BA45+RawData!BC45)/1000)/'Table T10'!I15</f>
        <v>0</v>
      </c>
      <c r="N15" s="54">
        <f>((RawData!BJ45+RawData!BM45)/1000)/'Table T10'!I15</f>
        <v>2.0302850858641402E-2</v>
      </c>
      <c r="O15" s="68">
        <f>'Table T9'!O15*'Table T9'!I15/'Table T10'!I15</f>
        <v>8.7767532357666998E-4</v>
      </c>
      <c r="P15" s="434">
        <f t="shared" si="1"/>
        <v>381.96900000000005</v>
      </c>
      <c r="Q15" s="59">
        <f t="shared" si="3"/>
        <v>3.7154847644704156E-2</v>
      </c>
      <c r="R15" s="59">
        <f t="shared" si="2"/>
        <v>2.6949831007228336E-2</v>
      </c>
      <c r="S15" s="54">
        <f t="shared" si="2"/>
        <v>2.0999086313287198E-2</v>
      </c>
      <c r="T15" s="54">
        <f t="shared" si="2"/>
        <v>0</v>
      </c>
      <c r="U15" s="54">
        <f t="shared" si="2"/>
        <v>2.952857430838628E-2</v>
      </c>
      <c r="V15" s="437">
        <f t="shared" si="2"/>
        <v>1.392783183975659E-3</v>
      </c>
    </row>
    <row r="16" spans="1:22" ht="15">
      <c r="A16" s="18">
        <v>1988</v>
      </c>
      <c r="B16" s="384">
        <f>'Table T5'!B20</f>
        <v>665.76</v>
      </c>
      <c r="C16" s="54">
        <f>(RawData!AM46/1000)/'Table T10'!B16</f>
        <v>5.0575282384042297E-2</v>
      </c>
      <c r="D16" s="54">
        <f>(RawData!AK46/1000)/'Table T10'!B16</f>
        <v>3.2857185772650808E-2</v>
      </c>
      <c r="E16" s="54">
        <f>((RawData!AO46+RawData!AP46+RawData!AQ46+RawData!AR46+RawData!AS46+RawData!AT46)/1000)/'Table T10'!B16</f>
        <v>3.1892874309060321E-2</v>
      </c>
      <c r="F16" s="54">
        <f>((RawData!AN46+RawData!AL46)/1000)/'Table T10'!B16</f>
        <v>0</v>
      </c>
      <c r="G16" s="54">
        <f>((RawData!AU46+RawData!AX46)/1000)/'Table T10'!B16</f>
        <v>2.3954578226387888E-2</v>
      </c>
      <c r="H16" s="68">
        <f>'Table T9'!H16*'Table T9'!B16/'Table T10'!B16</f>
        <v>6.1433549627491529E-4</v>
      </c>
      <c r="I16" s="434">
        <f>'Table T5'!J20</f>
        <v>208.95500000000001</v>
      </c>
      <c r="J16" s="59">
        <f>(RawData!BB46/1000)/'Table T10'!$I16</f>
        <v>0.10472111220119164</v>
      </c>
      <c r="K16" s="59">
        <f>(RawData!AZ46/1000)/'Table T10'!$I16</f>
        <v>4.6584192768777961E-2</v>
      </c>
      <c r="L16" s="54">
        <f>((RawData!BD46+RawData!BE46+RawData!BF46+RawData!BG46+RawData!BH46+RawData!BI46)/1000)/'Table T10'!I16</f>
        <v>5.5528702352181089E-2</v>
      </c>
      <c r="M16" s="54">
        <f>((RawData!BA46+RawData!BC46)/1000)/'Table T10'!I16</f>
        <v>0</v>
      </c>
      <c r="N16" s="54">
        <f>((RawData!BJ46+RawData!BM46)/1000)/'Table T10'!I16</f>
        <v>1.7410447225479169E-2</v>
      </c>
      <c r="O16" s="68">
        <f>'Table T9'!O16*'Table T9'!I16/'Table T10'!I16</f>
        <v>8.6621521380198549E-4</v>
      </c>
      <c r="P16" s="434">
        <f t="shared" si="1"/>
        <v>456.80499999999995</v>
      </c>
      <c r="Q16" s="59">
        <f t="shared" si="3"/>
        <v>2.5807510863497553E-2</v>
      </c>
      <c r="R16" s="59">
        <f t="shared" si="2"/>
        <v>2.6578080362517933E-2</v>
      </c>
      <c r="S16" s="54">
        <f t="shared" si="2"/>
        <v>2.1081205328312952E-2</v>
      </c>
      <c r="T16" s="54">
        <f t="shared" si="2"/>
        <v>0</v>
      </c>
      <c r="U16" s="54">
        <f t="shared" si="2"/>
        <v>2.6948041286763504E-2</v>
      </c>
      <c r="V16" s="437">
        <f t="shared" si="2"/>
        <v>4.9911888004727128E-4</v>
      </c>
    </row>
    <row r="17" spans="1:22" ht="15">
      <c r="A17" s="311">
        <v>1989</v>
      </c>
      <c r="B17" s="385">
        <f>'Table T5'!B21</f>
        <v>847.67499999999995</v>
      </c>
      <c r="C17" s="396">
        <f>(RawData!AM47/1000)/'Table T10'!B17</f>
        <v>4.1167900433538795E-2</v>
      </c>
      <c r="D17" s="396">
        <f>(RawData!AK47/1000)/'Table T10'!B17</f>
        <v>3.3594243076650841E-2</v>
      </c>
      <c r="E17" s="396">
        <f>((RawData!AO47+RawData!AP47+RawData!AQ47+RawData!AR47+RawData!AS47+RawData!AT47)/1000)/'Table T10'!B17</f>
        <v>3.3044504084702275E-2</v>
      </c>
      <c r="F17" s="396">
        <f>((RawData!AN47+RawData!AL47)/1000)/'Table T10'!B17</f>
        <v>1.9984074084997199E-3</v>
      </c>
      <c r="G17" s="396">
        <f>((RawData!AU47+RawData!AX47)/1000)/'Table T10'!B17</f>
        <v>2.8074438906420501E-2</v>
      </c>
      <c r="H17" s="445">
        <f>'Table T9'!H17*'Table T9'!B17/'Table T10'!B17</f>
        <v>4.2940985637184297E-4</v>
      </c>
      <c r="I17" s="443">
        <f>'Table T5'!J21</f>
        <v>276.10300000000001</v>
      </c>
      <c r="J17" s="398">
        <f>(RawData!BB47/1000)/'Table T10'!$I17</f>
        <v>8.4370687750585829E-2</v>
      </c>
      <c r="K17" s="398">
        <f>(RawData!AZ47/1000)/'Table T10'!$I17</f>
        <v>5.1748803888403964E-2</v>
      </c>
      <c r="L17" s="396">
        <f>((RawData!BD47+RawData!BE47+RawData!BF47+RawData!BG47+RawData!BH47+RawData!BI47)/1000)/'Table T10'!I17</f>
        <v>5.6113117206259985E-2</v>
      </c>
      <c r="M17" s="396">
        <f>((RawData!BA47+RawData!BC47)/1000)/'Table T10'!I17</f>
        <v>3.4335012658319539E-3</v>
      </c>
      <c r="N17" s="396">
        <f>((RawData!BJ47+RawData!BM47)/1000)/'Table T10'!I17</f>
        <v>1.9097945331995665E-2</v>
      </c>
      <c r="O17" s="445">
        <f>'Table T9'!O17*'Table T9'!I17/'Table T10'!I17</f>
        <v>6.7366164076447489E-4</v>
      </c>
      <c r="P17" s="443">
        <f t="shared" si="1"/>
        <v>571.57199999999989</v>
      </c>
      <c r="Q17" s="398">
        <f t="shared" si="3"/>
        <v>2.0298405100319817E-2</v>
      </c>
      <c r="R17" s="398">
        <f t="shared" si="2"/>
        <v>2.4824519045719529E-2</v>
      </c>
      <c r="S17" s="396">
        <f t="shared" si="2"/>
        <v>2.190100284828508E-2</v>
      </c>
      <c r="T17" s="396">
        <f t="shared" si="2"/>
        <v>1.3051724017271668E-3</v>
      </c>
      <c r="U17" s="396">
        <f t="shared" si="2"/>
        <v>3.2410614935651158E-2</v>
      </c>
      <c r="V17" s="444">
        <f t="shared" si="2"/>
        <v>3.1142183311990129E-4</v>
      </c>
    </row>
    <row r="18" spans="1:22" ht="15">
      <c r="A18" s="18">
        <v>1990</v>
      </c>
      <c r="B18" s="384">
        <f>'Table T5'!B22</f>
        <v>831.23099999999999</v>
      </c>
      <c r="C18" s="54">
        <f>(RawData!AM48/1000)/'Table T10'!B18</f>
        <v>4.0891160219000494E-2</v>
      </c>
      <c r="D18" s="54">
        <f>(RawData!AK48/1000)/'Table T10'!B18</f>
        <v>3.3949648172409357E-2</v>
      </c>
      <c r="E18" s="54">
        <f>((RawData!AO48+RawData!AP48+RawData!AQ48+RawData!AR48+RawData!AS48+RawData!AT48)/1000)/'Table T10'!B18</f>
        <v>5.4842757308136973E-2</v>
      </c>
      <c r="F18" s="54">
        <f>((RawData!AN48+RawData!AL48)/1000)/'Table T10'!B18</f>
        <v>2.734498593050548E-3</v>
      </c>
      <c r="G18" s="54">
        <f>((RawData!AU48+RawData!AX48)/1000)/'Table T10'!B18</f>
        <v>2.7165733713011186E-2</v>
      </c>
      <c r="H18" s="68">
        <f>'Table T9'!H18*'Table T9'!B18/'Table T10'!B18</f>
        <v>5.1730505719828042E-4</v>
      </c>
      <c r="I18" s="434">
        <f>'Table T5'!J22</f>
        <v>248.251</v>
      </c>
      <c r="J18" s="59">
        <f>(RawData!BB48/1000)/'Table T10'!$I18</f>
        <v>8.4450817922183591E-2</v>
      </c>
      <c r="K18" s="59">
        <f>(RawData!AZ48/1000)/'Table T10'!$I18</f>
        <v>4.8797386516066403E-2</v>
      </c>
      <c r="L18" s="54">
        <f>((RawData!BD48+RawData!BE48+RawData!BF48+RawData!BG48+RawData!BH48+RawData!BI48)/1000)/'Table T10'!I18</f>
        <v>6.1768129836334999E-2</v>
      </c>
      <c r="M18" s="54">
        <f>((RawData!BA48+RawData!BC48)/1000)/'Table T10'!I18</f>
        <v>4.0160966118968303E-3</v>
      </c>
      <c r="N18" s="54">
        <f>((RawData!BJ48+RawData!BM48)/1000)/'Table T10'!I18</f>
        <v>1.9488340429645801E-2</v>
      </c>
      <c r="O18" s="68">
        <f>'Table T9'!O18*'Table T9'!I18/'Table T10'!I18</f>
        <v>7.6132623836357074E-4</v>
      </c>
      <c r="P18" s="434">
        <f t="shared" si="1"/>
        <v>582.98</v>
      </c>
      <c r="Q18" s="59">
        <f t="shared" si="3"/>
        <v>2.2342104360355417E-2</v>
      </c>
      <c r="R18" s="59">
        <f t="shared" si="2"/>
        <v>2.7627019794847166E-2</v>
      </c>
      <c r="S18" s="54">
        <f t="shared" si="2"/>
        <v>5.1893718480908443E-2</v>
      </c>
      <c r="T18" s="54">
        <f t="shared" si="2"/>
        <v>2.1887543311948955E-3</v>
      </c>
      <c r="U18" s="54">
        <f t="shared" si="2"/>
        <v>3.0435006346701429E-2</v>
      </c>
      <c r="V18" s="437">
        <f t="shared" si="2"/>
        <v>4.1339325534321762E-4</v>
      </c>
    </row>
    <row r="19" spans="1:22" ht="15">
      <c r="A19" s="18">
        <v>1991</v>
      </c>
      <c r="B19" s="384">
        <f>'Table T5'!B23</f>
        <v>988.28</v>
      </c>
      <c r="C19" s="54">
        <f>(RawData!AM49/1000)/'Table T10'!B19</f>
        <v>4.6028453474723764E-2</v>
      </c>
      <c r="D19" s="54">
        <f>(RawData!AK49/1000)/'Table T10'!B19</f>
        <v>3.2847978305743313E-2</v>
      </c>
      <c r="E19" s="54">
        <f>((RawData!AO49+RawData!AP49+RawData!AQ49+RawData!AR49+RawData!AS49+RawData!AT49)/1000)/'Table T10'!B19</f>
        <v>6.2525802404176961E-2</v>
      </c>
      <c r="F19" s="54">
        <f>((RawData!AN49+RawData!AL49)/1000)/'Table T10'!B19</f>
        <v>3.6588820981907962E-3</v>
      </c>
      <c r="G19" s="54">
        <f>((RawData!AU49+RawData!AX49)/1000)/'Table T10'!B19</f>
        <v>3.3877038895859468E-2</v>
      </c>
      <c r="H19" s="68">
        <f>'Table T9'!H19*'Table T9'!B19/'Table T10'!B19</f>
        <v>5.2819039138706295E-4</v>
      </c>
      <c r="I19" s="434">
        <f>'Table T5'!J23</f>
        <v>332.85599999999999</v>
      </c>
      <c r="J19" s="59">
        <f>(RawData!BB49/1000)/'Table T10'!$I19</f>
        <v>8.5283125435623816E-2</v>
      </c>
      <c r="K19" s="59">
        <f>(RawData!AZ49/1000)/'Table T10'!$I19</f>
        <v>4.3748648064027687E-2</v>
      </c>
      <c r="L19" s="54">
        <f>((RawData!BD49+RawData!BE49+RawData!BF49+RawData!BG49+RawData!BH49+RawData!BI49)/1000)/'Table T10'!I19</f>
        <v>7.0231571610546301E-2</v>
      </c>
      <c r="M19" s="54">
        <f>((RawData!BA49+RawData!BC49)/1000)/'Table T10'!I19</f>
        <v>4.8128920614319707E-3</v>
      </c>
      <c r="N19" s="54">
        <f>((RawData!BJ49+RawData!BM49)/1000)/'Table T10'!I19</f>
        <v>2.9583363376354938E-2</v>
      </c>
      <c r="O19" s="68">
        <f>'Table T9'!O19*'Table T9'!I19/'Table T10'!I19</f>
        <v>6.2789915158505659E-4</v>
      </c>
      <c r="P19" s="434">
        <f t="shared" si="1"/>
        <v>655.42399999999998</v>
      </c>
      <c r="Q19" s="59">
        <f t="shared" si="3"/>
        <v>2.6093032906942676E-2</v>
      </c>
      <c r="R19" s="59">
        <f t="shared" si="2"/>
        <v>2.7312091104384345E-2</v>
      </c>
      <c r="S19" s="54">
        <f t="shared" si="2"/>
        <v>5.8612440191387581E-2</v>
      </c>
      <c r="T19" s="54">
        <f t="shared" si="2"/>
        <v>3.072820037105752E-3</v>
      </c>
      <c r="U19" s="54">
        <f t="shared" si="2"/>
        <v>3.6057574943853136E-2</v>
      </c>
      <c r="V19" s="437">
        <f t="shared" si="2"/>
        <v>4.7755346157603474E-4</v>
      </c>
    </row>
    <row r="20" spans="1:22" ht="15">
      <c r="A20" s="18">
        <v>1992</v>
      </c>
      <c r="B20" s="384">
        <f>'Table T5'!B24</f>
        <v>1060.162</v>
      </c>
      <c r="C20" s="54">
        <f>(RawData!AM50/1000)/'Table T10'!B20</f>
        <v>4.6826805714598331E-2</v>
      </c>
      <c r="D20" s="54">
        <f>(RawData!AK50/1000)/'Table T10'!B20</f>
        <v>3.2080002867486287E-2</v>
      </c>
      <c r="E20" s="54">
        <f>((RawData!AO50+RawData!AP50+RawData!AQ50+RawData!AR50+RawData!AS50+RawData!AT50)/1000)/'Table T10'!B20</f>
        <v>6.4837260720531392E-2</v>
      </c>
      <c r="F20" s="54">
        <f>((RawData!AN50+RawData!AL50)/1000)/'Table T10'!B20</f>
        <v>3.0533069474287891E-3</v>
      </c>
      <c r="G20" s="54">
        <f>((RawData!AU50+RawData!AX50)/1000)/'Table T10'!B20</f>
        <v>3.2233752954737106E-2</v>
      </c>
      <c r="H20" s="68">
        <f>'Table T9'!H20*'Table T9'!B20/'Table T10'!B20</f>
        <v>1.0366340238567419E-3</v>
      </c>
      <c r="I20" s="434">
        <f>'Table T5'!J24</f>
        <v>344.85300000000001</v>
      </c>
      <c r="J20" s="59">
        <f>(RawData!BB50/1000)/'Table T10'!$I20</f>
        <v>9.1424462017149336E-2</v>
      </c>
      <c r="K20" s="59">
        <f>(RawData!AZ50/1000)/'Table T10'!$I20</f>
        <v>4.1171165685089009E-2</v>
      </c>
      <c r="L20" s="54">
        <f>((RawData!BD50+RawData!BE50+RawData!BF50+RawData!BG50+RawData!BH50+RawData!BI50)/1000)/'Table T10'!I20</f>
        <v>8.0735849767872098E-2</v>
      </c>
      <c r="M20" s="54">
        <f>((RawData!BA50+RawData!BC50)/1000)/'Table T10'!I20</f>
        <v>5.4428988583541393E-3</v>
      </c>
      <c r="N20" s="54">
        <f>((RawData!BJ50+RawData!BM50)/1000)/'Table T10'!I20</f>
        <v>2.8922468414077883E-2</v>
      </c>
      <c r="O20" s="68">
        <f>'Table T9'!O20*'Table T9'!I20/'Table T10'!I20</f>
        <v>6.0315554743614228E-4</v>
      </c>
      <c r="P20" s="434">
        <f t="shared" si="1"/>
        <v>715.30899999999997</v>
      </c>
      <c r="Q20" s="59">
        <f t="shared" si="3"/>
        <v>2.5326117803634508E-2</v>
      </c>
      <c r="R20" s="59">
        <f t="shared" si="2"/>
        <v>2.7697121104305968E-2</v>
      </c>
      <c r="S20" s="54">
        <f t="shared" si="2"/>
        <v>5.7172494684115539E-2</v>
      </c>
      <c r="T20" s="54">
        <f t="shared" si="2"/>
        <v>1.9012762316705091E-3</v>
      </c>
      <c r="U20" s="54">
        <f t="shared" si="2"/>
        <v>3.3830134948672534E-2</v>
      </c>
      <c r="V20" s="437">
        <f t="shared" si="2"/>
        <v>1.2456155311900386E-3</v>
      </c>
    </row>
    <row r="21" spans="1:22" ht="15">
      <c r="A21" s="18">
        <v>1993</v>
      </c>
      <c r="B21" s="384">
        <f>'Table T5'!B25</f>
        <v>1207.2090000000001</v>
      </c>
      <c r="C21" s="54">
        <f>(RawData!AM51/1000)/'Table T10'!B21</f>
        <v>4.6564430848345231E-2</v>
      </c>
      <c r="D21" s="54">
        <f>(RawData!AK51/1000)/'Table T10'!B21</f>
        <v>3.0775946832735671E-2</v>
      </c>
      <c r="E21" s="54">
        <f>((RawData!AO51+RawData!AP51+RawData!AQ51+RawData!AR51+RawData!AS51+RawData!AT51)/1000)/'Table T10'!B21</f>
        <v>7.1425080495589405E-2</v>
      </c>
      <c r="F21" s="54">
        <f>((RawData!AN51+RawData!AL51)/1000)/'Table T10'!B21</f>
        <v>4.2395310174128918E-3</v>
      </c>
      <c r="G21" s="54">
        <f>((RawData!AU51+RawData!AX51)/1000)/'Table T10'!B21</f>
        <v>4.4852216973200167E-2</v>
      </c>
      <c r="H21" s="68">
        <f>'Table T9'!H21*'Table T9'!B21/'Table T10'!B21</f>
        <v>3.4517635305899592E-3</v>
      </c>
      <c r="I21" s="434">
        <f>'Table T5'!J25</f>
        <v>394.565</v>
      </c>
      <c r="J21" s="59">
        <f>(RawData!BB51/1000)/'Table T10'!$I21</f>
        <v>9.7877409298848098E-2</v>
      </c>
      <c r="K21" s="59">
        <f>(RawData!AZ51/1000)/'Table T10'!$I21</f>
        <v>3.8373905440168284E-2</v>
      </c>
      <c r="L21" s="54">
        <f>((RawData!BD51+RawData!BE51+RawData!BF51+RawData!BG51+RawData!BH51+RawData!BI51)/1000)/'Table T10'!I21</f>
        <v>9.3165891551455396E-2</v>
      </c>
      <c r="M21" s="54">
        <f>((RawData!BA51+RawData!BC51)/1000)/'Table T10'!I21</f>
        <v>6.3842459417333018E-3</v>
      </c>
      <c r="N21" s="54">
        <f>((RawData!BJ51+RawData!BM51)/1000)/'Table T10'!I21</f>
        <v>3.8997376858058874E-2</v>
      </c>
      <c r="O21" s="68">
        <f>'Table T9'!O21*'Table T9'!I21/'Table T10'!I21</f>
        <v>6.8429789768480599E-4</v>
      </c>
      <c r="P21" s="434">
        <f t="shared" si="1"/>
        <v>812.64400000000001</v>
      </c>
      <c r="Q21" s="59">
        <f t="shared" si="3"/>
        <v>2.1650316743863241E-2</v>
      </c>
      <c r="R21" s="59">
        <f t="shared" si="2"/>
        <v>2.7086891677044315E-2</v>
      </c>
      <c r="S21" s="54">
        <f t="shared" si="2"/>
        <v>6.0869212102716556E-2</v>
      </c>
      <c r="T21" s="54">
        <f t="shared" si="2"/>
        <v>3.198202410895792E-3</v>
      </c>
      <c r="U21" s="54">
        <f t="shared" si="2"/>
        <v>4.7694931605967682E-2</v>
      </c>
      <c r="V21" s="437">
        <f t="shared" si="2"/>
        <v>4.7954577896347833E-3</v>
      </c>
    </row>
    <row r="22" spans="1:22" ht="15">
      <c r="A22" s="18">
        <v>1994</v>
      </c>
      <c r="B22" s="384">
        <f>'Table T5'!B26</f>
        <v>1243.8629999999998</v>
      </c>
      <c r="C22" s="54">
        <f>(RawData!AM52/1000)/'Table T10'!B22</f>
        <v>4.6617674132923004E-2</v>
      </c>
      <c r="D22" s="54">
        <f>(RawData!AK52/1000)/'Table T10'!B22</f>
        <v>2.9073137475750948E-2</v>
      </c>
      <c r="E22" s="54">
        <f>((RawData!AO52+RawData!AP52+RawData!AQ52+RawData!AR52+RawData!AS52+RawData!AT52)/1000)/'Table T10'!B22</f>
        <v>7.3975992532939738E-2</v>
      </c>
      <c r="F22" s="54">
        <f>((RawData!AN52+RawData!AL52)/1000)/'Table T10'!B22</f>
        <v>4.6379705803613431E-3</v>
      </c>
      <c r="G22" s="54">
        <f>((RawData!AU52+RawData!AX52)/1000)/'Table T10'!B22</f>
        <v>4.4592531492616154E-2</v>
      </c>
      <c r="H22" s="68">
        <f>'Table T9'!H22*'Table T9'!B22/'Table T10'!B22</f>
        <v>4.6837955626946037E-3</v>
      </c>
      <c r="I22" s="434">
        <f>'Table T5'!J26</f>
        <v>397.70299999999997</v>
      </c>
      <c r="J22" s="59">
        <f>(RawData!BB52/1000)/'Table T10'!$I22</f>
        <v>0.10047698910996397</v>
      </c>
      <c r="K22" s="59">
        <f>(RawData!AZ52/1000)/'Table T10'!$I22</f>
        <v>3.7905170441258927E-2</v>
      </c>
      <c r="L22" s="54">
        <f>((RawData!BD52+RawData!BE52+RawData!BF52+RawData!BG52+RawData!BH52+RawData!BI52)/1000)/'Table T10'!I22</f>
        <v>9.1472782453237714E-2</v>
      </c>
      <c r="M22" s="54">
        <f>((RawData!BA52+RawData!BC52)/1000)/'Table T10'!I22</f>
        <v>7.040429667364843E-3</v>
      </c>
      <c r="N22" s="54">
        <f>((RawData!BJ52+RawData!BM52)/1000)/'Table T10'!I22</f>
        <v>3.5272552633497864E-2</v>
      </c>
      <c r="O22" s="68">
        <f>'Table T9'!O22*'Table T9'!I22/'Table T10'!I22</f>
        <v>5.330611033861662E-4</v>
      </c>
      <c r="P22" s="434">
        <f t="shared" si="1"/>
        <v>846.15999999999985</v>
      </c>
      <c r="Q22" s="59">
        <f t="shared" si="3"/>
        <v>2.1303299612366454E-2</v>
      </c>
      <c r="R22" s="59">
        <f t="shared" si="2"/>
        <v>2.4922000567268607E-2</v>
      </c>
      <c r="S22" s="54">
        <f t="shared" si="2"/>
        <v>6.5752339982981967E-2</v>
      </c>
      <c r="T22" s="54">
        <f t="shared" si="2"/>
        <v>3.5087926633260861E-3</v>
      </c>
      <c r="U22" s="54">
        <f t="shared" si="2"/>
        <v>4.89730074690366E-2</v>
      </c>
      <c r="V22" s="437">
        <f t="shared" si="2"/>
        <v>6.634679020516226E-3</v>
      </c>
    </row>
    <row r="23" spans="1:22" ht="15">
      <c r="A23" s="18">
        <v>1995</v>
      </c>
      <c r="B23" s="384">
        <f>'Table T5'!B27</f>
        <v>1648.002</v>
      </c>
      <c r="C23" s="54">
        <f>(RawData!AM53/1000)/'Table T10'!B23</f>
        <v>4.3042423492204503E-2</v>
      </c>
      <c r="D23" s="54">
        <f>(RawData!AK53/1000)/'Table T10'!B23</f>
        <v>3.0180181820167695E-2</v>
      </c>
      <c r="E23" s="54">
        <f>((RawData!AO53+RawData!AP53+RawData!AQ53+RawData!AR53+RawData!AS53+RawData!AT53)/1000)/'Table T10'!B23</f>
        <v>9.5568451980034011E-2</v>
      </c>
      <c r="F23" s="54">
        <f>((RawData!AN53+RawData!AL53)/1000)/'Table T10'!B23</f>
        <v>5.8313036027868893E-3</v>
      </c>
      <c r="G23" s="54">
        <f>((RawData!AU53+RawData!AX53)/1000)/'Table T10'!B23</f>
        <v>5.233852871537778E-2</v>
      </c>
      <c r="H23" s="68">
        <f>'Table T9'!H23*'Table T9'!B23/'Table T10'!B23</f>
        <v>3.9041214755807323E-3</v>
      </c>
      <c r="I23" s="434">
        <f>'Table T5'!J27</f>
        <v>546.54100000000005</v>
      </c>
      <c r="J23" s="59">
        <f>(RawData!BB53/1000)/'Table T10'!$I23</f>
        <v>9.0602534850999283E-2</v>
      </c>
      <c r="K23" s="59">
        <f>(RawData!AZ53/1000)/'Table T10'!$I23</f>
        <v>3.7085964273494573E-2</v>
      </c>
      <c r="L23" s="54">
        <f>((RawData!BD53+RawData!BE53+RawData!BF53+RawData!BG53+RawData!BH53+RawData!BI53)/1000)/'Table T10'!I23</f>
        <v>0.10171972459522706</v>
      </c>
      <c r="M23" s="54">
        <f>((RawData!BA53+RawData!BC53)/1000)/'Table T10'!I23</f>
        <v>9.7467527596282796E-3</v>
      </c>
      <c r="N23" s="54">
        <f>((RawData!BJ53+RawData!BM53)/1000)/'Table T10'!I23</f>
        <v>4.7579230103505496E-2</v>
      </c>
      <c r="O23" s="68">
        <f>'Table T9'!O23*'Table T9'!I23/'Table T10'!I23</f>
        <v>4.885269357651368E-4</v>
      </c>
      <c r="P23" s="434">
        <f t="shared" si="1"/>
        <v>1101.4609999999998</v>
      </c>
      <c r="Q23" s="59">
        <f t="shared" si="3"/>
        <v>1.9443266715752989E-2</v>
      </c>
      <c r="R23" s="59">
        <f t="shared" si="2"/>
        <v>2.6753557320685899E-2</v>
      </c>
      <c r="S23" s="54">
        <f t="shared" si="2"/>
        <v>9.2516212557684788E-2</v>
      </c>
      <c r="T23" s="54">
        <f t="shared" si="2"/>
        <v>3.8884717661360688E-3</v>
      </c>
      <c r="U23" s="54">
        <f t="shared" si="2"/>
        <v>5.4700075626826564E-2</v>
      </c>
      <c r="V23" s="437">
        <f t="shared" si="2"/>
        <v>5.5989272429981495E-3</v>
      </c>
    </row>
    <row r="24" spans="1:22" ht="15">
      <c r="A24" s="18">
        <v>1996</v>
      </c>
      <c r="B24" s="384">
        <f>'Table T5'!B28</f>
        <v>2016.5720000000001</v>
      </c>
      <c r="C24" s="54">
        <f>(RawData!AM54/1000)/'Table T10'!B24</f>
        <v>4.2024286759907409E-2</v>
      </c>
      <c r="D24" s="54">
        <f>(RawData!AK54/1000)/'Table T10'!B24</f>
        <v>3.0335143005060072E-2</v>
      </c>
      <c r="E24" s="54">
        <f>((RawData!AO54+RawData!AP54+RawData!AQ54+RawData!AR54+RawData!AS54+RawData!AT54)/1000)/'Table T10'!B24</f>
        <v>0.10084390738342097</v>
      </c>
      <c r="F24" s="54">
        <f>((RawData!AN54+RawData!AL54)/1000)/'Table T10'!B24</f>
        <v>7.3818341224612853E-3</v>
      </c>
      <c r="G24" s="54">
        <f>((RawData!AU54+RawData!AX54)/1000)/'Table T10'!B24</f>
        <v>5.4763231860801398E-2</v>
      </c>
      <c r="H24" s="68">
        <f>'Table T9'!H24*'Table T9'!B24/'Table T10'!B24</f>
        <v>3.2763521461172673E-3</v>
      </c>
      <c r="I24" s="434">
        <f>'Table T5'!J28</f>
        <v>675.35400000000004</v>
      </c>
      <c r="J24" s="59">
        <f>(RawData!BB54/1000)/'Table T10'!$I24</f>
        <v>9.1035220047560234E-2</v>
      </c>
      <c r="K24" s="59">
        <f>(RawData!AZ54/1000)/'Table T10'!$I24</f>
        <v>3.9487439180044832E-2</v>
      </c>
      <c r="L24" s="54">
        <f>((RawData!BD54+RawData!BE54+RawData!BF54+RawData!BG54+RawData!BH54+RawData!BI54)/1000)/'Table T10'!I24</f>
        <v>0.11535283717872404</v>
      </c>
      <c r="M24" s="54">
        <f>((RawData!BA54+RawData!BC54)/1000)/'Table T10'!I24</f>
        <v>1.0604808737343674E-2</v>
      </c>
      <c r="N24" s="54">
        <f>((RawData!BJ54+RawData!BM54)/1000)/'Table T10'!I24</f>
        <v>5.1297541733668559E-2</v>
      </c>
      <c r="O24" s="68">
        <f>'Table T9'!O24*'Table T9'!I24/'Table T10'!I24</f>
        <v>6.3522241668817936E-4</v>
      </c>
      <c r="P24" s="434">
        <f t="shared" si="1"/>
        <v>1341.2180000000001</v>
      </c>
      <c r="Q24" s="59">
        <f t="shared" si="3"/>
        <v>1.7345427812630019E-2</v>
      </c>
      <c r="R24" s="59">
        <f t="shared" si="2"/>
        <v>2.5726615658304617E-2</v>
      </c>
      <c r="S24" s="54">
        <f t="shared" si="2"/>
        <v>9.3538112372485313E-2</v>
      </c>
      <c r="T24" s="54">
        <f t="shared" si="2"/>
        <v>5.7589444818068342E-3</v>
      </c>
      <c r="U24" s="54">
        <f t="shared" si="2"/>
        <v>5.6508337943570686E-2</v>
      </c>
      <c r="V24" s="437">
        <f t="shared" si="2"/>
        <v>4.6062608763079238E-3</v>
      </c>
    </row>
    <row r="25" spans="1:22" ht="15">
      <c r="A25" s="18">
        <v>1997</v>
      </c>
      <c r="B25" s="384">
        <f>'Table T5'!B29</f>
        <v>2564.7939999999999</v>
      </c>
      <c r="C25" s="54">
        <f>(RawData!AM55/1000)/'Table T10'!B25</f>
        <v>4.6314050953020013E-2</v>
      </c>
      <c r="D25" s="54">
        <f>(RawData!AK55/1000)/'Table T10'!B25</f>
        <v>3.3920073113084329E-2</v>
      </c>
      <c r="E25" s="54">
        <f>((RawData!AO55+RawData!AP55+RawData!AQ55+RawData!AR55+RawData!AS55+RawData!AT55)/1000)/'Table T10'!B25</f>
        <v>9.873190595424039E-2</v>
      </c>
      <c r="F25" s="54">
        <f>((RawData!AN55+RawData!AL55)/1000)/'Table T10'!B25</f>
        <v>9.4604089061343724E-3</v>
      </c>
      <c r="G25" s="54">
        <f>((RawData!AU55+RawData!AX55)/1000)/'Table T10'!B25</f>
        <v>5.3147348286061186E-2</v>
      </c>
      <c r="H25" s="68">
        <f>'Table T9'!H25*'Table T9'!B25/'Table T10'!B25</f>
        <v>1.7291837083212099E-3</v>
      </c>
      <c r="I25" s="434">
        <f>'Table T5'!J29</f>
        <v>953.77</v>
      </c>
      <c r="J25" s="59">
        <f>(RawData!BB55/1000)/'Table T10'!$I25</f>
        <v>9.187959361271586E-2</v>
      </c>
      <c r="K25" s="59">
        <f>(RawData!AZ55/1000)/'Table T10'!$I25</f>
        <v>4.4715182905731995E-2</v>
      </c>
      <c r="L25" s="54">
        <f>((RawData!BD55+RawData!BE55+RawData!BF55+RawData!BG55+RawData!BH55+RawData!BI55)/1000)/'Table T10'!I25</f>
        <v>0.11720226050305631</v>
      </c>
      <c r="M25" s="54">
        <f>((RawData!BA55+RawData!BC55)/1000)/'Table T10'!I25</f>
        <v>1.2303804900552544E-2</v>
      </c>
      <c r="N25" s="54">
        <f>((RawData!BJ55+RawData!BM55)/1000)/'Table T10'!I25</f>
        <v>4.5507826834561796E-2</v>
      </c>
      <c r="O25" s="68">
        <f>'Table T9'!O25*'Table T9'!I25/'Table T10'!I25</f>
        <v>5.2004151944387708E-4</v>
      </c>
      <c r="P25" s="434">
        <f t="shared" si="1"/>
        <v>1611.0239999999999</v>
      </c>
      <c r="Q25" s="59">
        <f t="shared" si="3"/>
        <v>1.9338011103496904E-2</v>
      </c>
      <c r="R25" s="59">
        <f t="shared" si="2"/>
        <v>2.7529074675485904E-2</v>
      </c>
      <c r="S25" s="54">
        <f t="shared" si="2"/>
        <v>8.7796953987029358E-2</v>
      </c>
      <c r="T25" s="54">
        <f t="shared" si="2"/>
        <v>7.7770411862268969E-3</v>
      </c>
      <c r="U25" s="54">
        <f t="shared" si="2"/>
        <v>5.7670152648253543E-2</v>
      </c>
      <c r="V25" s="437">
        <f t="shared" si="2"/>
        <v>2.4450287518994148E-3</v>
      </c>
    </row>
    <row r="26" spans="1:22" ht="15">
      <c r="A26" s="18">
        <v>1998</v>
      </c>
      <c r="B26" s="384">
        <f>'Table T5'!B30</f>
        <v>3054.3559999999998</v>
      </c>
      <c r="C26" s="54">
        <f>(RawData!AM56/1000)/'Table T10'!B26</f>
        <v>5.2251276537509057E-2</v>
      </c>
      <c r="D26" s="54">
        <f>(RawData!AK56/1000)/'Table T10'!B26</f>
        <v>4.1169071319780669E-2</v>
      </c>
      <c r="E26" s="54">
        <f>((RawData!AO56+RawData!AP56+RawData!AQ56+RawData!AR56+RawData!AS56+RawData!AT56)/1000)/'Table T10'!B26</f>
        <v>9.4465412676190991E-2</v>
      </c>
      <c r="F26" s="54">
        <f>((RawData!AN56+RawData!AL56)/1000)/'Table T10'!B26</f>
        <v>1.0909009951688671E-2</v>
      </c>
      <c r="G26" s="54">
        <f>((RawData!AU56+RawData!AX56)/1000)/'Table T10'!B26</f>
        <v>5.129919367617921E-2</v>
      </c>
      <c r="H26" s="68">
        <f>'Table T9'!H26*'Table T9'!B26/'Table T10'!B26</f>
        <v>1.2372493579661285E-3</v>
      </c>
      <c r="I26" s="434">
        <f>'Table T5'!J30</f>
        <v>1265.0650000000001</v>
      </c>
      <c r="J26" s="59">
        <f>(RawData!BB56/1000)/'Table T10'!$I26</f>
        <v>9.1671969424495972E-2</v>
      </c>
      <c r="K26" s="59">
        <f>(RawData!AZ56/1000)/'Table T10'!$I26</f>
        <v>5.0661428464150067E-2</v>
      </c>
      <c r="L26" s="54">
        <f>((RawData!BD56+RawData!BE56+RawData!BF56+RawData!BG56+RawData!BH56+RawData!BI56)/1000)/'Table T10'!I26</f>
        <v>0.11238948196337738</v>
      </c>
      <c r="M26" s="54">
        <f>((RawData!BA56+RawData!BC56)/1000)/'Table T10'!I26</f>
        <v>1.3599301221676357E-2</v>
      </c>
      <c r="N26" s="54">
        <f>((RawData!BJ56+RawData!BM56)/1000)/'Table T10'!I26</f>
        <v>3.4926268610703796E-2</v>
      </c>
      <c r="O26" s="68">
        <f>'Table T9'!O26*'Table T9'!I26/'Table T10'!I26</f>
        <v>4.9641718014487143E-4</v>
      </c>
      <c r="P26" s="434">
        <f t="shared" si="1"/>
        <v>1789.2909999999997</v>
      </c>
      <c r="Q26" s="59">
        <f t="shared" si="3"/>
        <v>2.4380047739579531E-2</v>
      </c>
      <c r="R26" s="59">
        <f t="shared" si="2"/>
        <v>3.4457782440083809E-2</v>
      </c>
      <c r="S26" s="54">
        <f t="shared" si="2"/>
        <v>8.1792732428654716E-2</v>
      </c>
      <c r="T26" s="54">
        <f t="shared" si="2"/>
        <v>9.0069195005172461E-3</v>
      </c>
      <c r="U26" s="54">
        <f t="shared" si="2"/>
        <v>6.2875183522411962E-2</v>
      </c>
      <c r="V26" s="437">
        <f t="shared" si="2"/>
        <v>1.7610327218993561E-3</v>
      </c>
    </row>
    <row r="27" spans="1:22" ht="15">
      <c r="A27" s="311">
        <v>1999</v>
      </c>
      <c r="B27" s="385">
        <f>'Table T5'!B31</f>
        <v>3409.4669999999996</v>
      </c>
      <c r="C27" s="396">
        <f>(RawData!AM57/1000)/'Table T10'!B27</f>
        <v>5.5093068799316733E-2</v>
      </c>
      <c r="D27" s="396">
        <f>(RawData!AK57/1000)/'Table T10'!B27</f>
        <v>4.6164987078625493E-2</v>
      </c>
      <c r="E27" s="396">
        <f>((RawData!AO57+RawData!AP57+RawData!AQ57+RawData!AR57+RawData!AS57+RawData!AT57)/1000)/'Table T10'!B27</f>
        <v>9.9684202838742839E-2</v>
      </c>
      <c r="F27" s="396">
        <f>((RawData!AN57+RawData!AL57)/1000)/'Table T10'!B27</f>
        <v>1.2739821209590826E-2</v>
      </c>
      <c r="G27" s="396">
        <f>((RawData!AU57+RawData!AX57)/1000)/'Table T10'!B27</f>
        <v>4.5063641912357566E-2</v>
      </c>
      <c r="H27" s="445">
        <f>'Table T9'!H27*'Table T9'!B27/'Table T10'!B27</f>
        <v>1.1113173994645089E-3</v>
      </c>
      <c r="I27" s="443">
        <f>'Table T5'!J31</f>
        <v>1624.5309999999999</v>
      </c>
      <c r="J27" s="398">
        <f>(RawData!BB57/1000)/'Table T10'!$I27</f>
        <v>8.8378738232757645E-2</v>
      </c>
      <c r="K27" s="398">
        <f>(RawData!AZ57/1000)/'Table T10'!$I27</f>
        <v>5.4918004027008409E-2</v>
      </c>
      <c r="L27" s="396">
        <f>((RawData!BD57+RawData!BE57+RawData!BF57+RawData!BG57+RawData!BH57+RawData!BI57)/1000)/'Table T10'!I27</f>
        <v>0.10725003093200437</v>
      </c>
      <c r="M27" s="396">
        <f>((RawData!BA57+RawData!BC57)/1000)/'Table T10'!I27</f>
        <v>1.5709764849054897E-2</v>
      </c>
      <c r="N27" s="396">
        <f>((RawData!BJ57+RawData!BM57)/1000)/'Table T10'!I27</f>
        <v>3.2709748228873438E-2</v>
      </c>
      <c r="O27" s="445">
        <f>'Table T9'!O27*'Table T9'!I27/'Table T10'!I27</f>
        <v>6.2418014799346254E-4</v>
      </c>
      <c r="P27" s="443">
        <f t="shared" si="1"/>
        <v>1784.9359999999997</v>
      </c>
      <c r="Q27" s="398">
        <f t="shared" si="3"/>
        <v>2.4798648242850156E-2</v>
      </c>
      <c r="R27" s="398">
        <f t="shared" si="3"/>
        <v>3.8198568464079395E-2</v>
      </c>
      <c r="S27" s="396">
        <f t="shared" si="3"/>
        <v>9.2798285204623604E-2</v>
      </c>
      <c r="T27" s="396">
        <f t="shared" si="3"/>
        <v>1.0036774427766598E-2</v>
      </c>
      <c r="U27" s="396">
        <f t="shared" si="3"/>
        <v>5.6307340991497749E-2</v>
      </c>
      <c r="V27" s="444">
        <f t="shared" si="3"/>
        <v>1.5546775906811747E-3</v>
      </c>
    </row>
    <row r="28" spans="1:22" ht="15">
      <c r="A28" s="18">
        <v>2000</v>
      </c>
      <c r="B28" s="384">
        <f>'Table T5'!B32</f>
        <v>3661.1289999999999</v>
      </c>
      <c r="C28" s="54">
        <f>(RawData!AM58/1000)/'Table T10'!B28</f>
        <v>4.8324437625661375E-2</v>
      </c>
      <c r="D28" s="54">
        <f>(RawData!AK58/1000)/'Table T10'!B28</f>
        <v>6.8324279204584157E-2</v>
      </c>
      <c r="E28" s="54">
        <f>((RawData!AO58+RawData!AP58+RawData!AQ58+RawData!AR58+RawData!AS58+RawData!AT58)/1000)/'Table T10'!B28</f>
        <v>7.9126138412495162E-2</v>
      </c>
      <c r="F28" s="54">
        <f>((RawData!AN58+RawData!AL58)/1000)/'Table T10'!B28</f>
        <v>2.7106938870495961E-2</v>
      </c>
      <c r="G28" s="54">
        <f>((RawData!AU58+RawData!AX58)/1000)/'Table T10'!B28</f>
        <v>4.2659245276525364E-2</v>
      </c>
      <c r="H28" s="68">
        <f>'Table T9'!H28*'Table T9'!B28/'Table T10'!B28</f>
        <v>1.1414511753068399E-3</v>
      </c>
      <c r="I28" s="434">
        <f>'Table T5'!J32</f>
        <v>1620.943</v>
      </c>
      <c r="J28" s="59">
        <f>(RawData!BB58/1000)/'Table T10'!$I28</f>
        <v>8.3467463075506038E-2</v>
      </c>
      <c r="K28" s="59">
        <f>(RawData!AZ58/1000)/'Table T10'!$I28</f>
        <v>6.713191025224205E-2</v>
      </c>
      <c r="L28" s="54">
        <f>((RawData!BD58+RawData!BE58+RawData!BF58+RawData!BG58+RawData!BH58+RawData!BI58)/1000)/'Table T10'!I28</f>
        <v>8.4358302543642807E-2</v>
      </c>
      <c r="M28" s="54">
        <f>((RawData!BA58+RawData!BC58)/1000)/'Table T10'!I28</f>
        <v>2.8960302737357203E-2</v>
      </c>
      <c r="N28" s="54">
        <f>((RawData!BJ58+RawData!BM58)/1000)/'Table T10'!I28</f>
        <v>3.6298006777536286E-2</v>
      </c>
      <c r="O28" s="68">
        <f>'Table T9'!O28*'Table T9'!I28/'Table T10'!I28</f>
        <v>6.5147263043797185E-4</v>
      </c>
      <c r="P28" s="434">
        <f t="shared" si="1"/>
        <v>2040.1859999999999</v>
      </c>
      <c r="Q28" s="59">
        <f t="shared" si="3"/>
        <v>2.0403041683454356E-2</v>
      </c>
      <c r="R28" s="59">
        <f t="shared" si="3"/>
        <v>6.9271625234169826E-2</v>
      </c>
      <c r="S28" s="54">
        <f t="shared" si="3"/>
        <v>7.4969144970115462E-2</v>
      </c>
      <c r="T28" s="54">
        <f t="shared" si="3"/>
        <v>2.5634427449261983E-2</v>
      </c>
      <c r="U28" s="54">
        <f t="shared" si="3"/>
        <v>4.7713296728827681E-2</v>
      </c>
      <c r="V28" s="437">
        <f t="shared" si="3"/>
        <v>1.5307427852166119E-3</v>
      </c>
    </row>
    <row r="29" spans="1:22" ht="15">
      <c r="A29" s="18">
        <v>2001</v>
      </c>
      <c r="B29" s="384">
        <f>'Table T5'!B33</f>
        <v>3934.1539999999995</v>
      </c>
      <c r="C29" s="54">
        <f>(RawData!AM59/1000)/'Table T10'!B29</f>
        <v>4.3889232602485825E-2</v>
      </c>
      <c r="D29" s="54">
        <f>(RawData!AK59/1000)/'Table T10'!B29</f>
        <v>8.9700352350213036E-2</v>
      </c>
      <c r="E29" s="54">
        <f>((RawData!AO59+RawData!AP59+RawData!AQ59+RawData!AR59+RawData!AS59+RawData!AT59)/1000)/'Table T10'!B29</f>
        <v>7.8350517036191267E-2</v>
      </c>
      <c r="F29" s="54">
        <f>((RawData!AN59+RawData!AL59)/1000)/'Table T10'!B29</f>
        <v>2.9652626714663437E-2</v>
      </c>
      <c r="G29" s="54">
        <f>((RawData!AU59+RawData!AX59)/1000)/'Table T10'!B29</f>
        <v>4.3686139383460845E-2</v>
      </c>
      <c r="H29" s="68">
        <f>'Table T9'!H29*'Table T9'!B29/'Table T10'!B29</f>
        <v>1.6290668845195275E-3</v>
      </c>
      <c r="I29" s="434">
        <f>'Table T5'!J33</f>
        <v>1573.079</v>
      </c>
      <c r="J29" s="59">
        <f>(RawData!BB59/1000)/'Table T10'!$I29</f>
        <v>7.7337501803787359E-2</v>
      </c>
      <c r="K29" s="59">
        <f>(RawData!AZ59/1000)/'Table T10'!$I29</f>
        <v>7.5062345883455311E-2</v>
      </c>
      <c r="L29" s="54">
        <f>((RawData!BD59+RawData!BE59+RawData!BF59+RawData!BG59+RawData!BH59+RawData!BI59)/1000)/'Table T10'!I29</f>
        <v>8.8231423850931828E-2</v>
      </c>
      <c r="M29" s="54">
        <f>((RawData!BA59+RawData!BC59)/1000)/'Table T10'!I29</f>
        <v>3.183756187705767E-2</v>
      </c>
      <c r="N29" s="54">
        <f>((RawData!BJ59+RawData!BM59)/1000)/'Table T10'!I29</f>
        <v>4.2585909544275907E-2</v>
      </c>
      <c r="O29" s="68">
        <f>'Table T9'!O29*'Table T9'!I29/'Table T10'!I29</f>
        <v>5.2190640139500864E-4</v>
      </c>
      <c r="P29" s="434">
        <f t="shared" si="1"/>
        <v>2361.0749999999998</v>
      </c>
      <c r="Q29" s="59">
        <f t="shared" si="3"/>
        <v>2.1604142180998057E-2</v>
      </c>
      <c r="R29" s="59">
        <f t="shared" si="3"/>
        <v>9.9453003398875514E-2</v>
      </c>
      <c r="S29" s="54">
        <f t="shared" si="3"/>
        <v>7.1767309382378797E-2</v>
      </c>
      <c r="T29" s="54">
        <f t="shared" si="3"/>
        <v>2.8196901834969243E-2</v>
      </c>
      <c r="U29" s="54">
        <f t="shared" si="3"/>
        <v>4.4419173469711894E-2</v>
      </c>
      <c r="V29" s="437">
        <f t="shared" si="3"/>
        <v>2.3667185498131055E-3</v>
      </c>
    </row>
    <row r="30" spans="1:22" ht="15">
      <c r="A30" s="18">
        <v>2002</v>
      </c>
      <c r="B30" s="384">
        <f>'Table T5'!B34</f>
        <v>4049.1880000000001</v>
      </c>
      <c r="C30" s="54">
        <f>(RawData!AM60/1000)/'Table T10'!B30</f>
        <v>3.8894958692952758E-2</v>
      </c>
      <c r="D30" s="54">
        <f>(RawData!AK60/1000)/'Table T10'!B30</f>
        <v>0.10980003892138374</v>
      </c>
      <c r="E30" s="54">
        <f>((RawData!AO60+RawData!AP60+RawData!AQ60+RawData!AR60+RawData!AS60+RawData!AT60)/1000)/'Table T10'!B30</f>
        <v>8.5821898118832715E-2</v>
      </c>
      <c r="F30" s="54">
        <f>((RawData!AN60+RawData!AL60)/1000)/'Table T10'!B30</f>
        <v>2.8605241347154045E-2</v>
      </c>
      <c r="G30" s="54">
        <f>((RawData!AU60+RawData!AX60)/1000)/'Table T10'!B30</f>
        <v>3.8321263423679017E-2</v>
      </c>
      <c r="H30" s="68">
        <f>'Table T9'!H30*'Table T9'!B30/'Table T10'!B30</f>
        <v>2.2411900855183573E-3</v>
      </c>
      <c r="I30" s="434">
        <f>'Table T5'!J34</f>
        <v>1328.771</v>
      </c>
      <c r="J30" s="59">
        <f>(RawData!BB60/1000)/'Table T10'!$I30</f>
        <v>7.2644571562744828E-2</v>
      </c>
      <c r="K30" s="59">
        <f>(RawData!AZ60/1000)/'Table T10'!$I30</f>
        <v>7.734515578681353E-2</v>
      </c>
      <c r="L30" s="54">
        <f>((RawData!BD60+RawData!BE60+RawData!BF60+RawData!BG60+RawData!BH60+RawData!BI60)/1000)/'Table T10'!I30</f>
        <v>0.10069154128137955</v>
      </c>
      <c r="M30" s="54">
        <f>((RawData!BA60+RawData!BC60)/1000)/'Table T10'!I30</f>
        <v>3.3178026913591584E-2</v>
      </c>
      <c r="N30" s="54">
        <f>((RawData!BJ60+RawData!BM60)/1000)/'Table T10'!I30</f>
        <v>5.0022163337399748E-2</v>
      </c>
      <c r="O30" s="68">
        <f>'Table T9'!O30*'Table T9'!I30/'Table T10'!I30</f>
        <v>4.2068949427704369E-4</v>
      </c>
      <c r="P30" s="434">
        <f t="shared" si="1"/>
        <v>2720.4170000000004</v>
      </c>
      <c r="Q30" s="59">
        <f t="shared" si="3"/>
        <v>2.2410167264798001E-2</v>
      </c>
      <c r="R30" s="59">
        <f t="shared" si="3"/>
        <v>0.12565242755062916</v>
      </c>
      <c r="S30" s="54">
        <f t="shared" si="3"/>
        <v>7.8558912107959913E-2</v>
      </c>
      <c r="T30" s="54">
        <f t="shared" si="3"/>
        <v>2.6371692280999566E-2</v>
      </c>
      <c r="U30" s="54">
        <f t="shared" si="3"/>
        <v>3.2606030619570445E-2</v>
      </c>
      <c r="V30" s="437">
        <f t="shared" si="3"/>
        <v>3.1304024346267153E-3</v>
      </c>
    </row>
    <row r="31" spans="1:22" ht="15">
      <c r="A31" s="18">
        <v>2003</v>
      </c>
      <c r="B31" s="384">
        <f>'Table T5'!B35</f>
        <v>4980.7690000000002</v>
      </c>
      <c r="C31" s="54">
        <f>(RawData!AM61/1000)/'Table T10'!B31</f>
        <v>4.0696125437658319E-2</v>
      </c>
      <c r="D31" s="54">
        <f>(RawData!AK61/1000)/'Table T10'!B31</f>
        <v>0.1200475267975688</v>
      </c>
      <c r="E31" s="54">
        <f>((RawData!AO61+RawData!AP61+RawData!AQ61+RawData!AR61+RawData!AS61+RawData!AT61)/1000)/'Table T10'!B31</f>
        <v>9.6276900213601552E-2</v>
      </c>
      <c r="F31" s="54">
        <f>((RawData!AN61+RawData!AL61)/1000)/'Table T10'!B31</f>
        <v>3.049248017725777E-2</v>
      </c>
      <c r="G31" s="54">
        <f>((RawData!AU61+RawData!AX61)/1000)/'Table T10'!B31</f>
        <v>3.6286565387794539E-2</v>
      </c>
      <c r="H31" s="68">
        <f>'Table T9'!H31*'Table T9'!B31/'Table T10'!B31</f>
        <v>1.6459305781898451E-3</v>
      </c>
      <c r="I31" s="434">
        <f>'Table T5'!J35</f>
        <v>1838.8789999999999</v>
      </c>
      <c r="J31" s="59">
        <f>(RawData!BB61/1000)/'Table T10'!$I31</f>
        <v>6.7159394391909419E-2</v>
      </c>
      <c r="K31" s="59">
        <f>(RawData!AZ61/1000)/'Table T10'!$I31</f>
        <v>7.6269836133861998E-2</v>
      </c>
      <c r="L31" s="54">
        <f>((RawData!BD61+RawData!BE61+RawData!BF61+RawData!BG61+RawData!BH61+RawData!BI61)/1000)/'Table T10'!I31</f>
        <v>0.113714931760056</v>
      </c>
      <c r="M31" s="54">
        <f>((RawData!BA61+RawData!BC61)/1000)/'Table T10'!I31</f>
        <v>3.6297657431511268E-2</v>
      </c>
      <c r="N31" s="54">
        <f>((RawData!BJ61+RawData!BM61)/1000)/'Table T10'!I31</f>
        <v>5.1838103540254692E-2</v>
      </c>
      <c r="O31" s="68">
        <f>'Table T9'!O31*'Table T9'!I31/'Table T10'!I31</f>
        <v>6.7432386796518714E-4</v>
      </c>
      <c r="P31" s="434">
        <f t="shared" si="1"/>
        <v>3141.8900000000003</v>
      </c>
      <c r="Q31" s="59">
        <f t="shared" si="3"/>
        <v>2.5207757114348372E-2</v>
      </c>
      <c r="R31" s="59">
        <f t="shared" si="3"/>
        <v>0.14566964470430216</v>
      </c>
      <c r="S31" s="54">
        <f t="shared" si="3"/>
        <v>8.6070804515753246E-2</v>
      </c>
      <c r="T31" s="54">
        <f t="shared" si="3"/>
        <v>2.7094837820547505E-2</v>
      </c>
      <c r="U31" s="54">
        <f t="shared" si="3"/>
        <v>2.718459271330315E-2</v>
      </c>
      <c r="V31" s="437">
        <f t="shared" si="3"/>
        <v>2.214590580828769E-3</v>
      </c>
    </row>
    <row r="32" spans="1:22" ht="15">
      <c r="A32" s="18">
        <v>2004</v>
      </c>
      <c r="B32" s="384">
        <f>'Table T5'!B36</f>
        <v>5971.9140000000007</v>
      </c>
      <c r="C32" s="54">
        <f>(RawData!AM62/1000)/'Table T10'!B32</f>
        <v>3.899922202496553E-2</v>
      </c>
      <c r="D32" s="54">
        <f>(RawData!AK62/1000)/'Table T10'!B32</f>
        <v>0.12127502170995763</v>
      </c>
      <c r="E32" s="54">
        <f>((RawData!AO62+RawData!AP62+RawData!AQ62+RawData!AR62+RawData!AS62+RawData!AT62)/1000)/'Table T10'!B32</f>
        <v>9.7314696762210565E-2</v>
      </c>
      <c r="F32" s="54">
        <f>((RawData!AN62+RawData!AL62)/1000)/'Table T10'!B32</f>
        <v>3.0613468311834358E-2</v>
      </c>
      <c r="G32" s="54">
        <f>((RawData!AU62+RawData!AX62)/1000)/'Table T10'!B32</f>
        <v>3.2795348359001816E-2</v>
      </c>
      <c r="H32" s="68">
        <f>'Table T9'!H32*'Table T9'!B32/'Table T10'!B32</f>
        <v>1.7758125786808009E-3</v>
      </c>
      <c r="I32" s="434">
        <f>'Table T5'!J36</f>
        <v>2124.3580000000002</v>
      </c>
      <c r="J32" s="59">
        <f>(RawData!BB62/1000)/'Table T10'!$I32</f>
        <v>6.333489929663455E-2</v>
      </c>
      <c r="K32" s="59">
        <f>(RawData!AZ62/1000)/'Table T10'!$I32</f>
        <v>7.6426383876917164E-2</v>
      </c>
      <c r="L32" s="54">
        <f>((RawData!BD62+RawData!BE62+RawData!BF62+RawData!BG62+RawData!BH62+RawData!BI62)/1000)/'Table T10'!I32</f>
        <v>0.11286092080525033</v>
      </c>
      <c r="M32" s="54">
        <f>((RawData!BA62+RawData!BC62)/1000)/'Table T10'!I32</f>
        <v>3.6000994182713082E-2</v>
      </c>
      <c r="N32" s="54">
        <f>((RawData!BJ62+RawData!BM62)/1000)/'Table T10'!I32</f>
        <v>4.9094832415252039E-2</v>
      </c>
      <c r="O32" s="68">
        <f>'Table T9'!O32*'Table T9'!I32/'Table T10'!I32</f>
        <v>6.7832258028071473E-4</v>
      </c>
      <c r="P32" s="434">
        <f t="shared" si="1"/>
        <v>3847.5560000000005</v>
      </c>
      <c r="Q32" s="59">
        <f t="shared" si="3"/>
        <v>2.5562720854485296E-2</v>
      </c>
      <c r="R32" s="59">
        <f t="shared" si="3"/>
        <v>0.14603738061252389</v>
      </c>
      <c r="S32" s="54">
        <f t="shared" si="3"/>
        <v>8.8731132178453007E-2</v>
      </c>
      <c r="T32" s="54">
        <f t="shared" si="3"/>
        <v>2.763884398303754E-2</v>
      </c>
      <c r="U32" s="54">
        <f t="shared" si="3"/>
        <v>2.3795884972174539E-2</v>
      </c>
      <c r="V32" s="437">
        <f t="shared" si="3"/>
        <v>2.3817717013085702E-3</v>
      </c>
    </row>
    <row r="33" spans="1:22" ht="15">
      <c r="A33" s="18">
        <v>2005</v>
      </c>
      <c r="B33" s="384">
        <f>'Table T5'!B37</f>
        <v>6733.3159999999998</v>
      </c>
      <c r="C33" s="54">
        <f>(RawData!AM63/1000)/'Table T10'!B33</f>
        <v>3.5772418820088053E-2</v>
      </c>
      <c r="D33" s="54">
        <f>(RawData!AK63/1000)/'Table T10'!B33</f>
        <v>0.11792569961071186</v>
      </c>
      <c r="E33" s="54">
        <f>((RawData!AO63+RawData!AP63+RawData!AQ63+RawData!AR63+RawData!AS63+RawData!AT63)/1000)/'Table T10'!B33</f>
        <v>0.10017456480581038</v>
      </c>
      <c r="F33" s="54">
        <f>((RawData!AN63+RawData!AL63)/1000)/'Table T10'!B33</f>
        <v>3.1482110746027664E-2</v>
      </c>
      <c r="G33" s="54">
        <f>((RawData!AU63+RawData!AX63)/1000)/'Table T10'!B33</f>
        <v>3.4443058962330006E-2</v>
      </c>
      <c r="H33" s="68">
        <f>'Table T9'!H33*'Table T9'!B33/'Table T10'!B33</f>
        <v>2.3103029770176497E-3</v>
      </c>
      <c r="I33" s="434">
        <f>'Table T5'!J37</f>
        <v>2308.9340000000002</v>
      </c>
      <c r="J33" s="59">
        <f>(RawData!BB63/1000)/'Table T10'!$I33</f>
        <v>6.1748841673257011E-2</v>
      </c>
      <c r="K33" s="59">
        <f>(RawData!AZ63/1000)/'Table T10'!$I33</f>
        <v>8.3567135310060825E-2</v>
      </c>
      <c r="L33" s="54">
        <f>((RawData!BD63+RawData!BE63+RawData!BF63+RawData!BG63+RawData!BH63+RawData!BI63)/1000)/'Table T10'!I33</f>
        <v>0.117417388283944</v>
      </c>
      <c r="M33" s="54">
        <f>((RawData!BA63+RawData!BC63)/1000)/'Table T10'!I33</f>
        <v>3.6377393203963382E-2</v>
      </c>
      <c r="N33" s="54">
        <f>((RawData!BJ63+RawData!BM63)/1000)/'Table T10'!I33</f>
        <v>5.1888880323127468E-2</v>
      </c>
      <c r="O33" s="68">
        <f>'Table T9'!O33*'Table T9'!I33/'Table T10'!I33</f>
        <v>4.1837488641942869E-4</v>
      </c>
      <c r="P33" s="434">
        <f t="shared" si="1"/>
        <v>4424.3819999999996</v>
      </c>
      <c r="Q33" s="59">
        <f t="shared" si="3"/>
        <v>2.2216210083125732E-2</v>
      </c>
      <c r="R33" s="59">
        <f t="shared" si="3"/>
        <v>0.13585626195929737</v>
      </c>
      <c r="S33" s="54">
        <f t="shared" si="3"/>
        <v>9.1176123580649235E-2</v>
      </c>
      <c r="T33" s="54">
        <f t="shared" si="3"/>
        <v>2.8927429864781123E-2</v>
      </c>
      <c r="U33" s="54">
        <f t="shared" si="3"/>
        <v>2.5338680068764413E-2</v>
      </c>
      <c r="V33" s="437">
        <f t="shared" si="3"/>
        <v>3.2976356923974056E-3</v>
      </c>
    </row>
    <row r="34" spans="1:22" ht="15">
      <c r="A34" s="18">
        <v>2006</v>
      </c>
      <c r="B34" s="384">
        <f>'Table T5'!B38</f>
        <v>8221.7380000000012</v>
      </c>
      <c r="C34" s="54">
        <f>(RawData!AM64/1000)/'Table T10'!B34</f>
        <v>3.6005647467725187E-2</v>
      </c>
      <c r="D34" s="54">
        <f>(RawData!AK64/1000)/'Table T10'!B34</f>
        <v>0.11811322618161754</v>
      </c>
      <c r="E34" s="54">
        <f>((RawData!AO64+RawData!AP64+RawData!AQ64+RawData!AR64+RawData!AS64+RawData!AT64)/1000)/'Table T10'!B34</f>
        <v>0.10727561496121621</v>
      </c>
      <c r="F34" s="54">
        <f>((RawData!AN64+RawData!AL64)/1000)/'Table T10'!B34</f>
        <v>3.4344563156841042E-2</v>
      </c>
      <c r="G34" s="54">
        <f>((RawData!AU64+RawData!AX64)/1000)/'Table T10'!B34</f>
        <v>3.3491215604291934E-2</v>
      </c>
      <c r="H34" s="68">
        <f>'Table T9'!H34*'Table T9'!B34/'Table T10'!B34</f>
        <v>2.2675254307544033E-3</v>
      </c>
      <c r="I34" s="434">
        <f>'Table T5'!J38</f>
        <v>2787.3429999999998</v>
      </c>
      <c r="J34" s="59">
        <f>(RawData!BB64/1000)/'Table T10'!$I34</f>
        <v>5.9822203438902211E-2</v>
      </c>
      <c r="K34" s="59">
        <f>(RawData!AZ64/1000)/'Table T10'!$I34</f>
        <v>8.7291015135202238E-2</v>
      </c>
      <c r="L34" s="54">
        <f>((RawData!BD64+RawData!BE64+RawData!BF64+RawData!BG64+RawData!BH64+RawData!BI64)/1000)/'Table T10'!I34</f>
        <v>0.12152648597607112</v>
      </c>
      <c r="M34" s="54">
        <f>((RawData!BA64+RawData!BC64)/1000)/'Table T10'!I34</f>
        <v>3.4306147467319241E-2</v>
      </c>
      <c r="N34" s="54">
        <f>((RawData!BJ64+RawData!BM64)/1000)/'Table T10'!I34</f>
        <v>4.5460138920828903E-2</v>
      </c>
      <c r="O34" s="68">
        <f>'Table T9'!O34*'Table T9'!I34/'Table T10'!I34</f>
        <v>4.1150299765760134E-4</v>
      </c>
      <c r="P34" s="434">
        <f t="shared" si="1"/>
        <v>5434.3950000000013</v>
      </c>
      <c r="Q34" s="59">
        <f t="shared" si="3"/>
        <v>2.3789952699426516E-2</v>
      </c>
      <c r="R34" s="59">
        <f t="shared" si="3"/>
        <v>0.13392217532954448</v>
      </c>
      <c r="S34" s="54">
        <f t="shared" si="3"/>
        <v>9.9966233591779738E-2</v>
      </c>
      <c r="T34" s="54">
        <f t="shared" si="3"/>
        <v>3.4364266859512417E-2</v>
      </c>
      <c r="U34" s="54">
        <f t="shared" si="3"/>
        <v>2.7352262763380278E-2</v>
      </c>
      <c r="V34" s="437">
        <f t="shared" si="3"/>
        <v>3.2194936142845546E-3</v>
      </c>
    </row>
    <row r="35" spans="1:22" ht="15">
      <c r="A35" s="18">
        <v>2007</v>
      </c>
      <c r="B35" s="384">
        <f>'Table T5'!B39</f>
        <v>9484.6759999999995</v>
      </c>
      <c r="C35" s="54">
        <f>(RawData!AM65/1000)/'Table T10'!B35</f>
        <v>3.3271458086707444E-2</v>
      </c>
      <c r="D35" s="54">
        <f>(RawData!AK65/1000)/'Table T10'!B35</f>
        <v>0.11252382263769474</v>
      </c>
      <c r="E35" s="54">
        <f>((RawData!AO65+RawData!AP65+RawData!AQ65+RawData!AR65+RawData!AS65+RawData!AT65)/1000)/'Table T10'!B35</f>
        <v>0.11369223366196168</v>
      </c>
      <c r="F35" s="54">
        <f>((RawData!AN65+RawData!AL65)/1000)/'Table T10'!B35</f>
        <v>3.5593308616973317E-2</v>
      </c>
      <c r="G35" s="54">
        <f>((RawData!AU65+RawData!AX65)/1000)/'Table T10'!B35</f>
        <v>3.1875733024512388E-2</v>
      </c>
      <c r="H35" s="68">
        <f>'Table T9'!H35*'Table T9'!B35/'Table T10'!B35</f>
        <v>2.8858128627693605E-3</v>
      </c>
      <c r="I35" s="434">
        <f>'Table T5'!J39</f>
        <v>3231.8319999999999</v>
      </c>
      <c r="J35" s="59">
        <f>(RawData!BB65/1000)/'Table T10'!$I35</f>
        <v>5.5233069045668215E-2</v>
      </c>
      <c r="K35" s="59">
        <f>(RawData!AZ65/1000)/'Table T10'!$I35</f>
        <v>7.5987241911089437E-2</v>
      </c>
      <c r="L35" s="54">
        <f>((RawData!BD65+RawData!BE65+RawData!BF65+RawData!BG65+RawData!BH65+RawData!BI65)/1000)/'Table T10'!I35</f>
        <v>0.13793662541864801</v>
      </c>
      <c r="M35" s="54">
        <f>((RawData!BA65+RawData!BC65)/1000)/'Table T10'!I35</f>
        <v>3.162757222528894E-2</v>
      </c>
      <c r="N35" s="54">
        <f>((RawData!BJ65+RawData!BM65)/1000)/'Table T10'!I35</f>
        <v>4.2577398825186463E-2</v>
      </c>
      <c r="O35" s="68">
        <f>'Table T9'!O35*'Table T9'!I35/'Table T10'!I35</f>
        <v>6.2750786550783415E-4</v>
      </c>
      <c r="P35" s="434">
        <f t="shared" si="1"/>
        <v>6252.8439999999991</v>
      </c>
      <c r="Q35" s="59">
        <f t="shared" si="3"/>
        <v>2.1920425329657999E-2</v>
      </c>
      <c r="R35" s="59">
        <f t="shared" si="3"/>
        <v>0.1314080440836202</v>
      </c>
      <c r="S35" s="54">
        <f t="shared" si="3"/>
        <v>0.10116132754951189</v>
      </c>
      <c r="T35" s="54">
        <f t="shared" si="3"/>
        <v>3.7643030915212344E-2</v>
      </c>
      <c r="U35" s="54">
        <f t="shared" si="3"/>
        <v>2.6344492202268293E-2</v>
      </c>
      <c r="V35" s="437">
        <f t="shared" si="3"/>
        <v>4.0530357066320436E-3</v>
      </c>
    </row>
    <row r="36" spans="1:22" ht="15">
      <c r="A36" s="18">
        <v>2008</v>
      </c>
      <c r="B36" s="384">
        <f>'Table T5'!B40</f>
        <v>8276.2219999999998</v>
      </c>
      <c r="C36" s="54">
        <f>(RawData!AM66/1000)/'Table T10'!B36</f>
        <v>3.1821161877967991E-2</v>
      </c>
      <c r="D36" s="54">
        <f>(RawData!AK66/1000)/'Table T10'!B36</f>
        <v>0.10398645662235741</v>
      </c>
      <c r="E36" s="54">
        <f>((RawData!AO66+RawData!AP66+RawData!AQ66+RawData!AR66+RawData!AS66+RawData!AT66)/1000)/'Table T10'!B36</f>
        <v>9.9097752573577655E-2</v>
      </c>
      <c r="F36" s="54">
        <f>((RawData!AN66+RawData!AL66)/1000)/'Table T10'!B36</f>
        <v>3.1887617321043345E-2</v>
      </c>
      <c r="G36" s="54">
        <f>((RawData!AU66+RawData!AX66)/1000)/'Table T10'!B36</f>
        <v>3.2985823724883165E-2</v>
      </c>
      <c r="H36" s="68">
        <f>'Table T9'!H36*'Table T9'!B36/'Table T10'!B36</f>
        <v>3.7126843625026147E-3</v>
      </c>
      <c r="I36" s="434">
        <f>'Table T5'!J40</f>
        <v>2115.348</v>
      </c>
      <c r="J36" s="59">
        <f>(RawData!BB66/1000)/'Table T10'!$I36</f>
        <v>5.6606288894309589E-2</v>
      </c>
      <c r="K36" s="59">
        <f>(RawData!AZ66/1000)/'Table T10'!$I36</f>
        <v>6.9011339978102895E-2</v>
      </c>
      <c r="L36" s="54">
        <f>((RawData!BD66+RawData!BE66+RawData!BF66+RawData!BG66+RawData!BH66+RawData!BI66)/1000)/'Table T10'!I36</f>
        <v>0.13041069365418834</v>
      </c>
      <c r="M36" s="54">
        <f>((RawData!BA66+RawData!BC66)/1000)/'Table T10'!I36</f>
        <v>3.1443053341577841E-2</v>
      </c>
      <c r="N36" s="54">
        <f>((RawData!BJ66+RawData!BM66)/1000)/'Table T10'!I36</f>
        <v>4.3162638015116189E-2</v>
      </c>
      <c r="O36" s="68">
        <f>'Table T9'!O36*'Table T9'!I36/'Table T10'!I36</f>
        <v>7.3983098761998332E-4</v>
      </c>
      <c r="P36" s="434">
        <f t="shared" si="1"/>
        <v>6160.8739999999998</v>
      </c>
      <c r="Q36" s="59">
        <f t="shared" si="3"/>
        <v>2.3311140594662376E-2</v>
      </c>
      <c r="R36" s="59">
        <f t="shared" si="3"/>
        <v>0.11599523054683476</v>
      </c>
      <c r="S36" s="54">
        <f t="shared" si="3"/>
        <v>8.834639370972365E-2</v>
      </c>
      <c r="T36" s="54">
        <f t="shared" si="3"/>
        <v>3.2040259222960894E-2</v>
      </c>
      <c r="U36" s="54">
        <f t="shared" si="3"/>
        <v>2.9491594861378433E-2</v>
      </c>
      <c r="V36" s="437">
        <f t="shared" si="3"/>
        <v>4.7334193168047517E-3</v>
      </c>
    </row>
    <row r="37" spans="1:22" ht="15">
      <c r="A37" s="311">
        <v>2009</v>
      </c>
      <c r="B37" s="385">
        <f>'Table T5'!B41</f>
        <v>9503.8230000000003</v>
      </c>
      <c r="C37" s="396">
        <f>(RawData!AM67/1000)/'Table T10'!B37</f>
        <v>3.7164728341426388E-2</v>
      </c>
      <c r="D37" s="396">
        <f>(RawData!AK67/1000)/'Table T10'!B37</f>
        <v>0.10382863822274467</v>
      </c>
      <c r="E37" s="396">
        <f>((RawData!AO67+RawData!AP67+RawData!AQ67+RawData!AR67+RawData!AS67+RawData!AT67)/1000)/'Table T10'!B37</f>
        <v>9.718257589603678E-2</v>
      </c>
      <c r="F37" s="396">
        <f>((RawData!AN67+RawData!AL67)/1000)/'Table T10'!B37</f>
        <v>3.2494292033847849E-2</v>
      </c>
      <c r="G37" s="396">
        <f>((RawData!AU67+RawData!AX67)/1000)/'Table T10'!B37</f>
        <v>3.7021207150006896E-2</v>
      </c>
      <c r="H37" s="445">
        <f>'Table T9'!H37*'Table T9'!B37/'Table T10'!B37</f>
        <v>3.3674869576169135E-3</v>
      </c>
      <c r="I37" s="443">
        <f>'Table T5'!J41</f>
        <v>2922.8020000000001</v>
      </c>
      <c r="J37" s="398">
        <f>(RawData!BB67/1000)/'Table T10'!$I37</f>
        <v>5.7993322845680269E-2</v>
      </c>
      <c r="K37" s="398">
        <f>(RawData!AZ67/1000)/'Table T10'!$I37</f>
        <v>6.7752451243703812E-2</v>
      </c>
      <c r="L37" s="396">
        <f>((RawData!BD67+RawData!BE67+RawData!BF67+RawData!BG67+RawData!BH67+RawData!BI67)/1000)/'Table T10'!I37</f>
        <v>0.1293888535727018</v>
      </c>
      <c r="M37" s="396">
        <f>((RawData!BA67+RawData!BC67)/1000)/'Table T10'!I37</f>
        <v>3.2918411852735835E-2</v>
      </c>
      <c r="N37" s="396">
        <f>((RawData!BJ67+RawData!BM67)/1000)/'Table T10'!I37</f>
        <v>4.4949332866201674E-2</v>
      </c>
      <c r="O37" s="445">
        <f>'Table T9'!O37*'Table T9'!I37/'Table T10'!I37</f>
        <v>8.2660406007662303E-4</v>
      </c>
      <c r="P37" s="443">
        <f t="shared" si="1"/>
        <v>6581.0210000000006</v>
      </c>
      <c r="Q37" s="398">
        <f t="shared" si="3"/>
        <v>2.7914209664427449E-2</v>
      </c>
      <c r="R37" s="398">
        <f t="shared" si="3"/>
        <v>0.11985100792111131</v>
      </c>
      <c r="S37" s="396">
        <f t="shared" si="3"/>
        <v>8.287893322327948E-2</v>
      </c>
      <c r="T37" s="396">
        <f t="shared" si="3"/>
        <v>3.2305929429491259E-2</v>
      </c>
      <c r="U37" s="396">
        <f t="shared" si="3"/>
        <v>3.3500121029852357E-2</v>
      </c>
      <c r="V37" s="444">
        <f t="shared" si="3"/>
        <v>4.495958909719263E-3</v>
      </c>
    </row>
    <row r="38" spans="1:22" ht="15">
      <c r="A38" s="18">
        <v>2010</v>
      </c>
      <c r="B38" s="384">
        <f>'Table T5'!B42</f>
        <v>10985.405000000001</v>
      </c>
      <c r="C38" s="54">
        <f>(RawData!AM68/1000)/'Table T10'!B38</f>
        <v>3.9788701463441718E-2</v>
      </c>
      <c r="D38" s="54">
        <f>(RawData!AK68/1000)/'Table T10'!B38</f>
        <v>9.9132075694978936E-2</v>
      </c>
      <c r="E38" s="54">
        <f>((RawData!AO68+RawData!AP68+RawData!AQ68+RawData!AR68+RawData!AS68+RawData!AT68)/1000)/'Table T10'!B38</f>
        <v>9.9215094937328191E-2</v>
      </c>
      <c r="F38" s="54">
        <f>((RawData!AN68+RawData!AL68)/1000)/'Table T10'!B38</f>
        <v>3.1236171993658857E-2</v>
      </c>
      <c r="G38" s="54">
        <f>((RawData!AU68+RawData!AX68)/1000)/'Table T10'!B38</f>
        <v>3.793214724445753E-2</v>
      </c>
      <c r="H38" s="68">
        <f>'Table T9'!H38*'Table T9'!B38/'Table T10'!B38</f>
        <v>3.3620972554039134E-3</v>
      </c>
      <c r="I38" s="434">
        <f>'Table T5'!J42</f>
        <v>3590.7840000000001</v>
      </c>
      <c r="J38" s="59">
        <f>(RawData!BB68/1000)/'Table T10'!$I38</f>
        <v>5.917175747691869E-2</v>
      </c>
      <c r="K38" s="59">
        <f>(RawData!AZ68/1000)/'Table T10'!$I38</f>
        <v>7.4321095337397058E-2</v>
      </c>
      <c r="L38" s="54">
        <f>((RawData!BD68+RawData!BE68+RawData!BF68+RawData!BG68+RawData!BH68+RawData!BI68)/1000)/'Table T10'!I38</f>
        <v>0.13006268268990839</v>
      </c>
      <c r="M38" s="54">
        <f>((RawData!BA68+RawData!BC68)/1000)/'Table T10'!I38</f>
        <v>3.4302536716215734E-2</v>
      </c>
      <c r="N38" s="54">
        <f>((RawData!BJ68+RawData!BM68)/1000)/'Table T10'!I38</f>
        <v>4.0372520318682492E-2</v>
      </c>
      <c r="O38" s="68">
        <f>'Table T9'!O38*'Table T9'!I38/'Table T10'!I38</f>
        <v>1.005351477560342E-3</v>
      </c>
      <c r="P38" s="434">
        <f t="shared" si="1"/>
        <v>7394.621000000001</v>
      </c>
      <c r="Q38" s="59">
        <f t="shared" si="3"/>
        <v>3.0376404686595828E-2</v>
      </c>
      <c r="R38" s="59">
        <f t="shared" si="3"/>
        <v>0.11118014026682368</v>
      </c>
      <c r="S38" s="54">
        <f t="shared" si="3"/>
        <v>8.4235689699309779E-2</v>
      </c>
      <c r="T38" s="54">
        <f t="shared" si="3"/>
        <v>2.9747163512504556E-2</v>
      </c>
      <c r="U38" s="54">
        <f t="shared" si="3"/>
        <v>3.6747116586502537E-2</v>
      </c>
      <c r="V38" s="437">
        <f t="shared" si="3"/>
        <v>4.5065189953616813E-3</v>
      </c>
    </row>
    <row r="39" spans="1:22" ht="15">
      <c r="A39" s="18">
        <v>2011</v>
      </c>
      <c r="B39" s="384">
        <f>'Table T5'!B43</f>
        <v>11561.196</v>
      </c>
      <c r="C39" s="54">
        <f>(RawData!AM69/1000)/'Table T10'!B39</f>
        <v>4.0826225937178127E-2</v>
      </c>
      <c r="D39" s="54">
        <f>(RawData!AK69/1000)/'Table T10'!B39</f>
        <v>0.10249804604990695</v>
      </c>
      <c r="E39" s="54">
        <f>((RawData!AO69+RawData!AP69+RawData!AQ69+RawData!AR69+RawData!AS69+RawData!AT69)/1000)/'Table T10'!B39</f>
        <v>9.5630244483356219E-2</v>
      </c>
      <c r="F39" s="54">
        <f>((RawData!AN69+RawData!AL69)/1000)/'Table T10'!B39</f>
        <v>2.9442715096258204E-2</v>
      </c>
      <c r="G39" s="54">
        <f>((RawData!AU69+RawData!AX69)/1000)/'Table T10'!B39</f>
        <v>3.7279880040092736E-2</v>
      </c>
      <c r="H39" s="68">
        <f>'Table T9'!H39*'Table T9'!B39/'Table T10'!B39</f>
        <v>3.5463458970854014E-3</v>
      </c>
      <c r="I39" s="434">
        <f>'Table T5'!J43</f>
        <v>3829.8960000000002</v>
      </c>
      <c r="J39" s="59">
        <f>(RawData!BB69/1000)/'Table T10'!$I39</f>
        <v>5.90094352431502E-2</v>
      </c>
      <c r="K39" s="59">
        <f>(RawData!AZ69/1000)/'Table T10'!$I39</f>
        <v>8.250876786210383E-2</v>
      </c>
      <c r="L39" s="54">
        <f>((RawData!BD69+RawData!BE69+RawData!BF69+RawData!BG69+RawData!BH69+RawData!BI69)/1000)/'Table T10'!I39</f>
        <v>0.12663529244658339</v>
      </c>
      <c r="M39" s="54">
        <f>((RawData!BA69+RawData!BC69)/1000)/'Table T10'!I39</f>
        <v>3.4465687841131978E-2</v>
      </c>
      <c r="N39" s="54">
        <f>((RawData!BJ69+RawData!BM69)/1000)/'Table T10'!I39</f>
        <v>3.9165554364922701E-2</v>
      </c>
      <c r="O39" s="68">
        <f>'Table T9'!O39*'Table T9'!I39/'Table T10'!I39</f>
        <v>1.0444147830646164E-3</v>
      </c>
      <c r="P39" s="434">
        <f t="shared" si="1"/>
        <v>7731.2999999999993</v>
      </c>
      <c r="Q39" s="59">
        <f t="shared" si="3"/>
        <v>3.1818710954173296E-2</v>
      </c>
      <c r="R39" s="59">
        <f t="shared" si="3"/>
        <v>0.11240024316738453</v>
      </c>
      <c r="S39" s="54">
        <f t="shared" si="3"/>
        <v>8.0271105764877823E-2</v>
      </c>
      <c r="T39" s="54">
        <f t="shared" si="3"/>
        <v>2.6954457853142419E-2</v>
      </c>
      <c r="U39" s="54">
        <f t="shared" si="3"/>
        <v>3.6345763325702017E-2</v>
      </c>
      <c r="V39" s="437">
        <f t="shared" si="3"/>
        <v>4.7857410784732345E-3</v>
      </c>
    </row>
    <row r="40" spans="1:22" ht="16" thickBot="1">
      <c r="A40" s="34">
        <v>2012</v>
      </c>
      <c r="B40" s="386">
        <f>'Table T5'!B44</f>
        <v>12450.544</v>
      </c>
      <c r="C40" s="63">
        <f>(RawData!AM70/1000)/'Table T10'!B40</f>
        <v>4.3371598863471347E-2</v>
      </c>
      <c r="D40" s="63">
        <f>(RawData!AK70/1000)/'Table T10'!B40</f>
        <v>9.6461648583387197E-2</v>
      </c>
      <c r="E40" s="63">
        <f>((RawData!AO70+RawData!AP70+RawData!AQ70+RawData!AR70+RawData!AS70+RawData!AT70)/1000)/'Table T10'!B40</f>
        <v>0.10224452843185004</v>
      </c>
      <c r="F40" s="63">
        <f>((RawData!AN70+RawData!AL70)/1000)/'Table T10'!B40</f>
        <v>3.2078357379404461E-2</v>
      </c>
      <c r="G40" s="63">
        <f>((RawData!AU70+RawData!AX70)/1000)/'Table T10'!B40</f>
        <v>3.9998252285201354E-2</v>
      </c>
      <c r="H40" s="446">
        <f>'Table T9'!H40*'Table T9'!B40/'Table T10'!B40</f>
        <v>3.9034438977124295E-3</v>
      </c>
      <c r="I40" s="435">
        <f>'Table T5'!J44</f>
        <v>4237.3580000000002</v>
      </c>
      <c r="J40" s="65">
        <f>(RawData!BB70/1000)/'Table T10'!$I40</f>
        <v>6.2066976639689166E-2</v>
      </c>
      <c r="K40" s="65">
        <f>(RawData!AZ70/1000)/'Table T10'!$I40</f>
        <v>7.4102778193393143E-2</v>
      </c>
      <c r="L40" s="63">
        <f>((RawData!BD70+RawData!BE70+RawData!BF70+RawData!BG70+RawData!BH70+RawData!BI70)/1000)/'Table T10'!I40</f>
        <v>0.14442961864444778</v>
      </c>
      <c r="M40" s="63">
        <f>((RawData!BA70+RawData!BC70)/1000)/'Table T10'!I40</f>
        <v>3.3275451354358068E-2</v>
      </c>
      <c r="N40" s="63">
        <f>((RawData!BJ70+RawData!BM70)/1000)/'Table T10'!I40</f>
        <v>3.6107404661111946E-2</v>
      </c>
      <c r="O40" s="446">
        <f>'Table T9'!O40*'Table T9'!I40/'Table T10'!I40</f>
        <v>1.6519727622730854E-3</v>
      </c>
      <c r="P40" s="435">
        <f t="shared" si="1"/>
        <v>8213.1859999999997</v>
      </c>
      <c r="Q40" s="65">
        <f t="shared" si="3"/>
        <v>3.3726254342711828E-2</v>
      </c>
      <c r="R40" s="65">
        <f t="shared" si="3"/>
        <v>0.10799706715518193</v>
      </c>
      <c r="S40" s="63">
        <f t="shared" si="3"/>
        <v>8.0480339785315963E-2</v>
      </c>
      <c r="T40" s="63">
        <f t="shared" si="3"/>
        <v>3.1460751041069802E-2</v>
      </c>
      <c r="U40" s="63">
        <f t="shared" si="3"/>
        <v>4.2005623639839645E-2</v>
      </c>
      <c r="V40" s="438">
        <f t="shared" si="3"/>
        <v>5.065025922948798E-3</v>
      </c>
    </row>
    <row r="41" spans="1:22" ht="13" thickTop="1"/>
  </sheetData>
  <mergeCells count="25">
    <mergeCell ref="M7:M8"/>
    <mergeCell ref="A3:V3"/>
    <mergeCell ref="B6:H6"/>
    <mergeCell ref="I6:O6"/>
    <mergeCell ref="P6:V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N7:N8"/>
    <mergeCell ref="O7:O8"/>
    <mergeCell ref="P7:P8"/>
    <mergeCell ref="Q7:Q8"/>
    <mergeCell ref="R7:R8"/>
    <mergeCell ref="S7:S8"/>
  </mergeCells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A41"/>
  <sheetViews>
    <sheetView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A3" sqref="A3:Y3"/>
    </sheetView>
  </sheetViews>
  <sheetFormatPr baseColWidth="10" defaultColWidth="10.83203125" defaultRowHeight="12" x14ac:dyDescent="0"/>
  <cols>
    <col min="1" max="1" width="11.1640625" style="3" customWidth="1"/>
    <col min="2" max="3" width="11.1640625" style="2" customWidth="1"/>
    <col min="4" max="17" width="11.1640625" style="3" customWidth="1"/>
    <col min="18" max="16384" width="10.83203125" style="3"/>
  </cols>
  <sheetData>
    <row r="2" spans="1:27" ht="13" customHeight="1" thickBot="1">
      <c r="A2" s="1"/>
    </row>
    <row r="3" spans="1:27" s="5" customFormat="1" ht="20" customHeight="1" thickTop="1">
      <c r="A3" s="449" t="s">
        <v>225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1"/>
    </row>
    <row r="4" spans="1:27">
      <c r="A4" s="7"/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"/>
    </row>
    <row r="5" spans="1:27">
      <c r="A5" s="7"/>
      <c r="B5" s="25" t="s">
        <v>17</v>
      </c>
      <c r="C5" s="25"/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/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" t="s">
        <v>69</v>
      </c>
      <c r="S5" s="1"/>
      <c r="T5" s="1" t="s">
        <v>70</v>
      </c>
      <c r="U5" s="1" t="s">
        <v>76</v>
      </c>
      <c r="V5" s="1" t="s">
        <v>77</v>
      </c>
      <c r="W5" s="1" t="s">
        <v>78</v>
      </c>
      <c r="X5" s="1" t="s">
        <v>79</v>
      </c>
      <c r="Y5" s="6" t="s">
        <v>80</v>
      </c>
    </row>
    <row r="6" spans="1:27" ht="19" customHeight="1">
      <c r="A6" s="7"/>
      <c r="B6" s="537" t="s">
        <v>207</v>
      </c>
      <c r="C6" s="537"/>
      <c r="D6" s="537"/>
      <c r="E6" s="537"/>
      <c r="F6" s="537"/>
      <c r="G6" s="537"/>
      <c r="H6" s="537"/>
      <c r="I6" s="537"/>
      <c r="J6" s="536" t="s">
        <v>68</v>
      </c>
      <c r="K6" s="537"/>
      <c r="L6" s="537"/>
      <c r="M6" s="537"/>
      <c r="N6" s="537"/>
      <c r="O6" s="537"/>
      <c r="P6" s="537"/>
      <c r="Q6" s="537"/>
      <c r="R6" s="536" t="s">
        <v>198</v>
      </c>
      <c r="S6" s="537"/>
      <c r="T6" s="537"/>
      <c r="U6" s="537"/>
      <c r="V6" s="537"/>
      <c r="W6" s="537"/>
      <c r="X6" s="537"/>
      <c r="Y6" s="538"/>
    </row>
    <row r="7" spans="1:27" ht="32" customHeight="1">
      <c r="A7" s="7"/>
      <c r="B7" s="543" t="s">
        <v>212</v>
      </c>
      <c r="C7" s="534" t="s">
        <v>217</v>
      </c>
      <c r="D7" s="534" t="s">
        <v>2</v>
      </c>
      <c r="E7" s="534" t="s">
        <v>125</v>
      </c>
      <c r="F7" s="534" t="s">
        <v>126</v>
      </c>
      <c r="G7" s="534" t="s">
        <v>128</v>
      </c>
      <c r="H7" s="534" t="s">
        <v>127</v>
      </c>
      <c r="I7" s="534" t="s">
        <v>15</v>
      </c>
      <c r="J7" s="539" t="s">
        <v>215</v>
      </c>
      <c r="K7" s="534" t="s">
        <v>217</v>
      </c>
      <c r="L7" s="534" t="s">
        <v>2</v>
      </c>
      <c r="M7" s="534" t="s">
        <v>125</v>
      </c>
      <c r="N7" s="534" t="s">
        <v>126</v>
      </c>
      <c r="O7" s="534" t="s">
        <v>128</v>
      </c>
      <c r="P7" s="534" t="s">
        <v>127</v>
      </c>
      <c r="Q7" s="534" t="s">
        <v>15</v>
      </c>
      <c r="R7" s="539" t="s">
        <v>216</v>
      </c>
      <c r="S7" s="534" t="s">
        <v>217</v>
      </c>
      <c r="T7" s="534" t="s">
        <v>2</v>
      </c>
      <c r="U7" s="534" t="s">
        <v>125</v>
      </c>
      <c r="V7" s="534" t="s">
        <v>126</v>
      </c>
      <c r="W7" s="534" t="s">
        <v>128</v>
      </c>
      <c r="X7" s="534" t="s">
        <v>127</v>
      </c>
      <c r="Y7" s="541" t="s">
        <v>15</v>
      </c>
    </row>
    <row r="8" spans="1:27" ht="61" customHeight="1" thickBot="1">
      <c r="A8" s="14"/>
      <c r="B8" s="544"/>
      <c r="C8" s="535"/>
      <c r="D8" s="535"/>
      <c r="E8" s="535"/>
      <c r="F8" s="535"/>
      <c r="G8" s="535"/>
      <c r="H8" s="535"/>
      <c r="I8" s="535"/>
      <c r="J8" s="540"/>
      <c r="K8" s="535"/>
      <c r="L8" s="535"/>
      <c r="M8" s="535"/>
      <c r="N8" s="535"/>
      <c r="O8" s="535"/>
      <c r="P8" s="535"/>
      <c r="Q8" s="535"/>
      <c r="R8" s="540"/>
      <c r="S8" s="535"/>
      <c r="T8" s="535"/>
      <c r="U8" s="535"/>
      <c r="V8" s="535"/>
      <c r="W8" s="535"/>
      <c r="X8" s="535"/>
      <c r="Y8" s="542"/>
    </row>
    <row r="9" spans="1:27" ht="15">
      <c r="A9" s="300">
        <v>1941</v>
      </c>
      <c r="B9" s="381">
        <f>'Table T4'!D15+'Table T4'!C15</f>
        <v>3.5663</v>
      </c>
      <c r="C9" s="447">
        <f>SUM(D9:I9)</f>
        <v>0.16086700501920759</v>
      </c>
      <c r="D9" s="440">
        <f>(RawData!AM25/1000)/'Table T11'!B9</f>
        <v>0.13431287328603875</v>
      </c>
      <c r="E9" s="440">
        <f>(RawData!AK25/1000)/'Table T11'!B9</f>
        <v>1.1496508986905195E-2</v>
      </c>
      <c r="F9" s="440">
        <f>((RawData!AO25+RawData!AP25+RawData!AQ25+RawData!AR25+RawData!AS25+RawData!AT25)/1000)/'Table T11'!B9</f>
        <v>1.4861340885511594E-2</v>
      </c>
      <c r="G9" s="440">
        <f>((RawData!AN25+RawData!AL25)/1000)/'Table T11'!B9</f>
        <v>0</v>
      </c>
      <c r="H9" s="440">
        <f>((RawData!AU25+RawData!AX25)/1000)/'Table T11'!B9</f>
        <v>0</v>
      </c>
      <c r="I9" s="440">
        <f>'Table T9'!H9*'Table T9'!B9/'Table T11'!B9</f>
        <v>1.9628186075207349E-4</v>
      </c>
      <c r="J9" s="439">
        <f>'Table T4'!G15</f>
        <v>2.1486999999999998</v>
      </c>
      <c r="K9" s="447">
        <f>SUM(L9:Q9)</f>
        <v>0.17680457951319403</v>
      </c>
      <c r="L9" s="441">
        <f>(RawData!BB25/1000)/'Table T11'!$J9</f>
        <v>0.1406431795969656</v>
      </c>
      <c r="M9" s="441">
        <f>(RawData!AZ25/1000)/'Table T11'!$J9</f>
        <v>1.3682691860194537E-2</v>
      </c>
      <c r="N9" s="440">
        <f>((RawData!BD25+RawData!BE25+RawData!BF25+RawData!BG25+RawData!BH25+RawData!BI25)/1000)/'Table T11'!J9</f>
        <v>2.2478708056033882E-2</v>
      </c>
      <c r="O9" s="440">
        <f>((RawData!BA25+RawData!BC25)/1000)/'Table T11'!J9</f>
        <v>0</v>
      </c>
      <c r="P9" s="440">
        <f>((RawData!BJ25+RawData!BM25)/1000)/'Table T11'!J9</f>
        <v>0</v>
      </c>
      <c r="Q9" s="440">
        <f>'Table T9'!O9*'Table T9'!I9/'Table T11'!J9</f>
        <v>-4.9073128758679316E-18</v>
      </c>
      <c r="R9" s="439">
        <f>B9-J9</f>
        <v>1.4176000000000002</v>
      </c>
      <c r="S9" s="447">
        <f>SUM(T9:Y9)</f>
        <v>0.1367099322799098</v>
      </c>
      <c r="T9" s="441">
        <f t="shared" ref="T9:Y9" si="0">(D9*$B9-L9*$J9)/$R9</f>
        <v>0.1247178329571106</v>
      </c>
      <c r="U9" s="441">
        <f t="shared" si="0"/>
        <v>8.1828442437923265E-3</v>
      </c>
      <c r="V9" s="440">
        <f t="shared" si="0"/>
        <v>3.3154627539503352E-3</v>
      </c>
      <c r="W9" s="440">
        <f t="shared" si="0"/>
        <v>0</v>
      </c>
      <c r="X9" s="440">
        <f t="shared" si="0"/>
        <v>0</v>
      </c>
      <c r="Y9" s="442">
        <f t="shared" si="0"/>
        <v>4.9379232505652516E-4</v>
      </c>
    </row>
    <row r="10" spans="1:27" ht="15">
      <c r="A10" s="18">
        <v>1974</v>
      </c>
      <c r="B10" s="384"/>
      <c r="C10" s="19"/>
      <c r="D10" s="55"/>
      <c r="E10" s="55"/>
      <c r="F10" s="55"/>
      <c r="G10" s="55"/>
      <c r="H10" s="55"/>
      <c r="I10" s="55"/>
      <c r="J10" s="434">
        <f>'Table T4'!G45</f>
        <v>24.11933333333333</v>
      </c>
      <c r="K10" s="71">
        <f>SUM(L10:Q10)</f>
        <v>0.38491942839768939</v>
      </c>
      <c r="L10" s="59">
        <f>(RawData!BB32/1000)/'Table T11'!$J10</f>
        <v>0.29155034688631531</v>
      </c>
      <c r="M10" s="59">
        <f>(RawData!AZ32/1000)/'Table T11'!$J10</f>
        <v>3.8475358633461409E-2</v>
      </c>
      <c r="N10" s="54">
        <f>((RawData!BD32+RawData!BE32+RawData!BF32+RawData!BG32+RawData!BH32+RawData!BI32)/1000)/'Table T11'!J10</f>
        <v>4.4487133419939748E-2</v>
      </c>
      <c r="O10" s="54">
        <f>((RawData!BA32+RawData!BC32)/1000)/'Table T11'!J10</f>
        <v>0</v>
      </c>
      <c r="P10" s="54">
        <f>((RawData!BJ32+RawData!BM32)/1000)/'Table T11'!J10</f>
        <v>7.1726692280051968E-3</v>
      </c>
      <c r="Q10" s="54">
        <f>'Table T9'!O10*'Table T9'!I10/'Table T11'!J10</f>
        <v>3.2339202299676859E-3</v>
      </c>
      <c r="R10" s="434"/>
      <c r="S10" s="19"/>
      <c r="T10" s="59"/>
      <c r="U10" s="59"/>
      <c r="V10" s="54"/>
      <c r="W10" s="54"/>
      <c r="X10" s="54"/>
      <c r="Y10" s="437"/>
    </row>
    <row r="11" spans="1:27" ht="15">
      <c r="A11" s="319">
        <v>1978</v>
      </c>
      <c r="B11" s="385">
        <f>('Table T4'!G49+'Table T4'!H49)</f>
        <v>47.443666666666665</v>
      </c>
      <c r="C11" s="448">
        <f>SUM(D11:I11)</f>
        <v>0.39035768736255627</v>
      </c>
      <c r="D11" s="396">
        <f>(RawData!AM36/1000)/'Table T11'!B11</f>
        <v>0.28275639179096612</v>
      </c>
      <c r="E11" s="396">
        <f>(RawData!AK36/1000)/'Table T11'!B11</f>
        <v>2.6599967680969009E-2</v>
      </c>
      <c r="F11" s="396">
        <f>((RawData!AO36+RawData!AP36+RawData!AQ36+RawData!AR36+RawData!AS36+RawData!AT36)/1000)/'Table T11'!B11</f>
        <v>5.6150803408955188E-2</v>
      </c>
      <c r="G11" s="396">
        <f>((RawData!AN36+RawData!AL36)/1000)/'Table T11'!B11</f>
        <v>0</v>
      </c>
      <c r="H11" s="396">
        <f>((RawData!AU36+RawData!AX36)/1000)/'Table T11'!B11</f>
        <v>2.0993318391636397E-2</v>
      </c>
      <c r="I11" s="445">
        <f>'Table T9'!H11*'Table T9'!B11/'Table T11'!B11</f>
        <v>3.8572060900296098E-3</v>
      </c>
      <c r="J11" s="443">
        <f>'Table T4'!G49</f>
        <v>41.743666666666662</v>
      </c>
      <c r="K11" s="448">
        <f>SUM(L11:Q11)</f>
        <v>0.38971181257037002</v>
      </c>
      <c r="L11" s="398">
        <f>(RawData!BB36/1000)/'Table T11'!$J11</f>
        <v>0.29357746883758817</v>
      </c>
      <c r="M11" s="398">
        <f>(RawData!AZ36/1000)/'Table T11'!$J11</f>
        <v>2.1560156830177833E-2</v>
      </c>
      <c r="N11" s="396">
        <f>((RawData!BD36+RawData!BE36+RawData!BF36+RawData!BG36+RawData!BH36+RawData!BI36)/1000)/'Table T11'!J11</f>
        <v>5.9458121391668207E-2</v>
      </c>
      <c r="O11" s="396">
        <f>((RawData!BA36+RawData!BC36)/1000)/'Table T11'!J11</f>
        <v>0</v>
      </c>
      <c r="P11" s="396">
        <f>((RawData!BJ36+RawData!BM36)/1000)/'Table T11'!J11</f>
        <v>1.4133880588672135E-2</v>
      </c>
      <c r="Q11" s="445">
        <f>'Table T9'!O11*'Table T9'!I11/'Table T11'!J11</f>
        <v>9.8218492226365551E-4</v>
      </c>
      <c r="R11" s="443">
        <f t="shared" ref="R11:R40" si="1">B11-J11</f>
        <v>5.7000000000000028</v>
      </c>
      <c r="S11" s="448">
        <f>SUM(T11:Y11)</f>
        <v>0.39508771929824543</v>
      </c>
      <c r="T11" s="398">
        <f t="shared" ref="T11:T40" si="2">(D11*$B11-L11*$J11)/$R11</f>
        <v>0.20350877192982417</v>
      </c>
      <c r="U11" s="398">
        <f t="shared" ref="U11:U40" si="3">(E11*$B11-M11*$J11)/$R11</f>
        <v>6.3508771929824528E-2</v>
      </c>
      <c r="V11" s="396">
        <f t="shared" ref="V11:V40" si="4">(F11*$B11-N11*$J11)/$R11</f>
        <v>3.1929824561403482E-2</v>
      </c>
      <c r="W11" s="396">
        <f t="shared" ref="W11:W40" si="5">(G11*$B11-O11*$J11)/$R11</f>
        <v>0</v>
      </c>
      <c r="X11" s="396">
        <f t="shared" ref="X11:X40" si="6">(H11*$B11-P11*$J11)/$R11</f>
        <v>7.1228070175438571E-2</v>
      </c>
      <c r="Y11" s="444">
        <f t="shared" ref="Y11:Y40" si="7">(I11*$B11-Q11*$J11)/$R11</f>
        <v>2.4912280701754639E-2</v>
      </c>
    </row>
    <row r="12" spans="1:27" ht="15">
      <c r="A12" s="18">
        <v>1984</v>
      </c>
      <c r="B12" s="384">
        <f>('Table T4'!G55+'Table T4'!H55)</f>
        <v>161.44200000000001</v>
      </c>
      <c r="C12" s="71">
        <f t="shared" ref="C12:C40" si="8">SUM(D12:I12)</f>
        <v>0.29146690452298651</v>
      </c>
      <c r="D12" s="54">
        <f>(RawData!AM42/1000)/'Table T11'!B12</f>
        <v>0.13881146170141598</v>
      </c>
      <c r="E12" s="54">
        <f>(RawData!AK42/1000)/'Table T11'!B12</f>
        <v>3.0785049739225228E-2</v>
      </c>
      <c r="F12" s="54">
        <f>((RawData!AO42+RawData!AP42+RawData!AQ42+RawData!AR42+RawData!AS42+RawData!AT42)/1000)/'Table T11'!B12</f>
        <v>6.5317575352138849E-2</v>
      </c>
      <c r="G12" s="54">
        <f>((RawData!AN42+RawData!AL42)/1000)/'Table T11'!B12</f>
        <v>0</v>
      </c>
      <c r="H12" s="54">
        <f>((RawData!AU42+RawData!AX42)/1000)/'Table T11'!B12</f>
        <v>5.5580332255546885E-2</v>
      </c>
      <c r="I12" s="68">
        <f>'Table T9'!H12*'Table T9'!B12/'Table T11'!B12</f>
        <v>9.7248547465962317E-4</v>
      </c>
      <c r="J12" s="434">
        <f>'Table T4'!G55</f>
        <v>94.853000000000009</v>
      </c>
      <c r="K12" s="71">
        <f t="shared" ref="K12:K40" si="9">SUM(L12:Q12)</f>
        <v>0.29805066787555479</v>
      </c>
      <c r="L12" s="59">
        <f>(RawData!BB42/1000)/'Table T11'!$J12</f>
        <v>0.18317818097477148</v>
      </c>
      <c r="M12" s="59">
        <f>(RawData!AZ42/1000)/'Table T11'!$J12</f>
        <v>1.8860763497200929E-2</v>
      </c>
      <c r="N12" s="54">
        <f>((RawData!BD42+RawData!BE42+RawData!BF42+RawData!BG42+RawData!BH42+RawData!BI42)/1000)/'Table T11'!J12</f>
        <v>7.7087704131656345E-2</v>
      </c>
      <c r="O12" s="54">
        <f>((RawData!BA42+RawData!BC42)/1000)/'Table T11'!J12</f>
        <v>0</v>
      </c>
      <c r="P12" s="54">
        <f>((RawData!BJ42+RawData!BM42)/1000)/'Table T11'!J12</f>
        <v>1.7764330068632515E-2</v>
      </c>
      <c r="Q12" s="68">
        <f>'Table T9'!O12*'Table T9'!I12/'Table T11'!J12</f>
        <v>1.1596892032935202E-3</v>
      </c>
      <c r="R12" s="434">
        <f t="shared" si="1"/>
        <v>66.588999999999999</v>
      </c>
      <c r="S12" s="71">
        <f t="shared" ref="S12:S40" si="10">SUM(T12:Y12)</f>
        <v>0.28208863325774525</v>
      </c>
      <c r="T12" s="59">
        <f t="shared" si="2"/>
        <v>7.5613089248975057E-2</v>
      </c>
      <c r="U12" s="59">
        <f t="shared" si="3"/>
        <v>4.7770652810524263E-2</v>
      </c>
      <c r="V12" s="54">
        <f t="shared" si="4"/>
        <v>4.8551562570394502E-2</v>
      </c>
      <c r="W12" s="54">
        <f t="shared" si="5"/>
        <v>0</v>
      </c>
      <c r="X12" s="54">
        <f t="shared" si="6"/>
        <v>0.10944750634489181</v>
      </c>
      <c r="Y12" s="437">
        <f t="shared" si="7"/>
        <v>7.0582228295962691E-4</v>
      </c>
      <c r="AA12" s="330"/>
    </row>
    <row r="13" spans="1:27" ht="15">
      <c r="A13" s="18">
        <v>1985</v>
      </c>
      <c r="B13" s="384">
        <f>('Table T4'!G56+'Table T4'!H56)</f>
        <v>275.03899999999999</v>
      </c>
      <c r="C13" s="71">
        <f t="shared" si="8"/>
        <v>0.2624718676260458</v>
      </c>
      <c r="D13" s="54">
        <f>(RawData!AM43/1000)/'Table T11'!B13</f>
        <v>0.11232225248055731</v>
      </c>
      <c r="E13" s="54">
        <f>(RawData!AK43/1000)/'Table T11'!B13</f>
        <v>3.5504055788451824E-2</v>
      </c>
      <c r="F13" s="54">
        <f>((RawData!AO43+RawData!AP43+RawData!AQ43+RawData!AR43+RawData!AS43+RawData!AT43)/1000)/'Table T11'!B13</f>
        <v>6.2507498936514458E-2</v>
      </c>
      <c r="G13" s="54">
        <f>((RawData!AN43+RawData!AL43)/1000)/'Table T11'!B13</f>
        <v>0</v>
      </c>
      <c r="H13" s="54">
        <f>((RawData!AU43+RawData!AX43)/1000)/'Table T11'!B13</f>
        <v>5.1501787019295447E-2</v>
      </c>
      <c r="I13" s="68">
        <f>'Table T9'!H13*'Table T9'!B13/'Table T11'!B13</f>
        <v>6.3627340122671507E-4</v>
      </c>
      <c r="J13" s="434">
        <f>'Table T4'!G56</f>
        <v>124.55300000000001</v>
      </c>
      <c r="K13" s="71">
        <f t="shared" si="9"/>
        <v>0.29228521191781809</v>
      </c>
      <c r="L13" s="59">
        <f>(RawData!BB43/1000)/'Table T11'!$J13</f>
        <v>0.16887590021918378</v>
      </c>
      <c r="M13" s="59">
        <f>(RawData!AZ43/1000)/'Table T11'!$J13</f>
        <v>2.781948246931025E-2</v>
      </c>
      <c r="N13" s="54">
        <f>((RawData!BD43+RawData!BE43+RawData!BF43+RawData!BG43+RawData!BH43+RawData!BI43)/1000)/'Table T11'!J13</f>
        <v>7.7669747015326793E-2</v>
      </c>
      <c r="O13" s="54">
        <f>((RawData!BA43+RawData!BC43)/1000)/'Table T11'!J13</f>
        <v>0</v>
      </c>
      <c r="P13" s="54">
        <f>((RawData!BJ43+RawData!BM43)/1000)/'Table T11'!J13</f>
        <v>1.6876349826981281E-2</v>
      </c>
      <c r="Q13" s="68">
        <f>'Table T9'!O13*'Table T9'!I13/'Table T11'!J13</f>
        <v>1.0437323870159912E-3</v>
      </c>
      <c r="R13" s="434">
        <f t="shared" si="1"/>
        <v>150.48599999999999</v>
      </c>
      <c r="S13" s="71">
        <f t="shared" si="10"/>
        <v>0.23779620695612877</v>
      </c>
      <c r="T13" s="59">
        <f t="shared" si="2"/>
        <v>6.5514400010632232E-2</v>
      </c>
      <c r="U13" s="59">
        <f t="shared" si="3"/>
        <v>4.1864359475300032E-2</v>
      </c>
      <c r="V13" s="54">
        <f t="shared" si="4"/>
        <v>4.995813564052471E-2</v>
      </c>
      <c r="W13" s="54">
        <f t="shared" si="5"/>
        <v>0</v>
      </c>
      <c r="X13" s="54">
        <f t="shared" si="6"/>
        <v>8.016028069056258E-2</v>
      </c>
      <c r="Y13" s="437">
        <f t="shared" si="7"/>
        <v>2.9903113910923087E-4</v>
      </c>
      <c r="AA13" s="330"/>
    </row>
    <row r="14" spans="1:27" ht="15">
      <c r="A14" s="18">
        <v>1986</v>
      </c>
      <c r="B14" s="384">
        <f>('Table T4'!G57+'Table T4'!H57)</f>
        <v>383.82499999999993</v>
      </c>
      <c r="C14" s="71">
        <f t="shared" si="8"/>
        <v>0.24236826678824988</v>
      </c>
      <c r="D14" s="54">
        <f>(RawData!AM44/1000)/'Table T11'!B14</f>
        <v>9.913111444017457E-2</v>
      </c>
      <c r="E14" s="54">
        <f>(RawData!AK44/1000)/'Table T11'!B14</f>
        <v>3.8006904188106566E-2</v>
      </c>
      <c r="F14" s="54">
        <f>((RawData!AO44+RawData!AP44+RawData!AQ44+RawData!AR44+RawData!AS44+RawData!AT44)/1000)/'Table T11'!B14</f>
        <v>5.6043769947241591E-2</v>
      </c>
      <c r="G14" s="54">
        <f>((RawData!AN44+RawData!AL44)/1000)/'Table T11'!B14</f>
        <v>0</v>
      </c>
      <c r="H14" s="54">
        <f>((RawData!AU44+RawData!AX44)/1000)/'Table T11'!B14</f>
        <v>4.8488243340063839E-2</v>
      </c>
      <c r="I14" s="68">
        <f>'Table T9'!H14*'Table T9'!B14/'Table T11'!B14</f>
        <v>6.9823487266333195E-4</v>
      </c>
      <c r="J14" s="434">
        <f>'Table T4'!G57</f>
        <v>158.56099999999998</v>
      </c>
      <c r="K14" s="71">
        <f t="shared" si="9"/>
        <v>0.28310870895112927</v>
      </c>
      <c r="L14" s="59">
        <f>(RawData!BB44/1000)/'Table T11'!$J14</f>
        <v>0.15443898562698269</v>
      </c>
      <c r="M14" s="59">
        <f>(RawData!AZ44/1000)/'Table T11'!$J14</f>
        <v>3.6547448615990068E-2</v>
      </c>
      <c r="N14" s="54">
        <f>((RawData!BD44+RawData!BE44+RawData!BF44+RawData!BG44+RawData!BH44+RawData!BI44)/1000)/'Table T11'!J14</f>
        <v>7.3567901312428657E-2</v>
      </c>
      <c r="O14" s="54">
        <f>((RawData!BA44+RawData!BC44)/1000)/'Table T11'!J14</f>
        <v>0</v>
      </c>
      <c r="P14" s="54">
        <f>((RawData!BJ44+RawData!BM44)/1000)/'Table T11'!J14</f>
        <v>1.7532684581958995E-2</v>
      </c>
      <c r="Q14" s="68">
        <f>'Table T9'!O14*'Table T9'!I14/'Table T11'!J14</f>
        <v>1.0216888137688502E-3</v>
      </c>
      <c r="R14" s="434">
        <f t="shared" si="1"/>
        <v>225.26399999999995</v>
      </c>
      <c r="S14" s="71">
        <f t="shared" si="10"/>
        <v>0.21369149087293141</v>
      </c>
      <c r="T14" s="59">
        <f t="shared" si="2"/>
        <v>6.0200475886071469E-2</v>
      </c>
      <c r="U14" s="59">
        <f t="shared" si="3"/>
        <v>3.9034199872150024E-2</v>
      </c>
      <c r="V14" s="54">
        <f t="shared" si="4"/>
        <v>4.3708715107607085E-2</v>
      </c>
      <c r="W14" s="54">
        <f t="shared" si="5"/>
        <v>0</v>
      </c>
      <c r="X14" s="54">
        <f t="shared" si="6"/>
        <v>7.0277541018538267E-2</v>
      </c>
      <c r="Y14" s="437">
        <f t="shared" si="7"/>
        <v>4.7055898856453198E-4</v>
      </c>
      <c r="AA14" s="330"/>
    </row>
    <row r="15" spans="1:27" ht="15">
      <c r="A15" s="18">
        <v>1987</v>
      </c>
      <c r="B15" s="384">
        <f>('Table T4'!G58+'Table T4'!H58)</f>
        <v>410.03199999999998</v>
      </c>
      <c r="C15" s="71">
        <f t="shared" si="8"/>
        <v>0.21799030319584814</v>
      </c>
      <c r="D15" s="54">
        <f>(RawData!AM45/1000)/'Table T11'!B15</f>
        <v>8.9207671596363225E-2</v>
      </c>
      <c r="E15" s="54">
        <f>(RawData!AK45/1000)/'Table T11'!B15</f>
        <v>4.3199067389862261E-2</v>
      </c>
      <c r="F15" s="54">
        <f>((RawData!AO45+RawData!AP45+RawData!AQ45+RawData!AR45+RawData!AS45+RawData!AT45)/1000)/'Table T11'!B15</f>
        <v>4.7008526163811605E-2</v>
      </c>
      <c r="G15" s="54">
        <f>((RawData!AN45+RawData!AL45)/1000)/'Table T11'!B15</f>
        <v>0</v>
      </c>
      <c r="H15" s="54">
        <f>((RawData!AU45+RawData!AX45)/1000)/'Table T11'!B15</f>
        <v>3.6872731884340738E-2</v>
      </c>
      <c r="I15" s="68">
        <f>'Table T9'!H15*'Table T9'!B15/'Table T11'!B15</f>
        <v>1.7023061614703135E-3</v>
      </c>
      <c r="J15" s="434">
        <f>'Table T4'!G58</f>
        <v>171.553</v>
      </c>
      <c r="K15" s="71">
        <f t="shared" si="9"/>
        <v>0.26268849859810084</v>
      </c>
      <c r="L15" s="59">
        <f>(RawData!BB45/1000)/'Table T11'!$J15</f>
        <v>0.13049028580088951</v>
      </c>
      <c r="M15" s="59">
        <f>(RawData!AZ45/1000)/'Table T11'!$J15</f>
        <v>4.3246110531439265E-2</v>
      </c>
      <c r="N15" s="54">
        <f>((RawData!BD45+RawData!BE45+RawData!BF45+RawData!BG45+RawData!BH45+RawData!BI45)/1000)/'Table T11'!J15</f>
        <v>6.5600718145412781E-2</v>
      </c>
      <c r="O15" s="54">
        <f>((RawData!BA45+RawData!BC45)/1000)/'Table T11'!J15</f>
        <v>0</v>
      </c>
      <c r="P15" s="54">
        <f>((RawData!BJ45+RawData!BM45)/1000)/'Table T11'!J15</f>
        <v>2.2383753125856148E-2</v>
      </c>
      <c r="Q15" s="68">
        <f>'Table T9'!O15*'Table T9'!I15/'Table T11'!J15</f>
        <v>9.6763099450313916E-4</v>
      </c>
      <c r="R15" s="434">
        <f t="shared" si="1"/>
        <v>238.47899999999998</v>
      </c>
      <c r="S15" s="71">
        <f t="shared" si="10"/>
        <v>0.18583606942330358</v>
      </c>
      <c r="T15" s="59">
        <f t="shared" si="2"/>
        <v>5.9510481006713412E-2</v>
      </c>
      <c r="U15" s="59">
        <f t="shared" si="3"/>
        <v>4.3165226288268577E-2</v>
      </c>
      <c r="V15" s="54">
        <f t="shared" si="4"/>
        <v>3.3633988736953779E-2</v>
      </c>
      <c r="W15" s="54">
        <f t="shared" si="5"/>
        <v>0</v>
      </c>
      <c r="X15" s="54">
        <f t="shared" si="6"/>
        <v>4.7295569001882774E-2</v>
      </c>
      <c r="Y15" s="437">
        <f t="shared" si="7"/>
        <v>2.2308043894850218E-3</v>
      </c>
      <c r="AA15" s="330"/>
    </row>
    <row r="16" spans="1:27" ht="15">
      <c r="A16" s="18">
        <v>1988</v>
      </c>
      <c r="B16" s="384">
        <f>('Table T4'!G59+'Table T4'!H59)</f>
        <v>484.298</v>
      </c>
      <c r="C16" s="71">
        <f t="shared" si="8"/>
        <v>0.19231134549389012</v>
      </c>
      <c r="D16" s="54">
        <f>(RawData!AM46/1000)/'Table T11'!B16</f>
        <v>6.9525374872495854E-2</v>
      </c>
      <c r="E16" s="54">
        <f>(RawData!AK46/1000)/'Table T11'!B16</f>
        <v>4.5168470652366934E-2</v>
      </c>
      <c r="F16" s="54">
        <f>((RawData!AO46+RawData!AP46+RawData!AQ46+RawData!AR46+RawData!AS46+RawData!AT46)/1000)/'Table T11'!B16</f>
        <v>4.3842840565106608E-2</v>
      </c>
      <c r="G16" s="54">
        <f>((RawData!AN46+RawData!AL46)/1000)/'Table T11'!B16</f>
        <v>0</v>
      </c>
      <c r="H16" s="54">
        <f>((RawData!AU46+RawData!AX46)/1000)/'Table T11'!B16</f>
        <v>3.2930138055494759E-2</v>
      </c>
      <c r="I16" s="68">
        <f>'Table T9'!H16*'Table T9'!B16/'Table T11'!B16</f>
        <v>8.4452134842594347E-4</v>
      </c>
      <c r="J16" s="434">
        <f>'Table T4'!G59</f>
        <v>191.16400000000002</v>
      </c>
      <c r="K16" s="71">
        <f t="shared" si="9"/>
        <v>0.24606097382352318</v>
      </c>
      <c r="L16" s="59">
        <f>(RawData!BB46/1000)/'Table T11'!$J16</f>
        <v>0.11446715908853131</v>
      </c>
      <c r="M16" s="59">
        <f>(RawData!AZ46/1000)/'Table T11'!$J16</f>
        <v>5.091962921889058E-2</v>
      </c>
      <c r="N16" s="54">
        <f>((RawData!BD46+RawData!BE46+RawData!BF46+RawData!BG46+RawData!BH46+RawData!BI46)/1000)/'Table T11'!J16</f>
        <v>6.0696574668870705E-2</v>
      </c>
      <c r="O16" s="54">
        <f>((RawData!BA46+RawData!BC46)/1000)/'Table T11'!J16</f>
        <v>0</v>
      </c>
      <c r="P16" s="54">
        <f>((RawData!BJ46+RawData!BM46)/1000)/'Table T11'!J16</f>
        <v>1.9030779853947393E-2</v>
      </c>
      <c r="Q16" s="68">
        <f>'Table T9'!O16*'Table T9'!I16/'Table T11'!J16</f>
        <v>9.4683099328322212E-4</v>
      </c>
      <c r="R16" s="434">
        <f t="shared" si="1"/>
        <v>293.13400000000001</v>
      </c>
      <c r="S16" s="71">
        <f t="shared" si="10"/>
        <v>0.15725913745931894</v>
      </c>
      <c r="T16" s="59">
        <f t="shared" si="2"/>
        <v>4.0217102076183578E-2</v>
      </c>
      <c r="U16" s="59">
        <f t="shared" si="3"/>
        <v>4.1417918085244289E-2</v>
      </c>
      <c r="V16" s="54">
        <f t="shared" si="4"/>
        <v>3.2851869793336839E-2</v>
      </c>
      <c r="W16" s="54">
        <f t="shared" si="5"/>
        <v>0</v>
      </c>
      <c r="X16" s="54">
        <f t="shared" si="6"/>
        <v>4.1994446225958097E-2</v>
      </c>
      <c r="Y16" s="437">
        <f t="shared" si="7"/>
        <v>7.7780127859611542E-4</v>
      </c>
      <c r="AA16" s="330"/>
    </row>
    <row r="17" spans="1:27" ht="15">
      <c r="A17" s="311">
        <v>1989</v>
      </c>
      <c r="B17" s="385">
        <f>('Table T4'!G60+'Table T4'!H60)</f>
        <v>624.67399999999998</v>
      </c>
      <c r="C17" s="448">
        <f t="shared" si="8"/>
        <v>0.18768349571136303</v>
      </c>
      <c r="D17" s="396">
        <f>(RawData!AM47/1000)/'Table T11'!B17</f>
        <v>5.5864338839138494E-2</v>
      </c>
      <c r="E17" s="396">
        <f>(RawData!AK47/1000)/'Table T11'!B17</f>
        <v>4.5586978167812334E-2</v>
      </c>
      <c r="F17" s="396">
        <f>((RawData!AO47+RawData!AP47+RawData!AQ47+RawData!AR47+RawData!AS47+RawData!AT47)/1000)/'Table T11'!B17</f>
        <v>4.4840989059893643E-2</v>
      </c>
      <c r="G17" s="396">
        <f>((RawData!AN47+RawData!AL47)/1000)/'Table T11'!B17</f>
        <v>2.7118144824340375E-3</v>
      </c>
      <c r="H17" s="396">
        <f>((RawData!AU47+RawData!AX47)/1000)/'Table T11'!B17</f>
        <v>3.8096671223710285E-2</v>
      </c>
      <c r="I17" s="445">
        <f>'Table T9'!H17*'Table T9'!B17/'Table T11'!B17</f>
        <v>5.8270393837425922E-4</v>
      </c>
      <c r="J17" s="443">
        <f>'Table T4'!G60</f>
        <v>249.06800000000001</v>
      </c>
      <c r="K17" s="448">
        <f t="shared" si="9"/>
        <v>0.23882232964491623</v>
      </c>
      <c r="L17" s="398">
        <f>(RawData!BB47/1000)/'Table T11'!$J17</f>
        <v>9.3528674900027309E-2</v>
      </c>
      <c r="M17" s="398">
        <f>(RawData!AZ47/1000)/'Table T11'!$J17</f>
        <v>5.736585992580339E-2</v>
      </c>
      <c r="N17" s="396">
        <f>((RawData!BD47+RawData!BE47+RawData!BF47+RawData!BG47+RawData!BH47+RawData!BI47)/1000)/'Table T11'!J17</f>
        <v>6.2203896124753078E-2</v>
      </c>
      <c r="O17" s="396">
        <f>((RawData!BA47+RawData!BC47)/1000)/'Table T11'!J17</f>
        <v>3.8061894743604153E-3</v>
      </c>
      <c r="P17" s="396">
        <f>((RawData!BJ47+RawData!BM47)/1000)/'Table T11'!J17</f>
        <v>2.1170925209179819E-2</v>
      </c>
      <c r="Q17" s="445">
        <f>'Table T9'!O17*'Table T9'!I17/'Table T11'!J17</f>
        <v>7.467840107922085E-4</v>
      </c>
      <c r="R17" s="443">
        <f t="shared" si="1"/>
        <v>375.60599999999999</v>
      </c>
      <c r="S17" s="448">
        <f t="shared" si="10"/>
        <v>0.15377283642966302</v>
      </c>
      <c r="T17" s="398">
        <f t="shared" si="2"/>
        <v>3.0888750445946009E-2</v>
      </c>
      <c r="U17" s="398">
        <f t="shared" si="3"/>
        <v>3.7776286853777631E-2</v>
      </c>
      <c r="V17" s="396">
        <f t="shared" si="4"/>
        <v>3.3327476131904177E-2</v>
      </c>
      <c r="W17" s="396">
        <f t="shared" si="5"/>
        <v>1.9861237573414697E-3</v>
      </c>
      <c r="X17" s="396">
        <f t="shared" si="6"/>
        <v>4.9320298397789168E-2</v>
      </c>
      <c r="Y17" s="444">
        <f t="shared" si="7"/>
        <v>4.7390084290455472E-4</v>
      </c>
      <c r="AA17" s="330"/>
    </row>
    <row r="18" spans="1:27" ht="15">
      <c r="A18" s="18">
        <v>1990</v>
      </c>
      <c r="B18" s="384">
        <f>('Table T4'!G61+'Table T4'!H61)</f>
        <v>589.18700000000001</v>
      </c>
      <c r="C18" s="71">
        <f t="shared" si="8"/>
        <v>0.22587226126849369</v>
      </c>
      <c r="D18" s="54">
        <f>(RawData!AM48/1000)/'Table T11'!B18</f>
        <v>5.768966389278786E-2</v>
      </c>
      <c r="E18" s="54">
        <f>(RawData!AK48/1000)/'Table T11'!B18</f>
        <v>4.7896508239319603E-2</v>
      </c>
      <c r="F18" s="54">
        <f>((RawData!AO48+RawData!AP48+RawData!AQ48+RawData!AR48+RawData!AS48+RawData!AT48)/1000)/'Table T11'!B18</f>
        <v>7.7372718678450136E-2</v>
      </c>
      <c r="G18" s="54">
        <f>((RawData!AN48+RawData!AL48)/1000)/'Table T11'!B18</f>
        <v>3.8578583709416537E-3</v>
      </c>
      <c r="H18" s="54">
        <f>((RawData!AU48+RawData!AX48)/1000)/'Table T11'!B18</f>
        <v>3.8325692861519343E-2</v>
      </c>
      <c r="I18" s="68">
        <f>'Table T9'!H18*'Table T9'!B18/'Table T11'!B18</f>
        <v>7.2981922547507637E-4</v>
      </c>
      <c r="J18" s="434">
        <f>'Table T4'!G61</f>
        <v>224.46100000000001</v>
      </c>
      <c r="K18" s="71">
        <f t="shared" si="9"/>
        <v>0.24252320002138453</v>
      </c>
      <c r="L18" s="59">
        <f>(RawData!BB48/1000)/'Table T11'!$J18</f>
        <v>9.3401526323058343E-2</v>
      </c>
      <c r="M18" s="59">
        <f>(RawData!AZ48/1000)/'Table T11'!$J18</f>
        <v>5.3969286423922194E-2</v>
      </c>
      <c r="N18" s="54">
        <f>((RawData!BD48+RawData!BE48+RawData!BF48+RawData!BG48+RawData!BH48+RawData!BI48)/1000)/'Table T11'!J18</f>
        <v>6.8314762920952857E-2</v>
      </c>
      <c r="O18" s="54">
        <f>((RawData!BA48+RawData!BC48)/1000)/'Table T11'!J18</f>
        <v>4.441751573770053E-3</v>
      </c>
      <c r="P18" s="54">
        <f>((RawData!BJ48+RawData!BM48)/1000)/'Table T11'!J18</f>
        <v>2.1553855680942344E-2</v>
      </c>
      <c r="Q18" s="68">
        <f>'Table T9'!O18*'Table T9'!I18/'Table T11'!J18</f>
        <v>8.4201709873873325E-4</v>
      </c>
      <c r="R18" s="434">
        <f t="shared" si="1"/>
        <v>364.726</v>
      </c>
      <c r="S18" s="71">
        <f t="shared" si="10"/>
        <v>0.21562488004693933</v>
      </c>
      <c r="T18" s="59">
        <f t="shared" si="2"/>
        <v>3.5711739771773887E-2</v>
      </c>
      <c r="U18" s="59">
        <f t="shared" si="3"/>
        <v>4.4159177026041462E-2</v>
      </c>
      <c r="V18" s="54">
        <f t="shared" si="4"/>
        <v>8.2947198719038412E-2</v>
      </c>
      <c r="W18" s="54">
        <f t="shared" si="5"/>
        <v>3.4985166947242596E-3</v>
      </c>
      <c r="X18" s="54">
        <f t="shared" si="6"/>
        <v>4.8647477832674389E-2</v>
      </c>
      <c r="Y18" s="437">
        <f t="shared" si="7"/>
        <v>6.6077000268691848E-4</v>
      </c>
      <c r="AA18" s="330"/>
    </row>
    <row r="19" spans="1:27" ht="15">
      <c r="A19" s="18">
        <v>1991</v>
      </c>
      <c r="B19" s="384">
        <f>('Table T4'!G62+'Table T4'!H62)</f>
        <v>724.52499999999998</v>
      </c>
      <c r="C19" s="71">
        <f t="shared" si="8"/>
        <v>0.24479900624547116</v>
      </c>
      <c r="D19" s="54">
        <f>(RawData!AM49/1000)/'Table T11'!B19</f>
        <v>6.2784583002656907E-2</v>
      </c>
      <c r="E19" s="54">
        <f>(RawData!AK49/1000)/'Table T11'!B19</f>
        <v>4.4805907318588044E-2</v>
      </c>
      <c r="F19" s="54">
        <f>((RawData!AO49+RawData!AP49+RawData!AQ49+RawData!AR49+RawData!AS49+RawData!AT49)/1000)/'Table T11'!B19</f>
        <v>8.5287602222145542E-2</v>
      </c>
      <c r="G19" s="54">
        <f>((RawData!AN49+RawData!AL49)/1000)/'Table T11'!B19</f>
        <v>4.9908560781201476E-3</v>
      </c>
      <c r="H19" s="54">
        <f>((RawData!AU49+RawData!AX49)/1000)/'Table T11'!B19</f>
        <v>4.6209585590559328E-2</v>
      </c>
      <c r="I19" s="68">
        <f>'Table T9'!H19*'Table T9'!B19/'Table T11'!B19</f>
        <v>7.2047203340120302E-4</v>
      </c>
      <c r="J19" s="434">
        <f>'Table T4'!G62</f>
        <v>301.55200000000002</v>
      </c>
      <c r="K19" s="71">
        <f t="shared" si="9"/>
        <v>0.25860879715604607</v>
      </c>
      <c r="L19" s="59">
        <f>(RawData!BB49/1000)/'Table T11'!$J19</f>
        <v>9.4136334695176946E-2</v>
      </c>
      <c r="M19" s="59">
        <f>(RawData!AZ49/1000)/'Table T11'!$J19</f>
        <v>4.8290178808298397E-2</v>
      </c>
      <c r="N19" s="54">
        <f>((RawData!BD49+RawData!BE49+RawData!BF49+RawData!BG49+RawData!BH49+RawData!BI49)/1000)/'Table T11'!J19</f>
        <v>7.752228471374753E-2</v>
      </c>
      <c r="O19" s="54">
        <f>((RawData!BA49+RawData!BC49)/1000)/'Table T11'!J19</f>
        <v>5.3125165808882054E-3</v>
      </c>
      <c r="P19" s="54">
        <f>((RawData!BJ49+RawData!BM49)/1000)/'Table T11'!J19</f>
        <v>3.2654401230965135E-2</v>
      </c>
      <c r="Q19" s="68">
        <f>'Table T9'!O19*'Table T9'!I19/'Table T11'!J19</f>
        <v>6.9308112696979493E-4</v>
      </c>
      <c r="R19" s="434">
        <f t="shared" si="1"/>
        <v>422.97299999999996</v>
      </c>
      <c r="S19" s="71">
        <f t="shared" si="10"/>
        <v>0.23495353131287344</v>
      </c>
      <c r="T19" s="59">
        <f t="shared" si="2"/>
        <v>4.0432840866911124E-2</v>
      </c>
      <c r="U19" s="59">
        <f t="shared" si="3"/>
        <v>4.2321850330872199E-2</v>
      </c>
      <c r="V19" s="54">
        <f t="shared" si="4"/>
        <v>9.0823764164615725E-2</v>
      </c>
      <c r="W19" s="54">
        <f t="shared" si="5"/>
        <v>4.7615332420745523E-3</v>
      </c>
      <c r="X19" s="54">
        <f t="shared" si="6"/>
        <v>5.5873542755684166E-2</v>
      </c>
      <c r="Y19" s="437">
        <f t="shared" si="7"/>
        <v>7.3999995271568388E-4</v>
      </c>
      <c r="AA19" s="330"/>
    </row>
    <row r="20" spans="1:27" ht="15">
      <c r="A20" s="18">
        <v>1992</v>
      </c>
      <c r="B20" s="384">
        <f>('Table T4'!G63+'Table T4'!H63)</f>
        <v>787.89</v>
      </c>
      <c r="C20" s="71">
        <f t="shared" si="8"/>
        <v>0.2422939750472782</v>
      </c>
      <c r="D20" s="54">
        <f>(RawData!AM50/1000)/'Table T11'!B20</f>
        <v>6.3008795644061991E-2</v>
      </c>
      <c r="E20" s="54">
        <f>(RawData!AK50/1000)/'Table T11'!B20</f>
        <v>4.3165924177232862E-2</v>
      </c>
      <c r="F20" s="54">
        <f>((RawData!AO50+RawData!AP50+RawData!AQ50+RawData!AR50+RawData!AS50+RawData!AT50)/1000)/'Table T11'!B20</f>
        <v>8.7243143078348503E-2</v>
      </c>
      <c r="G20" s="54">
        <f>((RawData!AN50+RawData!AL50)/1000)/'Table T11'!B20</f>
        <v>4.108441533716636E-3</v>
      </c>
      <c r="H20" s="54">
        <f>((RawData!AU50+RawData!AX50)/1000)/'Table T11'!B20</f>
        <v>4.3372805848532162E-2</v>
      </c>
      <c r="I20" s="68">
        <f>'Table T9'!H20*'Table T9'!B20/'Table T11'!B20</f>
        <v>1.3948647653860453E-3</v>
      </c>
      <c r="J20" s="434">
        <f>'Table T4'!G63</f>
        <v>313.63600000000002</v>
      </c>
      <c r="K20" s="71">
        <f t="shared" si="9"/>
        <v>0.27301393972630689</v>
      </c>
      <c r="L20" s="59">
        <f>(RawData!BB50/1000)/'Table T11'!$J20</f>
        <v>0.10052417452078204</v>
      </c>
      <c r="M20" s="59">
        <f>(RawData!AZ50/1000)/'Table T11'!$J20</f>
        <v>4.5269037993087527E-2</v>
      </c>
      <c r="N20" s="54">
        <f>((RawData!BD50+RawData!BE50+RawData!BF50+RawData!BG50+RawData!BH50+RawData!BI50)/1000)/'Table T11'!J20</f>
        <v>8.8771697126605348E-2</v>
      </c>
      <c r="O20" s="54">
        <f>((RawData!BA50+RawData!BC50)/1000)/'Table T11'!J20</f>
        <v>5.98464461987782E-3</v>
      </c>
      <c r="P20" s="54">
        <f>((RawData!BJ50+RawData!BM50)/1000)/'Table T11'!J20</f>
        <v>3.1801196291242076E-2</v>
      </c>
      <c r="Q20" s="68">
        <f>'Table T9'!O20*'Table T9'!I20/'Table T11'!J20</f>
        <v>6.6318917471207381E-4</v>
      </c>
      <c r="R20" s="434">
        <f t="shared" si="1"/>
        <v>474.25399999999996</v>
      </c>
      <c r="S20" s="71">
        <f t="shared" si="10"/>
        <v>0.22197809612570485</v>
      </c>
      <c r="T20" s="59">
        <f t="shared" si="2"/>
        <v>3.8198939808625758E-2</v>
      </c>
      <c r="U20" s="59">
        <f t="shared" si="3"/>
        <v>4.1775082550700678E-2</v>
      </c>
      <c r="V20" s="54">
        <f t="shared" si="4"/>
        <v>8.6232272157957562E-2</v>
      </c>
      <c r="W20" s="54">
        <f t="shared" si="5"/>
        <v>2.8676616327959282E-3</v>
      </c>
      <c r="X20" s="54">
        <f t="shared" si="6"/>
        <v>5.1025399891197552E-2</v>
      </c>
      <c r="Y20" s="437">
        <f t="shared" si="7"/>
        <v>1.8787400844273647E-3</v>
      </c>
      <c r="AA20" s="330"/>
    </row>
    <row r="21" spans="1:27" ht="15">
      <c r="A21" s="18">
        <v>1993</v>
      </c>
      <c r="B21" s="384">
        <f>('Table T4'!G64+'Table T4'!H64)</f>
        <v>915.55500000000006</v>
      </c>
      <c r="C21" s="71">
        <f t="shared" si="8"/>
        <v>0.26543681155146326</v>
      </c>
      <c r="D21" s="54">
        <f>(RawData!AM51/1000)/'Table T11'!B21</f>
        <v>6.1397731430662274E-2</v>
      </c>
      <c r="E21" s="54">
        <f>(RawData!AK51/1000)/'Table T11'!B21</f>
        <v>4.0579757633348076E-2</v>
      </c>
      <c r="F21" s="54">
        <f>((RawData!AO51+RawData!AP51+RawData!AQ51+RawData!AR51+RawData!AS51+RawData!AT51)/1000)/'Table T11'!B21</f>
        <v>9.4177848408888584E-2</v>
      </c>
      <c r="G21" s="54">
        <f>((RawData!AN51+RawData!AL51)/1000)/'Table T11'!B21</f>
        <v>5.5900519357111262E-3</v>
      </c>
      <c r="H21" s="54">
        <f>((RawData!AU51+RawData!AX51)/1000)/'Table T11'!B21</f>
        <v>5.9140084429662877E-2</v>
      </c>
      <c r="I21" s="68">
        <f>'Table T9'!H21*'Table T9'!B21/'Table T11'!B21</f>
        <v>4.5513377131903314E-3</v>
      </c>
      <c r="J21" s="434">
        <f>'Table T4'!G64</f>
        <v>358.47800000000001</v>
      </c>
      <c r="K21" s="71">
        <f t="shared" si="9"/>
        <v>0.30321526007174776</v>
      </c>
      <c r="L21" s="59">
        <f>(RawData!BB51/1000)/'Table T11'!$J21</f>
        <v>0.10773046044666618</v>
      </c>
      <c r="M21" s="59">
        <f>(RawData!AZ51/1000)/'Table T11'!$J21</f>
        <v>4.2236901567181247E-2</v>
      </c>
      <c r="N21" s="54">
        <f>((RawData!BD51+RawData!BE51+RawData!BF51+RawData!BG51+RawData!BH51+RawData!BI51)/1000)/'Table T11'!J21</f>
        <v>0.10254464709131382</v>
      </c>
      <c r="O21" s="54">
        <f>((RawData!BA51+RawData!BC51)/1000)/'Table T11'!J21</f>
        <v>7.0269305229330673E-3</v>
      </c>
      <c r="P21" s="54">
        <f>((RawData!BJ51+RawData!BM51)/1000)/'Table T11'!J21</f>
        <v>4.2923136147824968E-2</v>
      </c>
      <c r="Q21" s="68">
        <f>'Table T9'!O21*'Table T9'!I21/'Table T11'!J21</f>
        <v>7.5318429582849002E-4</v>
      </c>
      <c r="R21" s="434">
        <f t="shared" si="1"/>
        <v>557.077</v>
      </c>
      <c r="S21" s="71">
        <f t="shared" si="10"/>
        <v>0.24112645110101472</v>
      </c>
      <c r="T21" s="59">
        <f t="shared" si="2"/>
        <v>3.1582707596974929E-2</v>
      </c>
      <c r="U21" s="59">
        <f t="shared" si="3"/>
        <v>3.9513388633887238E-2</v>
      </c>
      <c r="V21" s="54">
        <f t="shared" si="4"/>
        <v>8.8793829219300013E-2</v>
      </c>
      <c r="W21" s="54">
        <f t="shared" si="5"/>
        <v>4.6654232718277731E-3</v>
      </c>
      <c r="X21" s="54">
        <f t="shared" si="6"/>
        <v>6.9575660097257658E-2</v>
      </c>
      <c r="Y21" s="437">
        <f t="shared" si="7"/>
        <v>6.9954422817670959E-3</v>
      </c>
      <c r="AA21" s="330"/>
    </row>
    <row r="22" spans="1:27" ht="15">
      <c r="A22" s="18">
        <v>1994</v>
      </c>
      <c r="B22" s="384">
        <f>('Table T4'!G65+'Table T4'!H65)</f>
        <v>934.82499999999982</v>
      </c>
      <c r="C22" s="71">
        <f t="shared" si="8"/>
        <v>0.27088171582916587</v>
      </c>
      <c r="D22" s="54">
        <f>(RawData!AM52/1000)/'Table T11'!B22</f>
        <v>6.2028721953306776E-2</v>
      </c>
      <c r="E22" s="54">
        <f>(RawData!AK52/1000)/'Table T11'!B22</f>
        <v>3.8684245714438535E-2</v>
      </c>
      <c r="F22" s="54">
        <f>((RawData!AO52+RawData!AP52+RawData!AQ52+RawData!AR52+RawData!AS52+RawData!AT52)/1000)/'Table T11'!B22</f>
        <v>9.843125718717409E-2</v>
      </c>
      <c r="G22" s="54">
        <f>((RawData!AN52+RawData!AL52)/1000)/'Table T11'!B22</f>
        <v>6.171208514962695E-3</v>
      </c>
      <c r="H22" s="54">
        <f>((RawData!AU52+RawData!AX52)/1000)/'Table T11'!B22</f>
        <v>5.9334099965234144E-2</v>
      </c>
      <c r="I22" s="68">
        <f>'Table T9'!H22*'Table T9'!B22/'Table T11'!B22</f>
        <v>6.2321824940496868E-3</v>
      </c>
      <c r="J22" s="434">
        <f>'Table T4'!G65</f>
        <v>363.75299999999999</v>
      </c>
      <c r="K22" s="71">
        <f t="shared" si="9"/>
        <v>0.29815286746775971</v>
      </c>
      <c r="L22" s="59">
        <f>(RawData!BB52/1000)/'Table T11'!$J22</f>
        <v>0.10985476408441992</v>
      </c>
      <c r="M22" s="59">
        <f>(RawData!AZ52/1000)/'Table T11'!$J22</f>
        <v>4.1442957171487244E-2</v>
      </c>
      <c r="N22" s="54">
        <f>((RawData!BD52+RawData!BE52+RawData!BF52+RawData!BG52+RawData!BH52+RawData!BI52)/1000)/'Table T11'!J22</f>
        <v>0.10001017173741522</v>
      </c>
      <c r="O22" s="54">
        <f>((RawData!BA52+RawData!BC52)/1000)/'Table T11'!J22</f>
        <v>7.6975310169263211E-3</v>
      </c>
      <c r="P22" s="54">
        <f>((RawData!BJ52+RawData!BM52)/1000)/'Table T11'!J22</f>
        <v>3.8564630394800868E-2</v>
      </c>
      <c r="Q22" s="68">
        <f>'Table T9'!O22*'Table T9'!I22/'Table T11'!J22</f>
        <v>5.8281306271010399E-4</v>
      </c>
      <c r="R22" s="434">
        <f t="shared" si="1"/>
        <v>571.07199999999989</v>
      </c>
      <c r="S22" s="71">
        <f t="shared" si="10"/>
        <v>0.2535109408270762</v>
      </c>
      <c r="T22" s="59">
        <f t="shared" si="2"/>
        <v>3.1565196682730022E-2</v>
      </c>
      <c r="U22" s="59">
        <f t="shared" si="3"/>
        <v>3.6927042474504096E-2</v>
      </c>
      <c r="V22" s="54">
        <f t="shared" si="4"/>
        <v>9.7425543539168477E-2</v>
      </c>
      <c r="W22" s="54">
        <f t="shared" si="5"/>
        <v>5.1989941723635568E-3</v>
      </c>
      <c r="X22" s="54">
        <f t="shared" si="6"/>
        <v>7.2563529642496932E-2</v>
      </c>
      <c r="Y22" s="437">
        <f t="shared" si="7"/>
        <v>9.8306343158130853E-3</v>
      </c>
      <c r="AA22" s="330"/>
    </row>
    <row r="23" spans="1:27" ht="15">
      <c r="A23" s="18">
        <v>1995</v>
      </c>
      <c r="B23" s="384">
        <f>('Table T4'!G66+'Table T4'!H66)</f>
        <v>1242.587</v>
      </c>
      <c r="C23" s="71">
        <f t="shared" si="8"/>
        <v>0.30618862099796634</v>
      </c>
      <c r="D23" s="54">
        <f>(RawData!AM53/1000)/'Table T11'!B23</f>
        <v>5.7085741280087428E-2</v>
      </c>
      <c r="E23" s="54">
        <f>(RawData!AK53/1000)/'Table T11'!B23</f>
        <v>4.0026975978341962E-2</v>
      </c>
      <c r="F23" s="54">
        <f>((RawData!AO53+RawData!AP53+RawData!AQ53+RawData!AR53+RawData!AS53+RawData!AT53)/1000)/'Table T11'!B23</f>
        <v>0.12674927389390039</v>
      </c>
      <c r="G23" s="54">
        <f>((RawData!AN53+RawData!AL53)/1000)/'Table T11'!B23</f>
        <v>7.7338649124769525E-3</v>
      </c>
      <c r="H23" s="54">
        <f>((RawData!AU53+RawData!AX53)/1000)/'Table T11'!B23</f>
        <v>6.9414857873130814E-2</v>
      </c>
      <c r="I23" s="68">
        <f>'Table T9'!H23*'Table T9'!B23/'Table T11'!B23</f>
        <v>5.1779070600287925E-3</v>
      </c>
      <c r="J23" s="434">
        <f>'Table T4'!G66</f>
        <v>499.54700000000003</v>
      </c>
      <c r="K23" s="71">
        <f t="shared" si="9"/>
        <v>0.31424270388972408</v>
      </c>
      <c r="L23" s="59">
        <f>(RawData!BB53/1000)/'Table T11'!$J23</f>
        <v>9.9125807982031716E-2</v>
      </c>
      <c r="M23" s="59">
        <f>(RawData!AZ53/1000)/'Table T11'!$J23</f>
        <v>4.0574760733224295E-2</v>
      </c>
      <c r="N23" s="54">
        <f>((RawData!BD53+RawData!BE53+RawData!BF53+RawData!BG53+RawData!BH53+RawData!BI53)/1000)/'Table T11'!J23</f>
        <v>0.11128882767787615</v>
      </c>
      <c r="O23" s="54">
        <f>((RawData!BA53+RawData!BC53)/1000)/'Table T11'!J23</f>
        <v>1.0663661277117067E-2</v>
      </c>
      <c r="P23" s="54">
        <f>((RawData!BJ53+RawData!BM53)/1000)/'Table T11'!J23</f>
        <v>5.205516197675094E-2</v>
      </c>
      <c r="Q23" s="68">
        <f>'Table T9'!O23*'Table T9'!I23/'Table T11'!J23</f>
        <v>5.3448424272393524E-4</v>
      </c>
      <c r="R23" s="434">
        <f t="shared" si="1"/>
        <v>743.04</v>
      </c>
      <c r="S23" s="71">
        <f t="shared" si="10"/>
        <v>0.30077384797588286</v>
      </c>
      <c r="T23" s="59">
        <f t="shared" si="2"/>
        <v>2.8822136089577947E-2</v>
      </c>
      <c r="U23" s="59">
        <f t="shared" si="3"/>
        <v>3.9658699397071499E-2</v>
      </c>
      <c r="V23" s="54">
        <f t="shared" si="4"/>
        <v>0.13714335701981054</v>
      </c>
      <c r="W23" s="54">
        <f t="shared" si="5"/>
        <v>5.7641580534022394E-3</v>
      </c>
      <c r="X23" s="54">
        <f t="shared" si="6"/>
        <v>8.1085809646856161E-2</v>
      </c>
      <c r="Y23" s="437">
        <f t="shared" si="7"/>
        <v>8.2996877691644926E-3</v>
      </c>
      <c r="AA23" s="330"/>
    </row>
    <row r="24" spans="1:27" ht="15">
      <c r="A24" s="18">
        <v>1996</v>
      </c>
      <c r="B24" s="384">
        <f>('Table T4'!G67+'Table T4'!H67)</f>
        <v>1513.1850000000002</v>
      </c>
      <c r="C24" s="71">
        <f t="shared" si="8"/>
        <v>0.31800738178081328</v>
      </c>
      <c r="D24" s="54">
        <f>(RawData!AM54/1000)/'Table T11'!B24</f>
        <v>5.6004388095308895E-2</v>
      </c>
      <c r="E24" s="54">
        <f>(RawData!AK54/1000)/'Table T11'!B24</f>
        <v>4.0426649748708847E-2</v>
      </c>
      <c r="F24" s="54">
        <f>((RawData!AO54+RawData!AP54+RawData!AQ54+RawData!AR54+RawData!AS54+RawData!AT54)/1000)/'Table T11'!B24</f>
        <v>0.13439136655465128</v>
      </c>
      <c r="G24" s="54">
        <f>((RawData!AN54+RawData!AL54)/1000)/'Table T11'!B24</f>
        <v>9.8375281277570149E-3</v>
      </c>
      <c r="H24" s="54">
        <f>((RawData!AU54+RawData!AX54)/1000)/'Table T11'!B24</f>
        <v>7.2981162250484899E-2</v>
      </c>
      <c r="I24" s="68">
        <f>'Table T9'!H24*'Table T9'!B24/'Table T11'!B24</f>
        <v>4.3662870039023584E-3</v>
      </c>
      <c r="J24" s="434">
        <f>'Table T4'!G67</f>
        <v>621.10200000000009</v>
      </c>
      <c r="K24" s="71">
        <f t="shared" si="9"/>
        <v>0.3353523253829484</v>
      </c>
      <c r="L24" s="59">
        <f>(RawData!BB54/1000)/'Table T11'!$J24</f>
        <v>9.8986961883877359E-2</v>
      </c>
      <c r="M24" s="59">
        <f>(RawData!AZ54/1000)/'Table T11'!$J24</f>
        <v>4.2936586905210412E-2</v>
      </c>
      <c r="N24" s="54">
        <f>((RawData!BD54+RawData!BE54+RawData!BF54+RawData!BG54+RawData!BH54+RawData!BI54)/1000)/'Table T11'!J24</f>
        <v>0.12542867355120413</v>
      </c>
      <c r="O24" s="54">
        <f>((RawData!BA54+RawData!BC54)/1000)/'Table T11'!J24</f>
        <v>1.1531117272203276E-2</v>
      </c>
      <c r="P24" s="54">
        <f>((RawData!BJ54+RawData!BM54)/1000)/'Table T11'!J24</f>
        <v>5.5778277964005904E-2</v>
      </c>
      <c r="Q24" s="68">
        <f>'Table T9'!O24*'Table T9'!I24/'Table T11'!J24</f>
        <v>6.9070780644729635E-4</v>
      </c>
      <c r="R24" s="434">
        <f t="shared" si="1"/>
        <v>892.08300000000008</v>
      </c>
      <c r="S24" s="71">
        <f t="shared" si="10"/>
        <v>0.30593117456559527</v>
      </c>
      <c r="T24" s="59">
        <f t="shared" si="2"/>
        <v>2.6078290921360457E-2</v>
      </c>
      <c r="U24" s="59">
        <f t="shared" si="3"/>
        <v>3.8679136358388169E-2</v>
      </c>
      <c r="V24" s="54">
        <f t="shared" si="4"/>
        <v>0.14063153316451496</v>
      </c>
      <c r="W24" s="54">
        <f t="shared" si="5"/>
        <v>8.6583871680101527E-3</v>
      </c>
      <c r="X24" s="54">
        <f t="shared" si="6"/>
        <v>8.4958462385226474E-2</v>
      </c>
      <c r="Y24" s="437">
        <f t="shared" si="7"/>
        <v>6.9253645680950786E-3</v>
      </c>
      <c r="AA24" s="330"/>
    </row>
    <row r="25" spans="1:27" ht="15">
      <c r="A25" s="18">
        <v>1997</v>
      </c>
      <c r="B25" s="384">
        <f>('Table T4'!G68+'Table T4'!H68)</f>
        <v>1972.2860000000001</v>
      </c>
      <c r="C25" s="71">
        <f t="shared" si="8"/>
        <v>0.31639528952697532</v>
      </c>
      <c r="D25" s="54">
        <f>(RawData!AM55/1000)/'Table T11'!B25</f>
        <v>6.0227573485792628E-2</v>
      </c>
      <c r="E25" s="54">
        <f>(RawData!AK55/1000)/'Table T11'!B25</f>
        <v>4.4110235533791751E-2</v>
      </c>
      <c r="F25" s="54">
        <f>((RawData!AO55+RawData!AP55+RawData!AQ55+RawData!AR55+RawData!AS55+RawData!AT55)/1000)/'Table T11'!B25</f>
        <v>0.12839263676768989</v>
      </c>
      <c r="G25" s="54">
        <f>((RawData!AN55+RawData!AL55)/1000)/'Table T11'!B25</f>
        <v>1.2302475401640532E-2</v>
      </c>
      <c r="H25" s="54">
        <f>((RawData!AU55+RawData!AX55)/1000)/'Table T11'!B25</f>
        <v>6.9113708660914291E-2</v>
      </c>
      <c r="I25" s="68">
        <f>'Table T9'!H25*'Table T9'!B25/'Table T11'!B25</f>
        <v>2.2486596771462094E-3</v>
      </c>
      <c r="J25" s="434">
        <f>'Table T4'!G68</f>
        <v>888.12099999999998</v>
      </c>
      <c r="K25" s="71">
        <f t="shared" si="9"/>
        <v>0.33520094671784589</v>
      </c>
      <c r="L25" s="59">
        <f>(RawData!BB55/1000)/'Table T11'!$J25</f>
        <v>9.8671239617124248E-2</v>
      </c>
      <c r="M25" s="59">
        <f>(RawData!AZ55/1000)/'Table T11'!$J25</f>
        <v>4.8020483695352327E-2</v>
      </c>
      <c r="N25" s="54">
        <f>((RawData!BD55+RawData!BE55+RawData!BF55+RawData!BG55+RawData!BH55+RawData!BI55)/1000)/'Table T11'!J25</f>
        <v>0.12586573225945566</v>
      </c>
      <c r="O25" s="54">
        <f>((RawData!BA55+RawData!BC55)/1000)/'Table T11'!J25</f>
        <v>1.3213289630579616E-2</v>
      </c>
      <c r="P25" s="54">
        <f>((RawData!BJ55+RawData!BM55)/1000)/'Table T11'!J25</f>
        <v>4.8871719056299764E-2</v>
      </c>
      <c r="Q25" s="68">
        <f>'Table T9'!O25*'Table T9'!I25/'Table T11'!J25</f>
        <v>5.5848245903428325E-4</v>
      </c>
      <c r="R25" s="434">
        <f t="shared" si="1"/>
        <v>1084.165</v>
      </c>
      <c r="S25" s="71">
        <f t="shared" si="10"/>
        <v>0.30099016293645342</v>
      </c>
      <c r="T25" s="59">
        <f t="shared" si="2"/>
        <v>2.8735478455770107E-2</v>
      </c>
      <c r="U25" s="59">
        <f t="shared" si="3"/>
        <v>4.0907057505084561E-2</v>
      </c>
      <c r="V25" s="54">
        <f t="shared" si="4"/>
        <v>0.13046261408549439</v>
      </c>
      <c r="W25" s="54">
        <f t="shared" si="5"/>
        <v>1.155635904128984E-2</v>
      </c>
      <c r="X25" s="54">
        <f t="shared" si="6"/>
        <v>8.5695443036807151E-2</v>
      </c>
      <c r="Y25" s="437">
        <f t="shared" si="7"/>
        <v>3.6332108120073997E-3</v>
      </c>
      <c r="AA25" s="330"/>
    </row>
    <row r="26" spans="1:27" ht="15">
      <c r="A26" s="18">
        <v>1998</v>
      </c>
      <c r="B26" s="384">
        <f>('Table T4'!G69+'Table T4'!H69)</f>
        <v>2407.1030000000001</v>
      </c>
      <c r="C26" s="71">
        <f t="shared" si="8"/>
        <v>0.31891240216974515</v>
      </c>
      <c r="D26" s="54">
        <f>(RawData!AM56/1000)/'Table T11'!B26</f>
        <v>6.6301275849018501E-2</v>
      </c>
      <c r="E26" s="54">
        <f>(RawData!AK56/1000)/'Table T11'!B26</f>
        <v>5.2239143900364882E-2</v>
      </c>
      <c r="F26" s="54">
        <f>((RawData!AO56+RawData!AP56+RawData!AQ56+RawData!AR56+RawData!AS56+RawData!AT56)/1000)/'Table T11'!B26</f>
        <v>0.11986649511882125</v>
      </c>
      <c r="G26" s="54">
        <f>((RawData!AN56+RawData!AL56)/1000)/'Table T11'!B26</f>
        <v>1.3842365698518095E-2</v>
      </c>
      <c r="H26" s="54">
        <f>((RawData!AU56+RawData!AX56)/1000)/'Table T11'!B26</f>
        <v>6.5093184628991788E-2</v>
      </c>
      <c r="I26" s="68">
        <f>'Table T9'!H26*'Table T9'!B26/'Table T11'!B26</f>
        <v>1.5699369740306052E-3</v>
      </c>
      <c r="J26" s="434">
        <f>'Table T4'!G69</f>
        <v>1188.529</v>
      </c>
      <c r="K26" s="71">
        <f t="shared" si="9"/>
        <v>0.32330469008328777</v>
      </c>
      <c r="L26" s="59">
        <f>(RawData!BB56/1000)/'Table T11'!$J26</f>
        <v>9.7575237962220535E-2</v>
      </c>
      <c r="M26" s="59">
        <f>(RawData!AZ56/1000)/'Table T11'!$J26</f>
        <v>5.3923799924107868E-2</v>
      </c>
      <c r="N26" s="54">
        <f>((RawData!BD56+RawData!BE56+RawData!BF56+RawData!BG56+RawData!BH56+RawData!BI56)/1000)/'Table T11'!J26</f>
        <v>0.11962686648790227</v>
      </c>
      <c r="O26" s="54">
        <f>((RawData!BA56+RawData!BC56)/1000)/'Table T11'!J26</f>
        <v>1.4475035947797657E-2</v>
      </c>
      <c r="P26" s="54">
        <f>((RawData!BJ56+RawData!BM56)/1000)/'Table T11'!J26</f>
        <v>3.7175365514850706E-2</v>
      </c>
      <c r="Q26" s="68">
        <f>'Table T9'!O26*'Table T9'!I26/'Table T11'!J26</f>
        <v>5.2838424640877231E-4</v>
      </c>
      <c r="R26" s="434">
        <f t="shared" si="1"/>
        <v>1218.5740000000001</v>
      </c>
      <c r="S26" s="71">
        <f t="shared" si="10"/>
        <v>0.31462840992832608</v>
      </c>
      <c r="T26" s="59">
        <f t="shared" si="2"/>
        <v>3.5798400425415274E-2</v>
      </c>
      <c r="U26" s="59">
        <f t="shared" si="3"/>
        <v>5.0596024533594186E-2</v>
      </c>
      <c r="V26" s="54">
        <f t="shared" si="4"/>
        <v>0.12010021549778675</v>
      </c>
      <c r="W26" s="54">
        <f t="shared" si="5"/>
        <v>1.3225294483552086E-2</v>
      </c>
      <c r="X26" s="54">
        <f t="shared" si="6"/>
        <v>9.2322665673155696E-2</v>
      </c>
      <c r="Y26" s="437">
        <f t="shared" si="7"/>
        <v>2.5858093148220956E-3</v>
      </c>
      <c r="AA26" s="330"/>
    </row>
    <row r="27" spans="1:27" ht="15">
      <c r="A27" s="311">
        <v>1999</v>
      </c>
      <c r="B27" s="385">
        <f>('Table T4'!G70+'Table T4'!H70)</f>
        <v>2773.4870000000001</v>
      </c>
      <c r="C27" s="448">
        <f t="shared" si="8"/>
        <v>0.31944407887976406</v>
      </c>
      <c r="D27" s="396">
        <f>(RawData!AM57/1000)/'Table T11'!B27</f>
        <v>6.7726295454061974E-2</v>
      </c>
      <c r="E27" s="396">
        <f>(RawData!AK57/1000)/'Table T11'!B27</f>
        <v>5.6750942045158313E-2</v>
      </c>
      <c r="F27" s="396">
        <f>((RawData!AO57+RawData!AP57+RawData!AQ57+RawData!AR57+RawData!AS57+RawData!AT57)/1000)/'Table T11'!B27</f>
        <v>0.12254248893180318</v>
      </c>
      <c r="G27" s="396">
        <f>((RawData!AN57+RawData!AL57)/1000)/'Table T11'!B27</f>
        <v>1.5661151467448738E-2</v>
      </c>
      <c r="H27" s="396">
        <f>((RawData!AU57+RawData!AX57)/1000)/'Table T11'!B27</f>
        <v>5.5397050716300453E-2</v>
      </c>
      <c r="I27" s="445">
        <f>'Table T9'!H27*'Table T9'!B27/'Table T11'!B27</f>
        <v>1.3661502649913485E-3</v>
      </c>
      <c r="J27" s="443">
        <f>'Table T4'!G70</f>
        <v>1537.3509999999999</v>
      </c>
      <c r="K27" s="448">
        <f t="shared" si="9"/>
        <v>0.31657962300086312</v>
      </c>
      <c r="L27" s="398">
        <f>(RawData!BB57/1000)/'Table T11'!$J27</f>
        <v>9.33905139424894E-2</v>
      </c>
      <c r="M27" s="398">
        <f>(RawData!AZ57/1000)/'Table T11'!$J27</f>
        <v>5.8032290608976092E-2</v>
      </c>
      <c r="N27" s="396">
        <f>((RawData!BD57+RawData!BE57+RawData!BF57+RawData!BG57+RawData!BH57+RawData!BI57)/1000)/'Table T11'!J27</f>
        <v>0.1133319586743691</v>
      </c>
      <c r="O27" s="396">
        <f>((RawData!BA57+RawData!BC57)/1000)/'Table T11'!J27</f>
        <v>1.6600633167051636E-2</v>
      </c>
      <c r="P27" s="396">
        <f>((RawData!BJ57+RawData!BM57)/1000)/'Table T11'!J27</f>
        <v>3.4564650492958343E-2</v>
      </c>
      <c r="Q27" s="445">
        <f>'Table T9'!O27*'Table T9'!I27/'Table T11'!J27</f>
        <v>6.5957611501860514E-4</v>
      </c>
      <c r="R27" s="443">
        <f t="shared" si="1"/>
        <v>1236.1360000000002</v>
      </c>
      <c r="S27" s="448">
        <f t="shared" si="10"/>
        <v>0.32300653002582241</v>
      </c>
      <c r="T27" s="398">
        <f t="shared" si="2"/>
        <v>3.5808357656439076E-2</v>
      </c>
      <c r="U27" s="398">
        <f t="shared" si="3"/>
        <v>5.5157361325938237E-2</v>
      </c>
      <c r="V27" s="396">
        <f t="shared" si="4"/>
        <v>0.1339973918727389</v>
      </c>
      <c r="W27" s="396">
        <f t="shared" si="5"/>
        <v>1.449274189894963E-2</v>
      </c>
      <c r="X27" s="396">
        <f t="shared" si="6"/>
        <v>8.1305778652187119E-2</v>
      </c>
      <c r="Y27" s="444">
        <f t="shared" si="7"/>
        <v>2.2448986195694426E-3</v>
      </c>
      <c r="AA27" s="330"/>
    </row>
    <row r="28" spans="1:27" ht="15">
      <c r="A28" s="18">
        <v>2000</v>
      </c>
      <c r="B28" s="384">
        <f>('Table T4'!G71+'Table T4'!H71)</f>
        <v>2935.0219999999999</v>
      </c>
      <c r="C28" s="71">
        <f t="shared" si="8"/>
        <v>0.33265815384007347</v>
      </c>
      <c r="D28" s="54">
        <f>(RawData!AM58/1000)/'Table T11'!B28</f>
        <v>6.0279616302705737E-2</v>
      </c>
      <c r="E28" s="54">
        <f>(RawData!AK58/1000)/'Table T11'!B28</f>
        <v>8.5227299829439107E-2</v>
      </c>
      <c r="F28" s="54">
        <f>((RawData!AO58+RawData!AP58+RawData!AQ58+RawData!AR58+RawData!AS58+RawData!AT58)/1000)/'Table T11'!B28</f>
        <v>9.8701474810069564E-2</v>
      </c>
      <c r="G28" s="54">
        <f>((RawData!AN58+RawData!AL58)/1000)/'Table T11'!B28</f>
        <v>3.3813034450849093E-2</v>
      </c>
      <c r="H28" s="54">
        <f>((RawData!AU58+RawData!AX58)/1000)/'Table T11'!B28</f>
        <v>5.3212889034562609E-2</v>
      </c>
      <c r="I28" s="68">
        <f>'Table T9'!H28*'Table T9'!B28/'Table T11'!B28</f>
        <v>1.4238394124473192E-3</v>
      </c>
      <c r="J28" s="434">
        <f>'Table T4'!G71</f>
        <v>1532.99</v>
      </c>
      <c r="K28" s="71">
        <f t="shared" si="9"/>
        <v>0.31812927677284264</v>
      </c>
      <c r="L28" s="59">
        <f>(RawData!BB58/1000)/'Table T11'!$J28</f>
        <v>8.8256283472168767E-2</v>
      </c>
      <c r="M28" s="59">
        <f>(RawData!AZ58/1000)/'Table T11'!$J28</f>
        <v>7.0983502827807091E-2</v>
      </c>
      <c r="N28" s="54">
        <f>((RawData!BD58+RawData!BE58+RawData!BF58+RawData!BG58+RawData!BH58+RawData!BI58)/1000)/'Table T11'!J28</f>
        <v>8.9198233517505013E-2</v>
      </c>
      <c r="O28" s="54">
        <f>((RawData!BA58+RawData!BC58)/1000)/'Table T11'!J28</f>
        <v>3.0621856633115674E-2</v>
      </c>
      <c r="P28" s="54">
        <f>((RawData!BJ58+RawData!BM58)/1000)/'Table T11'!J28</f>
        <v>3.8380550427595743E-2</v>
      </c>
      <c r="Q28" s="68">
        <f>'Table T9'!O28*'Table T9'!I28/'Table T11'!J28</f>
        <v>6.8884989465033521E-4</v>
      </c>
      <c r="R28" s="434">
        <f t="shared" si="1"/>
        <v>1402.0319999999999</v>
      </c>
      <c r="S28" s="71">
        <f t="shared" si="10"/>
        <v>0.34854411311582045</v>
      </c>
      <c r="T28" s="59">
        <f t="shared" si="2"/>
        <v>2.9689764570280854E-2</v>
      </c>
      <c r="U28" s="59">
        <f t="shared" si="3"/>
        <v>0.10080155089184845</v>
      </c>
      <c r="V28" s="54">
        <f t="shared" si="4"/>
        <v>0.10909237449644514</v>
      </c>
      <c r="W28" s="54">
        <f t="shared" si="5"/>
        <v>3.7302286966345993E-2</v>
      </c>
      <c r="X28" s="54">
        <f t="shared" si="6"/>
        <v>6.9430654935122751E-2</v>
      </c>
      <c r="Y28" s="437">
        <f t="shared" si="7"/>
        <v>2.2274812557772851E-3</v>
      </c>
      <c r="AA28" s="330"/>
    </row>
    <row r="29" spans="1:27" ht="15">
      <c r="A29" s="18">
        <v>2001</v>
      </c>
      <c r="B29" s="384">
        <f>('Table T4'!G72+'Table T4'!H72)</f>
        <v>3166.83</v>
      </c>
      <c r="C29" s="71">
        <f t="shared" si="8"/>
        <v>0.35642582645737225</v>
      </c>
      <c r="D29" s="54">
        <f>(RawData!AM59/1000)/'Table T11'!B29</f>
        <v>5.4523608782283864E-2</v>
      </c>
      <c r="E29" s="54">
        <f>(RawData!AK59/1000)/'Table T11'!B29</f>
        <v>0.11143477862720765</v>
      </c>
      <c r="F29" s="54">
        <f>((RawData!AO59+RawData!AP59+RawData!AQ59+RawData!AR59+RawData!AS59+RawData!AT59)/1000)/'Table T11'!B29</f>
        <v>9.7334874306483146E-2</v>
      </c>
      <c r="G29" s="54">
        <f>((RawData!AN59+RawData!AL59)/1000)/'Table T11'!B29</f>
        <v>3.6837468383209712E-2</v>
      </c>
      <c r="H29" s="54">
        <f>((RawData!AU59+RawData!AX59)/1000)/'Table T11'!B29</f>
        <v>5.4271306006321782E-2</v>
      </c>
      <c r="I29" s="68">
        <f>'Table T9'!H29*'Table T9'!B29/'Table T11'!B29</f>
        <v>2.0237903518660733E-3</v>
      </c>
      <c r="J29" s="434">
        <f>'Table T4'!G72</f>
        <v>1479.875</v>
      </c>
      <c r="K29" s="71">
        <f t="shared" si="9"/>
        <v>0.3354519807416167</v>
      </c>
      <c r="L29" s="59">
        <f>(RawData!BB59/1000)/'Table T11'!$J29</f>
        <v>8.2208294619477998E-2</v>
      </c>
      <c r="M29" s="59">
        <f>(RawData!AZ59/1000)/'Table T11'!$J29</f>
        <v>7.9789847115465828E-2</v>
      </c>
      <c r="N29" s="54">
        <f>((RawData!BD59+RawData!BE59+RawData!BF59+RawData!BG59+RawData!BH59+RawData!BI59)/1000)/'Table T11'!J29</f>
        <v>9.3788326716783499E-2</v>
      </c>
      <c r="O29" s="54">
        <f>((RawData!BA59+RawData!BC59)/1000)/'Table T11'!J29</f>
        <v>3.384272320297322E-2</v>
      </c>
      <c r="P29" s="54">
        <f>((RawData!BJ59+RawData!BM59)/1000)/'Table T11'!J29</f>
        <v>4.5268012501055832E-2</v>
      </c>
      <c r="Q29" s="68">
        <f>'Table T9'!O29*'Table T9'!I29/'Table T11'!J29</f>
        <v>5.5477658586033202E-4</v>
      </c>
      <c r="R29" s="434">
        <f t="shared" si="1"/>
        <v>1686.9549999999999</v>
      </c>
      <c r="S29" s="71">
        <f t="shared" si="10"/>
        <v>0.37482505461022964</v>
      </c>
      <c r="T29" s="59">
        <f t="shared" si="2"/>
        <v>3.0237321090366965E-2</v>
      </c>
      <c r="U29" s="59">
        <f t="shared" si="3"/>
        <v>0.13919517710905149</v>
      </c>
      <c r="V29" s="54">
        <f t="shared" si="4"/>
        <v>0.1004460699900116</v>
      </c>
      <c r="W29" s="54">
        <f t="shared" si="5"/>
        <v>3.9464597455178128E-2</v>
      </c>
      <c r="X29" s="54">
        <f t="shared" si="6"/>
        <v>6.2169411750758019E-2</v>
      </c>
      <c r="Y29" s="437">
        <f t="shared" si="7"/>
        <v>3.3124772148634542E-3</v>
      </c>
      <c r="AA29" s="330"/>
    </row>
    <row r="30" spans="1:27" ht="15">
      <c r="A30" s="18">
        <v>2002</v>
      </c>
      <c r="B30" s="384">
        <f>('Table T4'!G73+'Table T4'!H73)</f>
        <v>3183.4459999999999</v>
      </c>
      <c r="C30" s="71">
        <f t="shared" si="8"/>
        <v>0.38627198325336759</v>
      </c>
      <c r="D30" s="54">
        <f>(RawData!AM60/1000)/'Table T11'!B30</f>
        <v>4.9472489874180368E-2</v>
      </c>
      <c r="E30" s="54">
        <f>(RawData!AK60/1000)/'Table T11'!B30</f>
        <v>0.13966029265142238</v>
      </c>
      <c r="F30" s="54">
        <f>((RawData!AO60+RawData!AP60+RawData!AQ60+RawData!AR60+RawData!AS60+RawData!AT60)/1000)/'Table T11'!B30</f>
        <v>0.10916126738132201</v>
      </c>
      <c r="G30" s="54">
        <f>((RawData!AN60+RawData!AL60)/1000)/'Table T11'!B30</f>
        <v>3.6384471418707903E-2</v>
      </c>
      <c r="H30" s="54">
        <f>((RawData!AU60+RawData!AX60)/1000)/'Table T11'!B30</f>
        <v>4.8742777480755131E-2</v>
      </c>
      <c r="I30" s="68">
        <f>'Table T9'!H30*'Table T9'!B30/'Table T11'!B30</f>
        <v>2.8506844469797532E-3</v>
      </c>
      <c r="J30" s="434">
        <f>'Table T4'!G73</f>
        <v>1243.732</v>
      </c>
      <c r="K30" s="71">
        <f t="shared" si="9"/>
        <v>0.35715974180932869</v>
      </c>
      <c r="L30" s="59">
        <f>(RawData!BB60/1000)/'Table T11'!$J30</f>
        <v>7.761157548410752E-2</v>
      </c>
      <c r="M30" s="59">
        <f>(RawData!AZ60/1000)/'Table T11'!$J30</f>
        <v>8.2633557711789998E-2</v>
      </c>
      <c r="N30" s="54">
        <f>((RawData!BD60+RawData!BE60+RawData!BF60+RawData!BG60+RawData!BH60+RawData!BI60)/1000)/'Table T11'!J30</f>
        <v>0.10757623024896039</v>
      </c>
      <c r="O30" s="54">
        <f>((RawData!BA60+RawData!BC60)/1000)/'Table T11'!J30</f>
        <v>3.5446543145951054E-2</v>
      </c>
      <c r="P30" s="54">
        <f>((RawData!BJ60+RawData!BM60)/1000)/'Table T11'!J30</f>
        <v>5.344238147768169E-2</v>
      </c>
      <c r="Q30" s="68">
        <f>'Table T9'!O30*'Table T9'!I30/'Table T11'!J30</f>
        <v>4.4945374083805968E-4</v>
      </c>
      <c r="R30" s="434">
        <f t="shared" si="1"/>
        <v>1939.7139999999999</v>
      </c>
      <c r="S30" s="71">
        <f t="shared" si="10"/>
        <v>0.40493856310775711</v>
      </c>
      <c r="T30" s="59">
        <f t="shared" si="2"/>
        <v>3.1429891210766121E-2</v>
      </c>
      <c r="U30" s="59">
        <f t="shared" si="3"/>
        <v>0.17622546416636678</v>
      </c>
      <c r="V30" s="54">
        <f t="shared" si="4"/>
        <v>0.11017758288077523</v>
      </c>
      <c r="W30" s="54">
        <f t="shared" si="5"/>
        <v>3.6985864926478852E-2</v>
      </c>
      <c r="X30" s="54">
        <f t="shared" si="6"/>
        <v>4.5729421966331112E-2</v>
      </c>
      <c r="Y30" s="437">
        <f t="shared" si="7"/>
        <v>4.3903379570389787E-3</v>
      </c>
      <c r="AA30" s="330"/>
    </row>
    <row r="31" spans="1:27" ht="15">
      <c r="A31" s="18">
        <v>2003</v>
      </c>
      <c r="B31" s="384">
        <f>('Table T4'!G74+'Table T4'!H74)</f>
        <v>3868.3939999999993</v>
      </c>
      <c r="C31" s="71">
        <f t="shared" si="8"/>
        <v>0.41902893035197558</v>
      </c>
      <c r="D31" s="54">
        <f>(RawData!AM61/1000)/'Table T11'!B31</f>
        <v>5.2398488881949472E-2</v>
      </c>
      <c r="E31" s="54">
        <f>(RawData!AK61/1000)/'Table T11'!B31</f>
        <v>0.15456776119495585</v>
      </c>
      <c r="F31" s="54">
        <f>((RawData!AO61+RawData!AP61+RawData!AQ61+RawData!AR61+RawData!AS61+RawData!AT61)/1000)/'Table T11'!B31</f>
        <v>0.12396177845379765</v>
      </c>
      <c r="G31" s="54">
        <f>((RawData!AN61+RawData!AL61)/1000)/'Table T11'!B31</f>
        <v>3.9260737143114177E-2</v>
      </c>
      <c r="H31" s="54">
        <f>((RawData!AU61+RawData!AX61)/1000)/'Table T11'!B31</f>
        <v>4.6720938973641268E-2</v>
      </c>
      <c r="I31" s="68">
        <f>'Table T9'!H31*'Table T9'!B31/'Table T11'!B31</f>
        <v>2.119225704517187E-3</v>
      </c>
      <c r="J31" s="434">
        <f>'Table T4'!G74</f>
        <v>1714.5339999999999</v>
      </c>
      <c r="K31" s="71">
        <f t="shared" si="9"/>
        <v>0.37104426042294875</v>
      </c>
      <c r="L31" s="59">
        <f>(RawData!BB61/1000)/'Table T11'!$J31</f>
        <v>7.2030067645202728E-2</v>
      </c>
      <c r="M31" s="59">
        <f>(RawData!AZ61/1000)/'Table T11'!$J31</f>
        <v>8.1801235787683432E-2</v>
      </c>
      <c r="N31" s="54">
        <f>((RawData!BD61+RawData!BE61+RawData!BF61+RawData!BG61+RawData!BH61+RawData!BI61)/1000)/'Table T11'!J31</f>
        <v>0.12196200250330412</v>
      </c>
      <c r="O31" s="54">
        <f>((RawData!BA61+RawData!BC61)/1000)/'Table T11'!J31</f>
        <v>3.8930111622166724E-2</v>
      </c>
      <c r="P31" s="54">
        <f>((RawData!BJ61+RawData!BM61)/1000)/'Table T11'!J31</f>
        <v>5.5597614278865282E-2</v>
      </c>
      <c r="Q31" s="68">
        <f>'Table T9'!O31*'Table T9'!I31/'Table T11'!J31</f>
        <v>7.2322858572647461E-4</v>
      </c>
      <c r="R31" s="434">
        <f t="shared" si="1"/>
        <v>2153.8599999999997</v>
      </c>
      <c r="S31" s="71">
        <f t="shared" si="10"/>
        <v>0.45722609640366607</v>
      </c>
      <c r="T31" s="59">
        <f t="shared" si="2"/>
        <v>3.6771192185193105E-2</v>
      </c>
      <c r="U31" s="59">
        <f t="shared" si="3"/>
        <v>0.21249199112291425</v>
      </c>
      <c r="V31" s="54">
        <f t="shared" si="4"/>
        <v>0.12555365715506117</v>
      </c>
      <c r="W31" s="54">
        <f t="shared" si="5"/>
        <v>3.9523924489056866E-2</v>
      </c>
      <c r="X31" s="54">
        <f t="shared" si="6"/>
        <v>3.9654852218807178E-2</v>
      </c>
      <c r="Y31" s="437">
        <f t="shared" si="7"/>
        <v>3.2304792326335523E-3</v>
      </c>
      <c r="AA31" s="330"/>
    </row>
    <row r="32" spans="1:27" ht="15">
      <c r="A32" s="18">
        <v>2004</v>
      </c>
      <c r="B32" s="384">
        <f>('Table T4'!G75+'Table T4'!H75)</f>
        <v>4497.8339999999998</v>
      </c>
      <c r="C32" s="71">
        <f t="shared" si="8"/>
        <v>0.42855650075125051</v>
      </c>
      <c r="D32" s="54">
        <f>(RawData!AM62/1000)/'Table T11'!B32</f>
        <v>5.1780479226223114E-2</v>
      </c>
      <c r="E32" s="54">
        <f>(RawData!AK62/1000)/'Table T11'!B32</f>
        <v>0.16102061570080178</v>
      </c>
      <c r="F32" s="54">
        <f>((RawData!AO62+RawData!AP62+RawData!AQ62+RawData!AR62+RawData!AS62+RawData!AT62)/1000)/'Table T11'!B32</f>
        <v>0.12920774755137696</v>
      </c>
      <c r="G32" s="54">
        <f>((RawData!AN62+RawData!AL62)/1000)/'Table T11'!B32</f>
        <v>4.0646453381783319E-2</v>
      </c>
      <c r="H32" s="54">
        <f>((RawData!AU62+RawData!AX62)/1000)/'Table T11'!B32</f>
        <v>4.3543403335916803E-2</v>
      </c>
      <c r="I32" s="68">
        <f>'Table T9'!H32*'Table T9'!B32/'Table T11'!B32</f>
        <v>2.3578015551485401E-3</v>
      </c>
      <c r="J32" s="434">
        <f>'Table T4'!G75</f>
        <v>1962.6870000000001</v>
      </c>
      <c r="K32" s="71">
        <f t="shared" si="9"/>
        <v>0.36627083177297237</v>
      </c>
      <c r="L32" s="59">
        <f>(RawData!BB62/1000)/'Table T11'!$J32</f>
        <v>6.8551939254705402E-2</v>
      </c>
      <c r="M32" s="59">
        <f>(RawData!AZ62/1000)/'Table T11'!$J32</f>
        <v>8.2721799247664041E-2</v>
      </c>
      <c r="N32" s="54">
        <f>((RawData!BD62+RawData!BE62+RawData!BF62+RawData!BG62+RawData!BH62+RawData!BI62)/1000)/'Table T11'!J32</f>
        <v>0.12215753199567735</v>
      </c>
      <c r="O32" s="54">
        <f>((RawData!BA62+RawData!BC62)/1000)/'Table T11'!J32</f>
        <v>3.8966478098647415E-2</v>
      </c>
      <c r="P32" s="54">
        <f>((RawData!BJ62+RawData!BM62)/1000)/'Table T11'!J32</f>
        <v>5.3138885619561343E-2</v>
      </c>
      <c r="Q32" s="68">
        <f>'Table T9'!O32*'Table T9'!I32/'Table T11'!J32</f>
        <v>7.341975567168778E-4</v>
      </c>
      <c r="R32" s="434">
        <f t="shared" si="1"/>
        <v>2535.1469999999999</v>
      </c>
      <c r="S32" s="71">
        <f t="shared" si="10"/>
        <v>0.47677748075358156</v>
      </c>
      <c r="T32" s="59">
        <f t="shared" si="2"/>
        <v>3.879617237185852E-2</v>
      </c>
      <c r="U32" s="59">
        <f t="shared" si="3"/>
        <v>0.2216388240997465</v>
      </c>
      <c r="V32" s="54">
        <f t="shared" si="4"/>
        <v>0.13466595822648547</v>
      </c>
      <c r="W32" s="54">
        <f t="shared" si="5"/>
        <v>4.1947074469448911E-2</v>
      </c>
      <c r="X32" s="54">
        <f t="shared" si="6"/>
        <v>3.6114671062466991E-2</v>
      </c>
      <c r="Y32" s="437">
        <f t="shared" si="7"/>
        <v>3.6147805235751608E-3</v>
      </c>
      <c r="AA32" s="330"/>
    </row>
    <row r="33" spans="1:27" ht="15">
      <c r="A33" s="18">
        <v>2005</v>
      </c>
      <c r="B33" s="384">
        <f>('Table T4'!G76+'Table T4'!H76)</f>
        <v>4933.5439999999999</v>
      </c>
      <c r="C33" s="71">
        <f t="shared" si="8"/>
        <v>0.43961420025847558</v>
      </c>
      <c r="D33" s="54">
        <f>(RawData!AM63/1000)/'Table T11'!B33</f>
        <v>4.8822307047428785E-2</v>
      </c>
      <c r="E33" s="54">
        <f>(RawData!AK63/1000)/'Table T11'!B33</f>
        <v>0.16094535692800144</v>
      </c>
      <c r="F33" s="54">
        <f>((RawData!AO63+RawData!AP63+RawData!AQ63+RawData!AR63+RawData!AS63+RawData!AT63)/1000)/'Table T11'!B33</f>
        <v>0.13671855364014185</v>
      </c>
      <c r="G33" s="54">
        <f>((RawData!AN63+RawData!AL63)/1000)/'Table T11'!B33</f>
        <v>4.2966881414253123E-2</v>
      </c>
      <c r="H33" s="54">
        <f>((RawData!AU63+RawData!AX63)/1000)/'Table T11'!B33</f>
        <v>4.7007992631666003E-2</v>
      </c>
      <c r="I33" s="68">
        <f>'Table T9'!H33*'Table T9'!B33/'Table T11'!B33</f>
        <v>3.1531085969843525E-3</v>
      </c>
      <c r="J33" s="434">
        <f>'Table T4'!G76</f>
        <v>2112.7870000000003</v>
      </c>
      <c r="K33" s="71">
        <f t="shared" si="9"/>
        <v>0.38404297262336423</v>
      </c>
      <c r="L33" s="59">
        <f>(RawData!BB63/1000)/'Table T11'!$J33</f>
        <v>6.7481482989056638E-2</v>
      </c>
      <c r="M33" s="59">
        <f>(RawData!AZ63/1000)/'Table T11'!$J33</f>
        <v>9.1325344201758141E-2</v>
      </c>
      <c r="N33" s="54">
        <f>((RawData!BD63+RawData!BE63+RawData!BF63+RawData!BG63+RawData!BH63+RawData!BI63)/1000)/'Table T11'!J33</f>
        <v>0.12831818825087429</v>
      </c>
      <c r="O33" s="54">
        <f>((RawData!BA63+RawData!BC63)/1000)/'Table T11'!J33</f>
        <v>3.9754599020156781E-2</v>
      </c>
      <c r="P33" s="54">
        <f>((RawData!BJ63+RawData!BM63)/1000)/'Table T11'!J33</f>
        <v>5.6706142171454102E-2</v>
      </c>
      <c r="Q33" s="68">
        <f>'Table T9'!O33*'Table T9'!I33/'Table T11'!J33</f>
        <v>4.5721599006428811E-4</v>
      </c>
      <c r="R33" s="434">
        <f t="shared" si="1"/>
        <v>2820.7569999999996</v>
      </c>
      <c r="S33" s="71">
        <f t="shared" si="10"/>
        <v>0.48123783792790403</v>
      </c>
      <c r="T33" s="59">
        <f t="shared" si="2"/>
        <v>3.4846319622711203E-2</v>
      </c>
      <c r="U33" s="59">
        <f t="shared" si="3"/>
        <v>0.21309173388562008</v>
      </c>
      <c r="V33" s="54">
        <f t="shared" si="4"/>
        <v>0.1430105464596915</v>
      </c>
      <c r="W33" s="54">
        <f t="shared" si="5"/>
        <v>4.5372926487464195E-2</v>
      </c>
      <c r="X33" s="54">
        <f t="shared" si="6"/>
        <v>3.9743941076810244E-2</v>
      </c>
      <c r="Y33" s="437">
        <f t="shared" si="7"/>
        <v>5.1723703956067877E-3</v>
      </c>
      <c r="AA33" s="330"/>
    </row>
    <row r="34" spans="1:27" ht="15">
      <c r="A34" s="18">
        <v>2006</v>
      </c>
      <c r="B34" s="384">
        <f>('Table T4'!G77+'Table T4'!H77)</f>
        <v>5895.39</v>
      </c>
      <c r="C34" s="71">
        <f t="shared" si="8"/>
        <v>0.46230834601273185</v>
      </c>
      <c r="D34" s="54">
        <f>(RawData!AM64/1000)/'Table T11'!B34</f>
        <v>5.0213641506329516E-2</v>
      </c>
      <c r="E34" s="54">
        <f>(RawData!AK64/1000)/'Table T11'!B34</f>
        <v>0.16472124829739845</v>
      </c>
      <c r="F34" s="54">
        <f>((RawData!AO64+RawData!AP64+RawData!AQ64+RawData!AR64+RawData!AS64+RawData!AT64)/1000)/'Table T11'!B34</f>
        <v>0.14960706585993461</v>
      </c>
      <c r="G34" s="54">
        <f>((RawData!AN64+RawData!AL64)/1000)/'Table T11'!B34</f>
        <v>4.7897085688987498E-2</v>
      </c>
      <c r="H34" s="54">
        <f>((RawData!AU64+RawData!AX64)/1000)/'Table T11'!B34</f>
        <v>4.6707003268655678E-2</v>
      </c>
      <c r="I34" s="68">
        <f>'Table T9'!H34*'Table T9'!B34/'Table T11'!B34</f>
        <v>3.162301391426156E-3</v>
      </c>
      <c r="J34" s="434">
        <f>'Table T4'!G77</f>
        <v>2547.2399999999998</v>
      </c>
      <c r="K34" s="71">
        <f t="shared" si="9"/>
        <v>0.38169705249603492</v>
      </c>
      <c r="L34" s="59">
        <f>(RawData!BB64/1000)/'Table T11'!$J34</f>
        <v>6.5461048036305966E-2</v>
      </c>
      <c r="M34" s="59">
        <f>(RawData!AZ64/1000)/'Table T11'!$J34</f>
        <v>9.5519071622618995E-2</v>
      </c>
      <c r="N34" s="54">
        <f>((RawData!BD64+RawData!BE64+RawData!BF64+RawData!BG64+RawData!BH64+RawData!BI64)/1000)/'Table T11'!J34</f>
        <v>0.13298158006312716</v>
      </c>
      <c r="O34" s="54">
        <f>((RawData!BA64+RawData!BC64)/1000)/'Table T11'!J34</f>
        <v>3.7539847050140553E-2</v>
      </c>
      <c r="P34" s="54">
        <f>((RawData!BJ64+RawData!BM64)/1000)/'Table T11'!J34</f>
        <v>4.9745214428165388E-2</v>
      </c>
      <c r="Q34" s="68">
        <f>'Table T9'!O34*'Table T9'!I34/'Table T11'!J34</f>
        <v>4.5029129567686262E-4</v>
      </c>
      <c r="R34" s="434">
        <f t="shared" si="1"/>
        <v>3348.1500000000005</v>
      </c>
      <c r="S34" s="71">
        <f t="shared" si="10"/>
        <v>0.5236366351567282</v>
      </c>
      <c r="T34" s="59">
        <f t="shared" si="2"/>
        <v>3.8613562713737427E-2</v>
      </c>
      <c r="U34" s="59">
        <f t="shared" si="3"/>
        <v>0.21736959216283611</v>
      </c>
      <c r="V34" s="54">
        <f t="shared" si="4"/>
        <v>0.16225557397368692</v>
      </c>
      <c r="W34" s="54">
        <f t="shared" si="5"/>
        <v>5.5776772247360475E-2</v>
      </c>
      <c r="X34" s="54">
        <f t="shared" si="6"/>
        <v>4.4395561728118503E-2</v>
      </c>
      <c r="Y34" s="437">
        <f t="shared" si="7"/>
        <v>5.225572330988729E-3</v>
      </c>
      <c r="AA34" s="330"/>
    </row>
    <row r="35" spans="1:27" ht="15">
      <c r="A35" s="18">
        <v>2007</v>
      </c>
      <c r="B35" s="384">
        <f>('Table T4'!G78+'Table T4'!H78)</f>
        <v>6680.4969999999994</v>
      </c>
      <c r="C35" s="71">
        <f t="shared" si="8"/>
        <v>0.46829569716145375</v>
      </c>
      <c r="D35" s="54">
        <f>(RawData!AM65/1000)/'Table T11'!B35</f>
        <v>4.7237353747782547E-2</v>
      </c>
      <c r="E35" s="54">
        <f>(RawData!AK65/1000)/'Table T11'!B35</f>
        <v>0.15975637740724979</v>
      </c>
      <c r="F35" s="54">
        <f>((RawData!AO65+RawData!AP65+RawData!AQ65+RawData!AR65+RawData!AS65+RawData!AT65)/1000)/'Table T11'!B35</f>
        <v>0.16141523602211036</v>
      </c>
      <c r="G35" s="54">
        <f>((RawData!AN65+RawData!AL65)/1000)/'Table T11'!B35</f>
        <v>5.0533815073938365E-2</v>
      </c>
      <c r="H35" s="54">
        <f>((RawData!AU65+RawData!AX65)/1000)/'Table T11'!B35</f>
        <v>4.5255764653438217E-2</v>
      </c>
      <c r="I35" s="68">
        <f>'Table T9'!H35*'Table T9'!B35/'Table T11'!B35</f>
        <v>4.0971502569344537E-3</v>
      </c>
      <c r="J35" s="434">
        <f>'Table T4'!G78</f>
        <v>2897.2939999999999</v>
      </c>
      <c r="K35" s="71">
        <f t="shared" si="9"/>
        <v>0.38370838444424343</v>
      </c>
      <c r="L35" s="59">
        <f>(RawData!BB65/1000)/'Table T11'!$J35</f>
        <v>6.1610592504592214E-2</v>
      </c>
      <c r="M35" s="59">
        <f>(RawData!AZ65/1000)/'Table T11'!$J35</f>
        <v>8.4761159896096158E-2</v>
      </c>
      <c r="N35" s="54">
        <f>((RawData!BD65+RawData!BE65+RawData!BF65+RawData!BG65+RawData!BH65+RawData!BI65)/1000)/'Table T11'!J35</f>
        <v>0.15386357062831732</v>
      </c>
      <c r="O35" s="54">
        <f>((RawData!BA65+RawData!BC65)/1000)/'Table T11'!J35</f>
        <v>3.5279471120293629E-2</v>
      </c>
      <c r="P35" s="54">
        <f>((RawData!BJ65+RawData!BM65)/1000)/'Table T11'!J35</f>
        <v>4.7493626811776789E-2</v>
      </c>
      <c r="Q35" s="68">
        <f>'Table T9'!O35*'Table T9'!I35/'Table T11'!J35</f>
        <v>6.999634831673675E-4</v>
      </c>
      <c r="R35" s="434">
        <f t="shared" si="1"/>
        <v>3783.2029999999995</v>
      </c>
      <c r="S35" s="71">
        <f t="shared" si="10"/>
        <v>0.53307528039071661</v>
      </c>
      <c r="T35" s="59">
        <f t="shared" si="2"/>
        <v>3.6229882456743676E-2</v>
      </c>
      <c r="U35" s="59">
        <f t="shared" si="3"/>
        <v>0.21719003711934043</v>
      </c>
      <c r="V35" s="54">
        <f t="shared" si="4"/>
        <v>0.16719853520945085</v>
      </c>
      <c r="W35" s="54">
        <f t="shared" si="5"/>
        <v>6.2216064007138937E-2</v>
      </c>
      <c r="X35" s="54">
        <f t="shared" si="6"/>
        <v>4.3541940519713065E-2</v>
      </c>
      <c r="Y35" s="437">
        <f t="shared" si="7"/>
        <v>6.698821078329642E-3</v>
      </c>
      <c r="AA35" s="330"/>
    </row>
    <row r="36" spans="1:27" ht="15">
      <c r="A36" s="18">
        <v>2008</v>
      </c>
      <c r="B36" s="384">
        <f>('Table T4'!G79+'Table T4'!H79)</f>
        <v>5088.1880000000001</v>
      </c>
      <c r="C36" s="71">
        <f t="shared" si="8"/>
        <v>0.49364587157549988</v>
      </c>
      <c r="D36" s="54">
        <f>(RawData!AM66/1000)/'Table T11'!B36</f>
        <v>5.1758897273449796E-2</v>
      </c>
      <c r="E36" s="54">
        <f>(RawData!AK66/1000)/'Table T11'!B36</f>
        <v>0.1691397802125236</v>
      </c>
      <c r="F36" s="54">
        <f>((RawData!AO66+RawData!AP66+RawData!AQ66+RawData!AR66+RawData!AS66+RawData!AT66)/1000)/'Table T11'!B36</f>
        <v>0.16118803000203608</v>
      </c>
      <c r="G36" s="54">
        <f>((RawData!AN66+RawData!AL66)/1000)/'Table T11'!B36</f>
        <v>5.1866990763706058E-2</v>
      </c>
      <c r="H36" s="54">
        <f>((RawData!AU66+RawData!AX66)/1000)/'Table T11'!B36</f>
        <v>5.3653284823595354E-2</v>
      </c>
      <c r="I36" s="68">
        <f>'Table T9'!H36*'Table T9'!B36/'Table T11'!B36</f>
        <v>6.0388885001890873E-3</v>
      </c>
      <c r="J36" s="434">
        <f>'Table T4'!G79</f>
        <v>1837.6569999999999</v>
      </c>
      <c r="K36" s="71">
        <f t="shared" si="9"/>
        <v>0.38144822455986072</v>
      </c>
      <c r="L36" s="59">
        <f>(RawData!BB66/1000)/'Table T11'!$J36</f>
        <v>6.5160146860921281E-2</v>
      </c>
      <c r="M36" s="59">
        <f>(RawData!AZ66/1000)/'Table T11'!$J36</f>
        <v>7.9439743107663732E-2</v>
      </c>
      <c r="N36" s="54">
        <f>((RawData!BD66+RawData!BE66+RawData!BF66+RawData!BG66+RawData!BH66+RawData!BI66)/1000)/'Table T11'!J36</f>
        <v>0.15011724168329563</v>
      </c>
      <c r="O36" s="54">
        <f>((RawData!BA66+RawData!BC66)/1000)/'Table T11'!J36</f>
        <v>3.6194458487084372E-2</v>
      </c>
      <c r="P36" s="54">
        <f>((RawData!BJ66+RawData!BM66)/1000)/'Table T11'!J36</f>
        <v>4.9685006505566599E-2</v>
      </c>
      <c r="Q36" s="68">
        <f>'Table T9'!O36*'Table T9'!I36/'Table T11'!J36</f>
        <v>8.5162791532911555E-4</v>
      </c>
      <c r="R36" s="434">
        <f t="shared" si="1"/>
        <v>3250.5309999999999</v>
      </c>
      <c r="S36" s="71">
        <f t="shared" si="10"/>
        <v>0.55707575162335021</v>
      </c>
      <c r="T36" s="59">
        <f t="shared" si="2"/>
        <v>4.4182627392262974E-2</v>
      </c>
      <c r="U36" s="59">
        <f t="shared" si="3"/>
        <v>0.21985084898436597</v>
      </c>
      <c r="V36" s="54">
        <f t="shared" si="4"/>
        <v>0.16744679561585474</v>
      </c>
      <c r="W36" s="54">
        <f t="shared" si="5"/>
        <v>6.072730886122913E-2</v>
      </c>
      <c r="X36" s="54">
        <f t="shared" si="6"/>
        <v>5.5896713490811191E-2</v>
      </c>
      <c r="Y36" s="437">
        <f t="shared" si="7"/>
        <v>8.9714572788261848E-3</v>
      </c>
      <c r="AA36" s="330"/>
    </row>
    <row r="37" spans="1:27" ht="15">
      <c r="A37" s="311">
        <v>2009</v>
      </c>
      <c r="B37" s="385">
        <f>('Table T4'!G80+'Table T4'!H80)</f>
        <v>5935.4529999999995</v>
      </c>
      <c r="C37" s="448">
        <f t="shared" si="8"/>
        <v>0.49806628070342734</v>
      </c>
      <c r="D37" s="396">
        <f>(RawData!AM67/1000)/'Table T11'!B37</f>
        <v>5.9508010593294233E-2</v>
      </c>
      <c r="E37" s="396">
        <f>(RawData!AK67/1000)/'Table T11'!B37</f>
        <v>0.16624998968065285</v>
      </c>
      <c r="F37" s="396">
        <f>((RawData!AO67+RawData!AP67+RawData!AQ67+RawData!AR67+RawData!AS67+RawData!AT67)/1000)/'Table T11'!B37</f>
        <v>0.15560834194121326</v>
      </c>
      <c r="G37" s="396">
        <f>((RawData!AN67+RawData!AL67)/1000)/'Table T11'!B37</f>
        <v>5.2029727132874279E-2</v>
      </c>
      <c r="H37" s="396">
        <f>((RawData!AU67+RawData!AX67)/1000)/'Table T11'!B37</f>
        <v>5.9278205050229536E-2</v>
      </c>
      <c r="I37" s="445">
        <f>'Table T9'!H37*'Table T9'!B37/'Table T11'!B37</f>
        <v>5.3920063051631703E-3</v>
      </c>
      <c r="J37" s="443">
        <f>'Table T4'!G80</f>
        <v>2499.0510000000004</v>
      </c>
      <c r="K37" s="448">
        <f t="shared" si="9"/>
        <v>0.39043460897756788</v>
      </c>
      <c r="L37" s="398">
        <f>(RawData!BB67/1000)/'Table T11'!$J37</f>
        <v>6.7826947109122612E-2</v>
      </c>
      <c r="M37" s="398">
        <f>(RawData!AZ67/1000)/'Table T11'!$J37</f>
        <v>7.9240879837986486E-2</v>
      </c>
      <c r="N37" s="396">
        <f>((RawData!BD67+RawData!BE67+RawData!BF67+RawData!BG67+RawData!BH67+RawData!BI67)/1000)/'Table T11'!J37</f>
        <v>0.15132864435339652</v>
      </c>
      <c r="O37" s="396">
        <f>((RawData!BA67+RawData!BC67)/1000)/'Table T11'!J37</f>
        <v>3.8500214681493089E-2</v>
      </c>
      <c r="P37" s="396">
        <f>((RawData!BJ67+RawData!BM67)/1000)/'Table T11'!J37</f>
        <v>5.2571156010821692E-2</v>
      </c>
      <c r="Q37" s="445">
        <f>'Table T9'!O37*'Table T9'!I37/'Table T11'!J37</f>
        <v>9.667669847474396E-4</v>
      </c>
      <c r="R37" s="443">
        <f t="shared" si="1"/>
        <v>3436.4019999999991</v>
      </c>
      <c r="S37" s="448">
        <f t="shared" si="10"/>
        <v>0.57633914774813899</v>
      </c>
      <c r="T37" s="398">
        <f t="shared" si="2"/>
        <v>5.3458239169922511E-2</v>
      </c>
      <c r="U37" s="398">
        <f t="shared" si="3"/>
        <v>0.22952553281018931</v>
      </c>
      <c r="V37" s="396">
        <f t="shared" si="4"/>
        <v>0.15872066190160528</v>
      </c>
      <c r="W37" s="396">
        <f t="shared" si="5"/>
        <v>6.1868780195099421E-2</v>
      </c>
      <c r="X37" s="396">
        <f t="shared" si="6"/>
        <v>6.415576524516052E-2</v>
      </c>
      <c r="Y37" s="444">
        <f t="shared" si="7"/>
        <v>8.6101684261618936E-3</v>
      </c>
      <c r="AA37" s="330"/>
    </row>
    <row r="38" spans="1:27" ht="15">
      <c r="A38" s="18">
        <v>2010</v>
      </c>
      <c r="B38" s="384">
        <f>('Table T4'!G81+'Table T4'!H81)</f>
        <v>6822.7430000000004</v>
      </c>
      <c r="C38" s="71">
        <f t="shared" si="8"/>
        <v>0.50020864042511937</v>
      </c>
      <c r="D38" s="54">
        <f>(RawData!AM68/1000)/'Table T11'!B38</f>
        <v>6.4064409285239085E-2</v>
      </c>
      <c r="E38" s="54">
        <f>(RawData!AK68/1000)/'Table T11'!B38</f>
        <v>0.15961410242185584</v>
      </c>
      <c r="F38" s="54">
        <f>((RawData!AO68+RawData!AP68+RawData!AQ68+RawData!AR68+RawData!AS68+RawData!AT68)/1000)/'Table T11'!B38</f>
        <v>0.15974777299980372</v>
      </c>
      <c r="G38" s="54">
        <f>((RawData!AN68+RawData!AL68)/1000)/'Table T11'!B38</f>
        <v>5.0293848090130315E-2</v>
      </c>
      <c r="H38" s="54">
        <f>((RawData!AU68+RawData!AX68)/1000)/'Table T11'!B38</f>
        <v>6.1075142358432664E-2</v>
      </c>
      <c r="I38" s="68">
        <f>'Table T9'!H38*'Table T9'!B38/'Table T11'!B38</f>
        <v>5.4133652696577361E-3</v>
      </c>
      <c r="J38" s="434">
        <f>'Table T4'!G81</f>
        <v>3050.2530000000002</v>
      </c>
      <c r="K38" s="71">
        <f t="shared" si="9"/>
        <v>0.39935146363268881</v>
      </c>
      <c r="L38" s="59">
        <f>(RawData!BB68/1000)/'Table T11'!$J38</f>
        <v>6.9657500541758344E-2</v>
      </c>
      <c r="M38" s="59">
        <f>(RawData!AZ68/1000)/'Table T11'!$J38</f>
        <v>8.7491431038671214E-2</v>
      </c>
      <c r="N38" s="54">
        <f>((RawData!BD68+RawData!BE68+RawData!BF68+RawData!BG68+RawData!BH68+RawData!BI68)/1000)/'Table T11'!J38</f>
        <v>0.15311090588223336</v>
      </c>
      <c r="O38" s="54">
        <f>((RawData!BA68+RawData!BC68)/1000)/'Table T11'!J38</f>
        <v>4.0381240506935E-2</v>
      </c>
      <c r="P38" s="54">
        <f>((RawData!BJ68+RawData!BM68)/1000)/'Table T11'!J38</f>
        <v>4.7526877278704416E-2</v>
      </c>
      <c r="Q38" s="68">
        <f>'Table T9'!O38*'Table T9'!I38/'Table T11'!J38</f>
        <v>1.183508384386487E-3</v>
      </c>
      <c r="R38" s="434">
        <f t="shared" si="1"/>
        <v>3772.4900000000002</v>
      </c>
      <c r="S38" s="71">
        <f t="shared" si="10"/>
        <v>0.5817568767577912</v>
      </c>
      <c r="T38" s="59">
        <f t="shared" si="2"/>
        <v>5.9542106142097116E-2</v>
      </c>
      <c r="U38" s="59">
        <f t="shared" si="3"/>
        <v>0.2179290071014105</v>
      </c>
      <c r="V38" s="54">
        <f t="shared" si="4"/>
        <v>0.16511402283372514</v>
      </c>
      <c r="W38" s="54">
        <f t="shared" si="5"/>
        <v>5.8308703270253857E-2</v>
      </c>
      <c r="X38" s="54">
        <f t="shared" si="6"/>
        <v>7.2029614392616015E-2</v>
      </c>
      <c r="Y38" s="437">
        <f t="shared" si="7"/>
        <v>8.8334230176886873E-3</v>
      </c>
      <c r="AA38" s="330"/>
    </row>
    <row r="39" spans="1:27" ht="15">
      <c r="A39" s="18">
        <v>2011</v>
      </c>
      <c r="B39" s="384">
        <f>('Table T4'!G82+'Table T4'!H82)</f>
        <v>7152.1959999999999</v>
      </c>
      <c r="C39" s="71">
        <f t="shared" si="8"/>
        <v>0.49984550199686922</v>
      </c>
      <c r="D39" s="54">
        <f>(RawData!AM69/1000)/'Table T11'!B39</f>
        <v>6.5993717174417474E-2</v>
      </c>
      <c r="E39" s="54">
        <f>(RawData!AK69/1000)/'Table T11'!B39</f>
        <v>0.16568337892306084</v>
      </c>
      <c r="F39" s="54">
        <f>((RawData!AO69+RawData!AP69+RawData!AQ69+RawData!AR69+RawData!AS69+RawData!AT69)/1000)/'Table T11'!B39</f>
        <v>0.15458189344922874</v>
      </c>
      <c r="G39" s="54">
        <f>((RawData!AN69+RawData!AL69)/1000)/'Table T11'!B39</f>
        <v>4.7592795275744677E-2</v>
      </c>
      <c r="H39" s="54">
        <f>((RawData!AU69+RawData!AX69)/1000)/'Table T11'!B39</f>
        <v>6.026121208087698E-2</v>
      </c>
      <c r="I39" s="68">
        <f>'Table T9'!H39*'Table T9'!B39/'Table T11'!B39</f>
        <v>5.7325050935405231E-3</v>
      </c>
      <c r="J39" s="434">
        <f>'Table T4'!G82</f>
        <v>3262.8960000000002</v>
      </c>
      <c r="K39" s="71">
        <f t="shared" si="9"/>
        <v>0.4024032638490469</v>
      </c>
      <c r="L39" s="59">
        <f>(RawData!BB69/1000)/'Table T11'!$J39</f>
        <v>6.9263623480490949E-2</v>
      </c>
      <c r="M39" s="59">
        <f>(RawData!AZ69/1000)/'Table T11'!$J39</f>
        <v>9.6846482388651053E-2</v>
      </c>
      <c r="N39" s="54">
        <f>((RawData!BD69+RawData!BE69+RawData!BF69+RawData!BG69+RawData!BH69+RawData!BI69)/1000)/'Table T11'!J39</f>
        <v>0.14864096189397394</v>
      </c>
      <c r="O39" s="54">
        <f>((RawData!BA69+RawData!BC69)/1000)/'Table T11'!J39</f>
        <v>4.0454859731968162E-2</v>
      </c>
      <c r="P39" s="54">
        <f>((RawData!BJ69+RawData!BM69)/1000)/'Table T11'!J39</f>
        <v>4.5971431513600183E-2</v>
      </c>
      <c r="Q39" s="68">
        <f>'Table T9'!O39*'Table T9'!I39/'Table T11'!J39</f>
        <v>1.2259048403626847E-3</v>
      </c>
      <c r="R39" s="434">
        <f t="shared" si="1"/>
        <v>3889.2999999999997</v>
      </c>
      <c r="S39" s="71">
        <f t="shared" si="10"/>
        <v>0.58159386007764902</v>
      </c>
      <c r="T39" s="59">
        <f t="shared" si="2"/>
        <v>6.3250456380325504E-2</v>
      </c>
      <c r="U39" s="59">
        <f t="shared" si="3"/>
        <v>0.22343352274188158</v>
      </c>
      <c r="V39" s="54">
        <f t="shared" si="4"/>
        <v>0.15956598873833336</v>
      </c>
      <c r="W39" s="54">
        <f t="shared" si="5"/>
        <v>5.3581107140102328E-2</v>
      </c>
      <c r="X39" s="54">
        <f t="shared" si="6"/>
        <v>7.224950505232304E-2</v>
      </c>
      <c r="Y39" s="437">
        <f t="shared" si="7"/>
        <v>9.5132800246831347E-3</v>
      </c>
      <c r="AA39" s="330"/>
    </row>
    <row r="40" spans="1:27" ht="16" thickBot="1">
      <c r="A40" s="34">
        <v>2012</v>
      </c>
      <c r="B40" s="386">
        <f>('Table T4'!G83+'Table T4'!H83)</f>
        <v>7678.5439999999999</v>
      </c>
      <c r="C40" s="436">
        <f t="shared" si="8"/>
        <v>0.51572186081111215</v>
      </c>
      <c r="D40" s="63">
        <f>(RawData!AM70/1000)/'Table T11'!B40</f>
        <v>7.0325832605764846E-2</v>
      </c>
      <c r="E40" s="63">
        <f>(RawData!AK70/1000)/'Table T11'!B40</f>
        <v>0.15640986103615478</v>
      </c>
      <c r="F40" s="63">
        <f>((RawData!AO70+RawData!AP70+RawData!AQ70+RawData!AR70+RawData!AS70+RawData!AT70)/1000)/'Table T11'!B40</f>
        <v>0.16578663871692342</v>
      </c>
      <c r="G40" s="63">
        <f>((RawData!AN70+RawData!AL70)/1000)/'Table T11'!B40</f>
        <v>5.2014157892433771E-2</v>
      </c>
      <c r="H40" s="63">
        <f>((RawData!AU70+RawData!AX70)/1000)/'Table T11'!B40</f>
        <v>6.4856045625316466E-2</v>
      </c>
      <c r="I40" s="446">
        <f>'Table T9'!H40*'Table T9'!B40/'Table T11'!B40</f>
        <v>6.3293249345188493E-3</v>
      </c>
      <c r="J40" s="435">
        <f>'Table T4'!G83</f>
        <v>3607.3580000000002</v>
      </c>
      <c r="K40" s="436">
        <f t="shared" si="9"/>
        <v>0.41304467147424784</v>
      </c>
      <c r="L40" s="65">
        <f>(RawData!BB70/1000)/'Table T11'!$J40</f>
        <v>7.2906542683038381E-2</v>
      </c>
      <c r="M40" s="65">
        <f>(RawData!AZ70/1000)/'Table T11'!$J40</f>
        <v>8.7044313317391833E-2</v>
      </c>
      <c r="N40" s="63">
        <f>((RawData!BD70+RawData!BE70+RawData!BF70+RawData!BG70+RawData!BH70+RawData!BI70)/1000)/'Table T11'!J40</f>
        <v>0.1696532476122414</v>
      </c>
      <c r="O40" s="63">
        <f>((RawData!BA70+RawData!BC70)/1000)/'Table T11'!J40</f>
        <v>3.9086777636153661E-2</v>
      </c>
      <c r="P40" s="63">
        <f>((RawData!BJ70+RawData!BM70)/1000)/'Table T11'!J40</f>
        <v>4.2413311903060351E-2</v>
      </c>
      <c r="Q40" s="446">
        <f>'Table T9'!O40*'Table T9'!I40/'Table T11'!J40</f>
        <v>1.9404783223622264E-3</v>
      </c>
      <c r="R40" s="435">
        <f t="shared" si="1"/>
        <v>4071.1859999999997</v>
      </c>
      <c r="S40" s="436">
        <f t="shared" si="10"/>
        <v>0.60670109398096783</v>
      </c>
      <c r="T40" s="65">
        <f t="shared" si="2"/>
        <v>6.8039141419723892E-2</v>
      </c>
      <c r="U40" s="65">
        <f t="shared" si="3"/>
        <v>0.21787262974474761</v>
      </c>
      <c r="V40" s="63">
        <f t="shared" si="4"/>
        <v>0.16236055046367326</v>
      </c>
      <c r="W40" s="63">
        <f t="shared" si="5"/>
        <v>6.3468728768471885E-2</v>
      </c>
      <c r="X40" s="63">
        <f t="shared" si="6"/>
        <v>8.4741890937923253E-2</v>
      </c>
      <c r="Y40" s="438">
        <f t="shared" si="7"/>
        <v>1.0218152646427883E-2</v>
      </c>
      <c r="AA40" s="330"/>
    </row>
    <row r="41" spans="1:27" ht="13" thickTop="1"/>
  </sheetData>
  <mergeCells count="28">
    <mergeCell ref="A3:Y3"/>
    <mergeCell ref="B6:I6"/>
    <mergeCell ref="J6:Q6"/>
    <mergeCell ref="R6:Y6"/>
    <mergeCell ref="B7:B8"/>
    <mergeCell ref="D7:D8"/>
    <mergeCell ref="E7:E8"/>
    <mergeCell ref="F7:F8"/>
    <mergeCell ref="G7:G8"/>
    <mergeCell ref="H7:H8"/>
    <mergeCell ref="W7:W8"/>
    <mergeCell ref="X7:X8"/>
    <mergeCell ref="Y7:Y8"/>
    <mergeCell ref="C7:C8"/>
    <mergeCell ref="T7:T8"/>
    <mergeCell ref="U7:U8"/>
    <mergeCell ref="V7:V8"/>
    <mergeCell ref="I7:I8"/>
    <mergeCell ref="J7:J8"/>
    <mergeCell ref="L7:L8"/>
    <mergeCell ref="M7:M8"/>
    <mergeCell ref="K7:K8"/>
    <mergeCell ref="S7:S8"/>
    <mergeCell ref="P7:P8"/>
    <mergeCell ref="Q7:Q8"/>
    <mergeCell ref="R7:R8"/>
    <mergeCell ref="N7:N8"/>
    <mergeCell ref="O7:O8"/>
  </mergeCells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71"/>
  <sheetViews>
    <sheetView workbookViewId="0">
      <pane xSplit="1" ySplit="10" topLeftCell="P11" activePane="bottomRight" state="frozen"/>
      <selection pane="topRight" activeCell="B1" sqref="B1"/>
      <selection pane="bottomLeft" activeCell="A11" sqref="A11"/>
      <selection pane="bottomRight" activeCell="P8" sqref="P8"/>
    </sheetView>
  </sheetViews>
  <sheetFormatPr baseColWidth="10" defaultRowHeight="15" x14ac:dyDescent="0"/>
  <cols>
    <col min="1" max="1" width="12.5" style="93" customWidth="1"/>
    <col min="2" max="2" width="13" style="93" customWidth="1"/>
    <col min="3" max="3" width="13" style="97" hidden="1" customWidth="1"/>
    <col min="4" max="14" width="13" style="93" customWidth="1"/>
    <col min="15" max="15" width="8" style="93" customWidth="1"/>
    <col min="16" max="35" width="13" style="93" customWidth="1"/>
    <col min="36" max="36" width="6.5" style="93" customWidth="1"/>
    <col min="37" max="50" width="10.83203125" style="93"/>
    <col min="51" max="51" width="6.5" style="93" customWidth="1"/>
    <col min="52" max="66" width="10.83203125" style="93"/>
    <col min="67" max="67" width="6.5" style="93" customWidth="1"/>
    <col min="68" max="82" width="10.83203125" style="93"/>
    <col min="83" max="83" width="6.5" style="93" customWidth="1"/>
    <col min="84" max="91" width="10.83203125" style="93"/>
    <col min="92" max="92" width="6.5" style="93" customWidth="1"/>
    <col min="93" max="16384" width="10.83203125" style="93"/>
  </cols>
  <sheetData>
    <row r="1" spans="1:130">
      <c r="A1" s="93" t="s">
        <v>155</v>
      </c>
    </row>
    <row r="2" spans="1:130">
      <c r="A2" s="93" t="s">
        <v>166</v>
      </c>
    </row>
    <row r="3" spans="1:130">
      <c r="A3" s="93" t="s">
        <v>164</v>
      </c>
    </row>
    <row r="5" spans="1:130">
      <c r="B5" s="94" t="s">
        <v>43</v>
      </c>
      <c r="C5" s="117"/>
      <c r="D5" s="94"/>
      <c r="E5" s="94"/>
      <c r="P5" s="94" t="s">
        <v>157</v>
      </c>
      <c r="AK5" s="94" t="s">
        <v>119</v>
      </c>
      <c r="AZ5" s="94" t="s">
        <v>63</v>
      </c>
      <c r="BP5" s="94" t="s">
        <v>158</v>
      </c>
      <c r="CF5" s="94" t="s">
        <v>75</v>
      </c>
      <c r="CO5" s="94" t="s">
        <v>120</v>
      </c>
      <c r="DF5" s="94" t="s">
        <v>188</v>
      </c>
    </row>
    <row r="6" spans="1:130" s="118" customFormat="1" ht="15" customHeight="1">
      <c r="B6" s="118" t="s">
        <v>17</v>
      </c>
      <c r="C6" s="119" t="s">
        <v>55</v>
      </c>
      <c r="D6" s="118" t="s">
        <v>18</v>
      </c>
      <c r="E6" s="118" t="s">
        <v>19</v>
      </c>
      <c r="F6" s="115" t="s">
        <v>20</v>
      </c>
      <c r="G6" s="115" t="s">
        <v>21</v>
      </c>
      <c r="H6" s="116" t="s">
        <v>22</v>
      </c>
      <c r="I6" s="116" t="s">
        <v>23</v>
      </c>
      <c r="J6" s="116" t="s">
        <v>24</v>
      </c>
      <c r="K6" s="116" t="s">
        <v>25</v>
      </c>
      <c r="L6" s="116" t="s">
        <v>26</v>
      </c>
      <c r="M6" s="116" t="s">
        <v>27</v>
      </c>
      <c r="N6" s="115" t="s">
        <v>28</v>
      </c>
      <c r="P6" s="116" t="s">
        <v>29</v>
      </c>
      <c r="Q6" s="116" t="s">
        <v>30</v>
      </c>
      <c r="R6" s="116" t="s">
        <v>69</v>
      </c>
      <c r="S6" s="116" t="s">
        <v>70</v>
      </c>
      <c r="T6" s="116" t="s">
        <v>76</v>
      </c>
      <c r="U6" s="116" t="s">
        <v>77</v>
      </c>
      <c r="V6" s="116" t="s">
        <v>78</v>
      </c>
      <c r="W6" s="116" t="s">
        <v>79</v>
      </c>
      <c r="X6" s="116" t="s">
        <v>80</v>
      </c>
      <c r="Y6" s="118" t="s">
        <v>81</v>
      </c>
      <c r="Z6" s="116" t="s">
        <v>82</v>
      </c>
      <c r="AA6" s="116" t="s">
        <v>83</v>
      </c>
      <c r="AB6" s="116" t="s">
        <v>87</v>
      </c>
      <c r="AC6" s="116" t="s">
        <v>88</v>
      </c>
      <c r="AD6" s="116" t="s">
        <v>89</v>
      </c>
      <c r="AE6" s="116" t="s">
        <v>90</v>
      </c>
      <c r="AF6" s="116" t="s">
        <v>91</v>
      </c>
      <c r="AG6" s="116" t="s">
        <v>92</v>
      </c>
      <c r="AH6" s="116" t="s">
        <v>93</v>
      </c>
      <c r="AI6" s="116" t="s">
        <v>94</v>
      </c>
      <c r="AK6" s="118" t="s">
        <v>95</v>
      </c>
      <c r="AL6" s="118" t="s">
        <v>96</v>
      </c>
      <c r="AM6" s="118">
        <v>36</v>
      </c>
      <c r="AN6" s="118">
        <v>37</v>
      </c>
      <c r="AO6" s="118">
        <v>38</v>
      </c>
      <c r="AP6" s="118">
        <v>39</v>
      </c>
      <c r="AQ6" s="118">
        <v>40</v>
      </c>
      <c r="AR6" s="118">
        <v>41</v>
      </c>
      <c r="AS6" s="118">
        <v>42</v>
      </c>
      <c r="AT6" s="118">
        <v>43</v>
      </c>
      <c r="AU6" s="118">
        <v>44</v>
      </c>
      <c r="AV6" s="118">
        <v>45</v>
      </c>
      <c r="AW6" s="118">
        <v>46</v>
      </c>
      <c r="AX6" s="118">
        <v>47</v>
      </c>
      <c r="AZ6" s="118">
        <v>48</v>
      </c>
      <c r="BA6" s="118">
        <v>49</v>
      </c>
      <c r="BB6" s="118">
        <v>50</v>
      </c>
      <c r="BC6" s="118">
        <v>51</v>
      </c>
      <c r="BD6" s="118">
        <v>52</v>
      </c>
      <c r="BE6" s="118">
        <v>53</v>
      </c>
      <c r="BF6" s="118">
        <v>54</v>
      </c>
      <c r="BG6" s="118">
        <v>55</v>
      </c>
      <c r="BH6" s="118">
        <v>56</v>
      </c>
      <c r="BI6" s="118">
        <v>57</v>
      </c>
      <c r="BJ6" s="118">
        <v>58</v>
      </c>
      <c r="BK6" s="118">
        <v>59</v>
      </c>
      <c r="BL6" s="118">
        <v>60</v>
      </c>
      <c r="BM6" s="118">
        <v>61</v>
      </c>
      <c r="BN6" s="118">
        <v>62</v>
      </c>
      <c r="BP6" s="118">
        <v>48</v>
      </c>
      <c r="BQ6" s="118">
        <v>49</v>
      </c>
      <c r="BR6" s="118">
        <v>50</v>
      </c>
      <c r="BS6" s="118">
        <v>51</v>
      </c>
      <c r="BT6" s="118">
        <v>52</v>
      </c>
      <c r="BU6" s="118">
        <v>53</v>
      </c>
      <c r="BV6" s="118">
        <v>54</v>
      </c>
      <c r="BW6" s="118">
        <v>55</v>
      </c>
      <c r="BX6" s="118">
        <v>56</v>
      </c>
      <c r="BY6" s="118">
        <v>57</v>
      </c>
      <c r="BZ6" s="118">
        <v>58</v>
      </c>
      <c r="CA6" s="118">
        <v>59</v>
      </c>
      <c r="CB6" s="118">
        <v>60</v>
      </c>
      <c r="CC6" s="118">
        <v>61</v>
      </c>
      <c r="CD6" s="118">
        <v>62</v>
      </c>
      <c r="CF6" s="118" t="s">
        <v>99</v>
      </c>
      <c r="CG6" s="118" t="s">
        <v>100</v>
      </c>
      <c r="CH6" s="118" t="s">
        <v>105</v>
      </c>
      <c r="CI6" s="118" t="s">
        <v>113</v>
      </c>
      <c r="CJ6" s="118" t="s">
        <v>114</v>
      </c>
      <c r="CK6" s="118" t="s">
        <v>115</v>
      </c>
      <c r="CL6" s="118" t="s">
        <v>116</v>
      </c>
      <c r="CM6" s="118" t="s">
        <v>117</v>
      </c>
      <c r="CO6" s="118">
        <v>76</v>
      </c>
      <c r="CP6" s="118">
        <v>75</v>
      </c>
      <c r="CQ6" s="118">
        <v>78</v>
      </c>
      <c r="CR6" s="118">
        <v>79</v>
      </c>
      <c r="CS6" s="118">
        <v>83</v>
      </c>
      <c r="CT6" s="118">
        <v>86</v>
      </c>
      <c r="CU6" s="118">
        <v>87</v>
      </c>
      <c r="CV6" s="118">
        <v>90</v>
      </c>
      <c r="CW6" s="118">
        <v>91</v>
      </c>
      <c r="CX6" s="118">
        <v>92</v>
      </c>
      <c r="CY6" s="118">
        <v>95</v>
      </c>
      <c r="CZ6" s="118">
        <v>96</v>
      </c>
      <c r="DA6" s="118">
        <v>97</v>
      </c>
      <c r="DB6" s="118">
        <v>98</v>
      </c>
      <c r="DC6" s="118">
        <v>89</v>
      </c>
      <c r="DD6" s="118" t="s">
        <v>118</v>
      </c>
      <c r="DF6" s="414" t="s">
        <v>189</v>
      </c>
      <c r="DT6" s="94" t="s">
        <v>15</v>
      </c>
    </row>
    <row r="7" spans="1:130" s="98" customFormat="1" ht="66" customHeight="1">
      <c r="A7" s="98" t="s">
        <v>36</v>
      </c>
      <c r="B7" s="99" t="s">
        <v>154</v>
      </c>
      <c r="C7" s="99" t="s">
        <v>40</v>
      </c>
      <c r="D7" s="99" t="s">
        <v>154</v>
      </c>
      <c r="E7" s="99" t="s">
        <v>154</v>
      </c>
      <c r="F7" s="99" t="s">
        <v>84</v>
      </c>
      <c r="G7" s="99" t="s">
        <v>84</v>
      </c>
      <c r="H7" s="99" t="s">
        <v>84</v>
      </c>
      <c r="I7" s="95" t="s">
        <v>42</v>
      </c>
      <c r="J7" s="95" t="s">
        <v>42</v>
      </c>
      <c r="K7" s="95" t="s">
        <v>42</v>
      </c>
      <c r="L7" s="99" t="s">
        <v>154</v>
      </c>
      <c r="M7" s="99" t="s">
        <v>154</v>
      </c>
      <c r="N7" s="99" t="s">
        <v>154</v>
      </c>
      <c r="O7" s="99"/>
      <c r="P7" s="98" t="s">
        <v>161</v>
      </c>
      <c r="Q7" s="98" t="s">
        <v>161</v>
      </c>
      <c r="R7" s="98" t="s">
        <v>161</v>
      </c>
      <c r="S7" s="98" t="s">
        <v>161</v>
      </c>
      <c r="T7" s="98" t="s">
        <v>161</v>
      </c>
      <c r="U7" s="98" t="s">
        <v>161</v>
      </c>
      <c r="V7" s="98" t="s">
        <v>161</v>
      </c>
      <c r="W7" s="98" t="s">
        <v>161</v>
      </c>
      <c r="X7" s="98" t="s">
        <v>161</v>
      </c>
      <c r="Y7" s="98" t="s">
        <v>86</v>
      </c>
      <c r="Z7" s="98" t="s">
        <v>161</v>
      </c>
      <c r="AA7" s="98" t="s">
        <v>161</v>
      </c>
      <c r="AB7" s="98" t="s">
        <v>86</v>
      </c>
      <c r="AC7" s="98" t="s">
        <v>86</v>
      </c>
      <c r="AD7" s="98" t="s">
        <v>161</v>
      </c>
      <c r="AE7" s="98" t="s">
        <v>161</v>
      </c>
      <c r="AF7" s="98" t="s">
        <v>161</v>
      </c>
      <c r="AG7" s="98" t="s">
        <v>161</v>
      </c>
      <c r="AH7" s="98" t="s">
        <v>161</v>
      </c>
      <c r="AI7" s="98" t="s">
        <v>161</v>
      </c>
      <c r="AK7" s="98" t="s">
        <v>161</v>
      </c>
      <c r="AL7" s="98" t="s">
        <v>161</v>
      </c>
      <c r="AM7" s="98" t="s">
        <v>161</v>
      </c>
      <c r="AN7" s="98" t="s">
        <v>161</v>
      </c>
      <c r="AO7" s="98" t="s">
        <v>161</v>
      </c>
      <c r="AP7" s="98" t="s">
        <v>161</v>
      </c>
      <c r="AQ7" s="98" t="s">
        <v>161</v>
      </c>
      <c r="AR7" s="98" t="s">
        <v>161</v>
      </c>
      <c r="AS7" s="98" t="s">
        <v>161</v>
      </c>
      <c r="AT7" s="98" t="s">
        <v>161</v>
      </c>
      <c r="AU7" s="98" t="s">
        <v>161</v>
      </c>
      <c r="AV7" s="98" t="s">
        <v>161</v>
      </c>
      <c r="AW7" s="98" t="s">
        <v>161</v>
      </c>
      <c r="AX7" s="98" t="s">
        <v>161</v>
      </c>
      <c r="AZ7" s="98" t="s">
        <v>161</v>
      </c>
      <c r="BA7" s="98" t="s">
        <v>161</v>
      </c>
      <c r="BB7" s="98" t="s">
        <v>161</v>
      </c>
      <c r="BC7" s="98" t="s">
        <v>161</v>
      </c>
      <c r="BD7" s="98" t="s">
        <v>161</v>
      </c>
      <c r="BE7" s="98" t="s">
        <v>161</v>
      </c>
      <c r="BF7" s="98" t="s">
        <v>161</v>
      </c>
      <c r="BG7" s="98" t="s">
        <v>161</v>
      </c>
      <c r="BH7" s="98" t="s">
        <v>161</v>
      </c>
      <c r="BI7" s="98" t="s">
        <v>161</v>
      </c>
      <c r="BJ7" s="98" t="s">
        <v>161</v>
      </c>
      <c r="BK7" s="98" t="s">
        <v>161</v>
      </c>
      <c r="BL7" s="98" t="s">
        <v>161</v>
      </c>
      <c r="BM7" s="98" t="s">
        <v>161</v>
      </c>
      <c r="BN7" s="98" t="s">
        <v>122</v>
      </c>
      <c r="BP7" s="98" t="s">
        <v>122</v>
      </c>
      <c r="BQ7" s="98" t="s">
        <v>122</v>
      </c>
      <c r="BR7" s="98" t="s">
        <v>122</v>
      </c>
      <c r="BS7" s="98" t="s">
        <v>122</v>
      </c>
      <c r="BT7" s="98" t="s">
        <v>122</v>
      </c>
      <c r="BU7" s="98" t="s">
        <v>122</v>
      </c>
      <c r="BV7" s="98" t="s">
        <v>122</v>
      </c>
      <c r="BW7" s="98" t="s">
        <v>122</v>
      </c>
      <c r="BX7" s="98" t="s">
        <v>122</v>
      </c>
      <c r="BY7" s="98" t="s">
        <v>122</v>
      </c>
      <c r="BZ7" s="98" t="s">
        <v>122</v>
      </c>
      <c r="CA7" s="98" t="s">
        <v>122</v>
      </c>
      <c r="CB7" s="98" t="s">
        <v>122</v>
      </c>
      <c r="CC7" s="98" t="s">
        <v>122</v>
      </c>
      <c r="CD7" s="98" t="s">
        <v>122</v>
      </c>
      <c r="CF7" s="99" t="s">
        <v>98</v>
      </c>
      <c r="CG7" s="99" t="s">
        <v>98</v>
      </c>
      <c r="CH7" s="99" t="s">
        <v>98</v>
      </c>
      <c r="CI7" s="99" t="s">
        <v>98</v>
      </c>
      <c r="CJ7" s="99" t="s">
        <v>98</v>
      </c>
      <c r="CK7" s="99" t="s">
        <v>98</v>
      </c>
      <c r="CL7" s="99" t="s">
        <v>98</v>
      </c>
      <c r="CM7" s="98" t="s">
        <v>86</v>
      </c>
      <c r="CO7" s="99" t="s">
        <v>98</v>
      </c>
      <c r="CP7" s="99" t="s">
        <v>98</v>
      </c>
      <c r="CQ7" s="99" t="s">
        <v>98</v>
      </c>
      <c r="CR7" s="99" t="s">
        <v>98</v>
      </c>
      <c r="CS7" s="99" t="s">
        <v>98</v>
      </c>
      <c r="CT7" s="99" t="s">
        <v>98</v>
      </c>
      <c r="CU7" s="99" t="s">
        <v>98</v>
      </c>
      <c r="CV7" s="99" t="s">
        <v>98</v>
      </c>
      <c r="CW7" s="99" t="s">
        <v>98</v>
      </c>
      <c r="CX7" s="99" t="s">
        <v>98</v>
      </c>
      <c r="CY7" s="99" t="s">
        <v>98</v>
      </c>
      <c r="CZ7" s="99" t="s">
        <v>98</v>
      </c>
      <c r="DA7" s="99" t="s">
        <v>98</v>
      </c>
      <c r="DB7" s="99" t="s">
        <v>98</v>
      </c>
      <c r="DC7" s="99" t="s">
        <v>98</v>
      </c>
      <c r="DD7" s="99" t="s">
        <v>98</v>
      </c>
      <c r="DT7" s="98" t="s">
        <v>191</v>
      </c>
      <c r="DU7" s="98" t="s">
        <v>196</v>
      </c>
    </row>
    <row r="8" spans="1:130" s="98" customFormat="1" ht="74" customHeight="1">
      <c r="A8" s="98" t="s">
        <v>37</v>
      </c>
      <c r="B8" s="98" t="s">
        <v>148</v>
      </c>
      <c r="C8" s="100" t="s">
        <v>62</v>
      </c>
      <c r="D8" s="98" t="s">
        <v>148</v>
      </c>
      <c r="E8" s="98" t="s">
        <v>148</v>
      </c>
      <c r="F8" s="98" t="s">
        <v>46</v>
      </c>
      <c r="G8" s="98" t="s">
        <v>139</v>
      </c>
      <c r="H8" s="98" t="s">
        <v>46</v>
      </c>
      <c r="I8" s="98" t="s">
        <v>44</v>
      </c>
      <c r="J8" s="98" t="s">
        <v>121</v>
      </c>
      <c r="K8" s="98" t="s">
        <v>121</v>
      </c>
      <c r="L8" s="98" t="s">
        <v>156</v>
      </c>
      <c r="M8" s="98" t="s">
        <v>156</v>
      </c>
      <c r="N8" s="98" t="s">
        <v>156</v>
      </c>
      <c r="P8" s="99" t="s">
        <v>85</v>
      </c>
      <c r="Q8" s="99"/>
      <c r="R8" s="99"/>
      <c r="S8" s="98" t="s">
        <v>163</v>
      </c>
      <c r="T8" s="99"/>
      <c r="U8" s="99"/>
      <c r="V8" s="98" t="s">
        <v>162</v>
      </c>
      <c r="W8" s="99"/>
      <c r="X8" s="99"/>
      <c r="Y8" s="99"/>
      <c r="Z8" s="99"/>
      <c r="AA8" s="99"/>
      <c r="AD8" s="99"/>
      <c r="AE8" s="99"/>
      <c r="AF8" s="99"/>
      <c r="AG8" s="99"/>
      <c r="AH8" s="99"/>
      <c r="AI8" s="99"/>
      <c r="AZ8" s="98" t="s">
        <v>160</v>
      </c>
      <c r="BN8" s="98" t="s">
        <v>123</v>
      </c>
      <c r="BP8" s="98" t="s">
        <v>165</v>
      </c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8" t="s">
        <v>123</v>
      </c>
      <c r="CH8" s="98" t="s">
        <v>108</v>
      </c>
      <c r="CJ8" s="98" t="s">
        <v>201</v>
      </c>
      <c r="CK8" s="98" t="s">
        <v>201</v>
      </c>
      <c r="CM8" s="98" t="s">
        <v>200</v>
      </c>
      <c r="CO8" s="98" t="s">
        <v>159</v>
      </c>
      <c r="DF8" s="98" t="s">
        <v>167</v>
      </c>
      <c r="DZ8" s="98" t="s">
        <v>194</v>
      </c>
    </row>
    <row r="9" spans="1:130" s="98" customFormat="1" ht="19" customHeight="1">
      <c r="A9" s="98" t="s">
        <v>39</v>
      </c>
      <c r="B9" s="101">
        <v>99996</v>
      </c>
      <c r="C9" s="102"/>
      <c r="D9" s="101">
        <v>99996</v>
      </c>
      <c r="E9" s="101">
        <v>99996</v>
      </c>
      <c r="F9" s="101">
        <v>99996</v>
      </c>
      <c r="G9" s="101">
        <v>99996</v>
      </c>
      <c r="H9" s="101">
        <v>99996</v>
      </c>
      <c r="I9" s="101">
        <v>99996</v>
      </c>
      <c r="J9" s="101">
        <v>99996</v>
      </c>
      <c r="K9" s="101">
        <v>99996</v>
      </c>
      <c r="L9" s="101">
        <v>99999</v>
      </c>
      <c r="M9" s="101">
        <v>99999</v>
      </c>
      <c r="N9" s="101">
        <v>99999</v>
      </c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K9" s="101">
        <v>10308</v>
      </c>
      <c r="AL9" s="101">
        <v>11401</v>
      </c>
      <c r="AM9" s="101">
        <v>12688</v>
      </c>
      <c r="AN9" s="101">
        <v>13056</v>
      </c>
      <c r="AO9" s="101">
        <v>31887</v>
      </c>
      <c r="AP9" s="101">
        <v>35319</v>
      </c>
      <c r="AQ9" s="101">
        <v>35602</v>
      </c>
      <c r="AR9" s="101">
        <v>36005</v>
      </c>
      <c r="AS9" s="101">
        <v>36137</v>
      </c>
      <c r="AT9" s="101">
        <v>37206</v>
      </c>
      <c r="AU9" s="101">
        <v>42005</v>
      </c>
      <c r="AV9" s="101">
        <v>43419</v>
      </c>
      <c r="AW9" s="101">
        <v>43605</v>
      </c>
      <c r="AX9" s="101">
        <v>46019</v>
      </c>
      <c r="AZ9" s="101">
        <v>10308</v>
      </c>
      <c r="BA9" s="101">
        <v>11401</v>
      </c>
      <c r="BB9" s="101">
        <v>12688</v>
      </c>
      <c r="BC9" s="101">
        <v>13056</v>
      </c>
      <c r="BD9" s="101">
        <v>31887</v>
      </c>
      <c r="BE9" s="101">
        <v>35319</v>
      </c>
      <c r="BF9" s="101">
        <v>35602</v>
      </c>
      <c r="BG9" s="101">
        <v>36005</v>
      </c>
      <c r="BH9" s="101">
        <v>36137</v>
      </c>
      <c r="BI9" s="101">
        <v>37206</v>
      </c>
      <c r="BJ9" s="101">
        <v>42005</v>
      </c>
      <c r="BK9" s="101">
        <v>43419</v>
      </c>
      <c r="BL9" s="101">
        <v>43605</v>
      </c>
      <c r="BM9" s="101">
        <v>46019</v>
      </c>
      <c r="BP9" s="101">
        <v>10308</v>
      </c>
      <c r="BQ9" s="101">
        <v>11401</v>
      </c>
      <c r="BR9" s="101">
        <v>12688</v>
      </c>
      <c r="BS9" s="101">
        <v>13056</v>
      </c>
      <c r="BT9" s="101">
        <v>31887</v>
      </c>
      <c r="BU9" s="101">
        <v>35319</v>
      </c>
      <c r="BV9" s="101">
        <v>35602</v>
      </c>
      <c r="BW9" s="101">
        <v>36005</v>
      </c>
      <c r="BX9" s="101">
        <v>36137</v>
      </c>
      <c r="BY9" s="101">
        <v>37206</v>
      </c>
      <c r="BZ9" s="101">
        <v>42005</v>
      </c>
      <c r="CA9" s="101">
        <v>43419</v>
      </c>
      <c r="CB9" s="101">
        <v>43605</v>
      </c>
      <c r="CC9" s="101">
        <v>46019</v>
      </c>
      <c r="CF9" s="98">
        <v>99996</v>
      </c>
      <c r="CG9" s="98">
        <v>99996</v>
      </c>
      <c r="CH9" s="98">
        <v>48909</v>
      </c>
      <c r="CI9" s="98">
        <v>79995</v>
      </c>
      <c r="CO9" s="101">
        <v>10308</v>
      </c>
      <c r="CP9" s="101">
        <v>11401</v>
      </c>
      <c r="CQ9" s="101">
        <v>12688</v>
      </c>
      <c r="CR9" s="101">
        <v>13056</v>
      </c>
      <c r="CS9" s="101">
        <v>31887</v>
      </c>
      <c r="CT9" s="101">
        <v>35319</v>
      </c>
      <c r="CU9" s="101">
        <v>35602</v>
      </c>
      <c r="CV9" s="101">
        <v>36005</v>
      </c>
      <c r="CW9" s="101">
        <v>36137</v>
      </c>
      <c r="CX9" s="101">
        <v>37206</v>
      </c>
      <c r="CY9" s="101">
        <v>42005</v>
      </c>
      <c r="CZ9" s="101">
        <v>43419</v>
      </c>
      <c r="DA9" s="101">
        <v>43605</v>
      </c>
      <c r="DB9" s="101">
        <v>46019</v>
      </c>
      <c r="DC9" s="101">
        <v>35807</v>
      </c>
      <c r="DD9" s="98">
        <v>41408</v>
      </c>
    </row>
    <row r="10" spans="1:130" s="103" customFormat="1" ht="96" customHeight="1">
      <c r="A10" s="103" t="s">
        <v>38</v>
      </c>
      <c r="B10" s="104" t="s">
        <v>41</v>
      </c>
      <c r="C10" s="105" t="s">
        <v>41</v>
      </c>
      <c r="D10" s="105" t="s">
        <v>16</v>
      </c>
      <c r="E10" s="105" t="s">
        <v>52</v>
      </c>
      <c r="F10" s="103" t="s">
        <v>45</v>
      </c>
      <c r="G10" s="105" t="s">
        <v>16</v>
      </c>
      <c r="H10" s="105" t="s">
        <v>52</v>
      </c>
      <c r="I10" s="104" t="s">
        <v>41</v>
      </c>
      <c r="J10" s="105" t="s">
        <v>16</v>
      </c>
      <c r="K10" s="105" t="s">
        <v>52</v>
      </c>
      <c r="L10" s="104" t="s">
        <v>54</v>
      </c>
      <c r="M10" s="105" t="s">
        <v>16</v>
      </c>
      <c r="N10" s="105" t="s">
        <v>52</v>
      </c>
      <c r="O10" s="105"/>
      <c r="P10" s="103" t="s">
        <v>48</v>
      </c>
      <c r="Q10" s="105" t="s">
        <v>16</v>
      </c>
      <c r="R10" s="105" t="s">
        <v>52</v>
      </c>
      <c r="S10" s="103" t="s">
        <v>50</v>
      </c>
      <c r="T10" s="105" t="s">
        <v>16</v>
      </c>
      <c r="U10" s="105" t="s">
        <v>52</v>
      </c>
      <c r="V10" s="103" t="s">
        <v>51</v>
      </c>
      <c r="W10" s="105" t="s">
        <v>16</v>
      </c>
      <c r="X10" s="105" t="s">
        <v>52</v>
      </c>
      <c r="Y10" s="103" t="s">
        <v>47</v>
      </c>
      <c r="Z10" s="105" t="s">
        <v>149</v>
      </c>
      <c r="AA10" s="105" t="s">
        <v>53</v>
      </c>
      <c r="AB10" s="103" t="s">
        <v>64</v>
      </c>
      <c r="AC10" s="103" t="s">
        <v>65</v>
      </c>
      <c r="AD10" s="103" t="s">
        <v>57</v>
      </c>
      <c r="AE10" s="105" t="s">
        <v>16</v>
      </c>
      <c r="AF10" s="105" t="s">
        <v>52</v>
      </c>
      <c r="AG10" s="103" t="s">
        <v>58</v>
      </c>
      <c r="AH10" s="105" t="s">
        <v>16</v>
      </c>
      <c r="AI10" s="105" t="s">
        <v>52</v>
      </c>
      <c r="AK10" s="103" t="s">
        <v>0</v>
      </c>
      <c r="AL10" s="103" t="s">
        <v>1</v>
      </c>
      <c r="AM10" s="103" t="s">
        <v>2</v>
      </c>
      <c r="AN10" s="103" t="s">
        <v>3</v>
      </c>
      <c r="AO10" s="103" t="s">
        <v>4</v>
      </c>
      <c r="AP10" s="103" t="s">
        <v>5</v>
      </c>
      <c r="AQ10" s="103" t="s">
        <v>6</v>
      </c>
      <c r="AR10" s="103" t="s">
        <v>7</v>
      </c>
      <c r="AS10" s="103" t="s">
        <v>8</v>
      </c>
      <c r="AT10" s="103" t="s">
        <v>9</v>
      </c>
      <c r="AU10" s="103" t="s">
        <v>10</v>
      </c>
      <c r="AV10" s="103" t="s">
        <v>11</v>
      </c>
      <c r="AW10" s="103" t="s">
        <v>12</v>
      </c>
      <c r="AX10" s="103" t="s">
        <v>13</v>
      </c>
      <c r="AZ10" s="103" t="s">
        <v>0</v>
      </c>
      <c r="BA10" s="103" t="s">
        <v>1</v>
      </c>
      <c r="BB10" s="103" t="s">
        <v>2</v>
      </c>
      <c r="BC10" s="103" t="s">
        <v>3</v>
      </c>
      <c r="BD10" s="103" t="s">
        <v>4</v>
      </c>
      <c r="BE10" s="103" t="s">
        <v>5</v>
      </c>
      <c r="BF10" s="103" t="s">
        <v>6</v>
      </c>
      <c r="BG10" s="103" t="s">
        <v>7</v>
      </c>
      <c r="BH10" s="103" t="s">
        <v>8</v>
      </c>
      <c r="BI10" s="103" t="s">
        <v>9</v>
      </c>
      <c r="BJ10" s="103" t="s">
        <v>10</v>
      </c>
      <c r="BK10" s="103" t="s">
        <v>11</v>
      </c>
      <c r="BL10" s="103" t="s">
        <v>12</v>
      </c>
      <c r="BM10" s="103" t="s">
        <v>13</v>
      </c>
      <c r="BN10" s="103" t="s">
        <v>15</v>
      </c>
      <c r="BP10" s="103" t="s">
        <v>0</v>
      </c>
      <c r="BQ10" s="103" t="s">
        <v>1</v>
      </c>
      <c r="BR10" s="103" t="s">
        <v>2</v>
      </c>
      <c r="BS10" s="103" t="s">
        <v>3</v>
      </c>
      <c r="BT10" s="103" t="s">
        <v>4</v>
      </c>
      <c r="BU10" s="103" t="s">
        <v>5</v>
      </c>
      <c r="BV10" s="103" t="s">
        <v>6</v>
      </c>
      <c r="BW10" s="103" t="s">
        <v>7</v>
      </c>
      <c r="BX10" s="103" t="s">
        <v>8</v>
      </c>
      <c r="BY10" s="103" t="s">
        <v>9</v>
      </c>
      <c r="BZ10" s="103" t="s">
        <v>10</v>
      </c>
      <c r="CA10" s="103" t="s">
        <v>11</v>
      </c>
      <c r="CB10" s="103" t="s">
        <v>12</v>
      </c>
      <c r="CC10" s="103" t="s">
        <v>13</v>
      </c>
      <c r="CD10" s="103" t="s">
        <v>15</v>
      </c>
      <c r="CF10" s="103" t="s">
        <v>97</v>
      </c>
      <c r="CG10" s="105" t="s">
        <v>153</v>
      </c>
      <c r="CH10" s="103" t="s">
        <v>107</v>
      </c>
      <c r="CI10" s="103" t="s">
        <v>106</v>
      </c>
      <c r="CJ10" s="105" t="s">
        <v>32</v>
      </c>
      <c r="CK10" s="105" t="s">
        <v>103</v>
      </c>
      <c r="CL10" s="105" t="s">
        <v>104</v>
      </c>
      <c r="CM10" s="105" t="s">
        <v>152</v>
      </c>
      <c r="CO10" s="106" t="s">
        <v>151</v>
      </c>
      <c r="CP10" s="103" t="s">
        <v>1</v>
      </c>
      <c r="CQ10" s="103" t="s">
        <v>2</v>
      </c>
      <c r="CR10" s="103" t="s">
        <v>3</v>
      </c>
      <c r="CS10" s="103" t="s">
        <v>4</v>
      </c>
      <c r="CT10" s="103" t="s">
        <v>5</v>
      </c>
      <c r="CU10" s="103" t="s">
        <v>6</v>
      </c>
      <c r="CV10" s="103" t="s">
        <v>7</v>
      </c>
      <c r="CW10" s="103" t="s">
        <v>8</v>
      </c>
      <c r="CX10" s="103" t="s">
        <v>9</v>
      </c>
      <c r="CY10" s="103" t="s">
        <v>109</v>
      </c>
      <c r="CZ10" s="103" t="s">
        <v>11</v>
      </c>
      <c r="DA10" s="103" t="s">
        <v>12</v>
      </c>
      <c r="DB10" s="103" t="s">
        <v>13</v>
      </c>
      <c r="DC10" s="106" t="s">
        <v>150</v>
      </c>
      <c r="DD10" s="103" t="s">
        <v>110</v>
      </c>
      <c r="DF10" s="106" t="s">
        <v>151</v>
      </c>
      <c r="DG10" s="103" t="s">
        <v>1</v>
      </c>
      <c r="DH10" s="103" t="s">
        <v>2</v>
      </c>
      <c r="DI10" s="103" t="s">
        <v>3</v>
      </c>
      <c r="DJ10" s="103" t="s">
        <v>4</v>
      </c>
      <c r="DK10" s="103" t="s">
        <v>5</v>
      </c>
      <c r="DL10" s="103" t="s">
        <v>6</v>
      </c>
      <c r="DM10" s="103" t="s">
        <v>7</v>
      </c>
      <c r="DN10" s="103" t="s">
        <v>8</v>
      </c>
      <c r="DO10" s="103" t="s">
        <v>9</v>
      </c>
      <c r="DP10" s="103" t="s">
        <v>109</v>
      </c>
      <c r="DQ10" s="103" t="s">
        <v>11</v>
      </c>
      <c r="DR10" s="103" t="s">
        <v>12</v>
      </c>
      <c r="DS10" s="103" t="s">
        <v>13</v>
      </c>
      <c r="DT10" s="103" t="s">
        <v>190</v>
      </c>
      <c r="DU10" s="103" t="s">
        <v>195</v>
      </c>
      <c r="DV10" s="103" t="s">
        <v>197</v>
      </c>
      <c r="DW10" s="103" t="s">
        <v>68</v>
      </c>
      <c r="DY10" s="103" t="s">
        <v>193</v>
      </c>
      <c r="DZ10" s="103" t="s">
        <v>192</v>
      </c>
    </row>
    <row r="11" spans="1:130" s="107" customFormat="1" ht="13">
      <c r="A11" s="113">
        <v>1914</v>
      </c>
      <c r="B11" s="108"/>
      <c r="C11" s="109"/>
      <c r="D11" s="108"/>
      <c r="E11" s="108"/>
      <c r="F11" s="108">
        <f>G11+H11</f>
        <v>5500</v>
      </c>
      <c r="G11" s="108">
        <v>1700</v>
      </c>
      <c r="H11" s="108">
        <v>3800</v>
      </c>
      <c r="I11" s="108">
        <v>5406</v>
      </c>
      <c r="J11" s="110"/>
      <c r="K11" s="110"/>
      <c r="L11" s="108"/>
      <c r="M11" s="108"/>
      <c r="N11" s="108"/>
      <c r="O11" s="108"/>
      <c r="P11" s="108">
        <v>60</v>
      </c>
      <c r="Q11" s="108"/>
      <c r="R11" s="108"/>
      <c r="S11" s="108">
        <v>5218</v>
      </c>
      <c r="T11" s="108"/>
      <c r="U11" s="108"/>
      <c r="V11" s="108">
        <v>1</v>
      </c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>
        <v>10</v>
      </c>
      <c r="AL11" s="108"/>
      <c r="AM11" s="108">
        <v>50</v>
      </c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</row>
    <row r="12" spans="1:130" s="107" customFormat="1" ht="13">
      <c r="A12" s="113">
        <v>1918</v>
      </c>
      <c r="B12" s="108"/>
      <c r="C12" s="109"/>
      <c r="D12" s="108"/>
      <c r="E12" s="108"/>
      <c r="F12" s="108"/>
      <c r="G12" s="108"/>
      <c r="H12" s="108"/>
      <c r="I12" s="108">
        <v>2000</v>
      </c>
      <c r="J12" s="110"/>
      <c r="K12" s="11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</row>
    <row r="13" spans="1:130" s="107" customFormat="1" ht="13">
      <c r="A13" s="113">
        <v>1919</v>
      </c>
      <c r="B13" s="108"/>
      <c r="C13" s="109"/>
      <c r="D13" s="108"/>
      <c r="E13" s="108"/>
      <c r="F13" s="108"/>
      <c r="G13" s="108"/>
      <c r="H13" s="108"/>
      <c r="I13" s="108">
        <v>1624</v>
      </c>
      <c r="J13" s="110"/>
      <c r="K13" s="110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>
        <v>69</v>
      </c>
      <c r="AL13" s="108"/>
      <c r="AM13" s="108">
        <v>184</v>
      </c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</row>
    <row r="14" spans="1:130" s="107" customFormat="1" ht="13">
      <c r="A14" s="113">
        <v>1924</v>
      </c>
      <c r="B14" s="108"/>
      <c r="C14" s="109"/>
      <c r="D14" s="108"/>
      <c r="E14" s="108"/>
      <c r="F14" s="108">
        <f>G14+H14</f>
        <v>1800</v>
      </c>
      <c r="G14" s="108">
        <v>900</v>
      </c>
      <c r="H14" s="108">
        <v>900</v>
      </c>
      <c r="I14" s="108">
        <v>1933</v>
      </c>
      <c r="J14" s="110">
        <v>963</v>
      </c>
      <c r="K14" s="110">
        <v>970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</row>
    <row r="15" spans="1:130" s="107" customFormat="1" ht="13">
      <c r="A15" s="113">
        <v>1927</v>
      </c>
      <c r="B15" s="108"/>
      <c r="C15" s="109"/>
      <c r="D15" s="108"/>
      <c r="E15" s="108"/>
      <c r="F15" s="108"/>
      <c r="G15" s="108"/>
      <c r="H15" s="108"/>
      <c r="I15" s="108">
        <v>3700</v>
      </c>
      <c r="J15" s="110"/>
      <c r="K15" s="110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</row>
    <row r="16" spans="1:130" s="107" customFormat="1" ht="13">
      <c r="A16" s="113">
        <v>1929</v>
      </c>
      <c r="B16" s="108"/>
      <c r="C16" s="109"/>
      <c r="D16" s="108"/>
      <c r="E16" s="108"/>
      <c r="F16" s="108"/>
      <c r="G16" s="108"/>
      <c r="H16" s="108"/>
      <c r="I16" s="108">
        <v>4325</v>
      </c>
      <c r="J16" s="110">
        <v>2979.9250000000002</v>
      </c>
      <c r="K16" s="110">
        <v>1345.075</v>
      </c>
      <c r="L16" s="108"/>
      <c r="M16" s="108"/>
      <c r="N16" s="108"/>
      <c r="O16" s="108"/>
      <c r="P16" s="108">
        <v>253</v>
      </c>
      <c r="Q16" s="108"/>
      <c r="R16" s="108"/>
      <c r="S16" s="108">
        <v>3400.19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>
        <v>69</v>
      </c>
      <c r="AL16" s="108"/>
      <c r="AM16" s="108">
        <v>184</v>
      </c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</row>
    <row r="17" spans="1:109" s="107" customFormat="1" ht="13">
      <c r="A17" s="113">
        <v>1933</v>
      </c>
      <c r="B17" s="108"/>
      <c r="C17" s="109"/>
      <c r="D17" s="108"/>
      <c r="E17" s="108"/>
      <c r="F17" s="108"/>
      <c r="G17" s="108"/>
      <c r="H17" s="108"/>
      <c r="I17" s="108">
        <v>2565</v>
      </c>
      <c r="J17" s="110"/>
      <c r="K17" s="110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</row>
    <row r="18" spans="1:109" s="107" customFormat="1" ht="13">
      <c r="A18" s="113">
        <v>1934</v>
      </c>
      <c r="B18" s="108"/>
      <c r="C18" s="109"/>
      <c r="D18" s="108"/>
      <c r="E18" s="108"/>
      <c r="F18" s="108">
        <f>G18+H18</f>
        <v>2300</v>
      </c>
      <c r="G18" s="108">
        <v>1600</v>
      </c>
      <c r="H18" s="108">
        <v>700</v>
      </c>
      <c r="I18" s="108">
        <v>3143</v>
      </c>
      <c r="J18" s="110"/>
      <c r="K18" s="110"/>
      <c r="L18" s="108"/>
      <c r="M18" s="108"/>
      <c r="N18" s="108"/>
      <c r="O18" s="108"/>
      <c r="P18" s="110">
        <v>359.2</v>
      </c>
      <c r="Q18" s="108"/>
      <c r="R18" s="108"/>
      <c r="S18" s="108">
        <v>2656.6</v>
      </c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>
        <v>70</v>
      </c>
      <c r="AL18" s="108"/>
      <c r="AM18" s="108">
        <v>289</v>
      </c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</row>
    <row r="19" spans="1:109" s="107" customFormat="1" ht="13">
      <c r="A19" s="113">
        <v>1935</v>
      </c>
      <c r="B19" s="108"/>
      <c r="C19" s="109"/>
      <c r="D19" s="108"/>
      <c r="E19" s="108"/>
      <c r="F19" s="108"/>
      <c r="G19" s="108"/>
      <c r="H19" s="108"/>
      <c r="I19" s="108">
        <v>3529</v>
      </c>
      <c r="J19" s="110"/>
      <c r="K19" s="110"/>
      <c r="L19" s="108"/>
      <c r="M19" s="108"/>
      <c r="N19" s="108"/>
      <c r="O19" s="108"/>
      <c r="P19" s="110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</row>
    <row r="20" spans="1:109" s="107" customFormat="1" ht="13">
      <c r="A20" s="113">
        <v>1936</v>
      </c>
      <c r="B20" s="108"/>
      <c r="C20" s="109"/>
      <c r="D20" s="108"/>
      <c r="E20" s="108"/>
      <c r="F20" s="108"/>
      <c r="G20" s="108"/>
      <c r="H20" s="108"/>
      <c r="I20" s="108">
        <v>4468</v>
      </c>
      <c r="J20" s="110"/>
      <c r="K20" s="110"/>
      <c r="L20" s="108"/>
      <c r="M20" s="108"/>
      <c r="N20" s="108"/>
      <c r="O20" s="108"/>
      <c r="P20" s="110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</row>
    <row r="21" spans="1:109" s="107" customFormat="1" ht="13">
      <c r="A21" s="113">
        <v>1937</v>
      </c>
      <c r="B21" s="108"/>
      <c r="C21" s="109"/>
      <c r="D21" s="108"/>
      <c r="E21" s="108"/>
      <c r="F21" s="108"/>
      <c r="G21" s="108"/>
      <c r="H21" s="108"/>
      <c r="I21" s="108">
        <f>7007-1883</f>
        <v>5124</v>
      </c>
      <c r="J21" s="110"/>
      <c r="K21" s="110"/>
      <c r="L21" s="108"/>
      <c r="M21" s="108"/>
      <c r="N21" s="108"/>
      <c r="O21" s="108"/>
      <c r="P21" s="108">
        <v>611</v>
      </c>
      <c r="Q21" s="108"/>
      <c r="R21" s="108"/>
      <c r="S21" s="108">
        <v>3214.67</v>
      </c>
      <c r="T21" s="108"/>
      <c r="U21" s="108"/>
      <c r="V21" s="108">
        <v>49.52</v>
      </c>
      <c r="W21" s="108"/>
      <c r="X21" s="108"/>
      <c r="Y21" s="108"/>
      <c r="Z21" s="108"/>
      <c r="AA21" s="108"/>
      <c r="AB21" s="108"/>
      <c r="AC21" s="108"/>
      <c r="AD21" s="108">
        <v>43.74</v>
      </c>
      <c r="AE21" s="108"/>
      <c r="AF21" s="108"/>
      <c r="AG21" s="108"/>
      <c r="AH21" s="108"/>
      <c r="AI21" s="108"/>
      <c r="AJ21" s="108"/>
      <c r="AK21" s="108">
        <v>59</v>
      </c>
      <c r="AL21" s="108"/>
      <c r="AM21" s="108">
        <v>552.14695550351291</v>
      </c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</row>
    <row r="22" spans="1:109" s="107" customFormat="1" ht="13">
      <c r="A22" s="113">
        <v>1938</v>
      </c>
      <c r="B22" s="108"/>
      <c r="C22" s="109"/>
      <c r="D22" s="108"/>
      <c r="E22" s="108"/>
      <c r="F22" s="108"/>
      <c r="G22" s="108"/>
      <c r="H22" s="108"/>
      <c r="I22" s="110">
        <v>4575</v>
      </c>
      <c r="J22" s="110"/>
      <c r="K22" s="110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</row>
    <row r="23" spans="1:109" s="107" customFormat="1" ht="13">
      <c r="A23" s="113">
        <v>1939</v>
      </c>
      <c r="B23" s="108"/>
      <c r="C23" s="109"/>
      <c r="D23" s="108"/>
      <c r="E23" s="108"/>
      <c r="F23" s="108"/>
      <c r="G23" s="108"/>
      <c r="H23" s="108"/>
      <c r="I23" s="110">
        <v>4312</v>
      </c>
      <c r="J23" s="110"/>
      <c r="K23" s="110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</row>
    <row r="24" spans="1:109" s="107" customFormat="1" ht="13">
      <c r="A24" s="113">
        <v>1940</v>
      </c>
      <c r="B24" s="108"/>
      <c r="C24" s="109"/>
      <c r="D24" s="108"/>
      <c r="E24" s="108"/>
      <c r="F24" s="108"/>
      <c r="G24" s="108"/>
      <c r="H24" s="108"/>
      <c r="I24" s="110">
        <v>3797</v>
      </c>
      <c r="J24" s="110"/>
      <c r="K24" s="110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</row>
    <row r="25" spans="1:109" s="107" customFormat="1" ht="13">
      <c r="A25" s="113">
        <v>1941</v>
      </c>
      <c r="B25" s="108"/>
      <c r="C25" s="109"/>
      <c r="D25" s="108"/>
      <c r="E25" s="108"/>
      <c r="F25" s="108">
        <f>G25+H25</f>
        <v>3700</v>
      </c>
      <c r="G25" s="110">
        <v>2200</v>
      </c>
      <c r="H25" s="110">
        <v>1500</v>
      </c>
      <c r="I25" s="110">
        <v>3566</v>
      </c>
      <c r="J25" s="110">
        <v>2148.6999999999998</v>
      </c>
      <c r="K25" s="110">
        <v>1417.6</v>
      </c>
      <c r="L25" s="110"/>
      <c r="M25" s="110"/>
      <c r="N25" s="110"/>
      <c r="O25" s="110"/>
      <c r="P25" s="108">
        <v>573.70000000000005</v>
      </c>
      <c r="Q25" s="108">
        <v>379.9</v>
      </c>
      <c r="R25" s="108">
        <v>193.89999999999998</v>
      </c>
      <c r="S25" s="108">
        <v>2382.5</v>
      </c>
      <c r="T25" s="108">
        <v>1417.3</v>
      </c>
      <c r="U25" s="108">
        <v>964.7</v>
      </c>
      <c r="V25" s="108">
        <v>236.7</v>
      </c>
      <c r="W25" s="108">
        <v>151.1</v>
      </c>
      <c r="X25" s="108">
        <v>86</v>
      </c>
      <c r="Y25" s="110"/>
      <c r="Z25" s="110"/>
      <c r="AA25" s="110"/>
      <c r="AB25" s="110"/>
      <c r="AC25" s="110"/>
      <c r="AD25" s="110">
        <f>55.2</f>
        <v>55.2</v>
      </c>
      <c r="AE25" s="110">
        <v>35.700000000000003</v>
      </c>
      <c r="AF25" s="110">
        <v>19.5</v>
      </c>
      <c r="AG25" s="108"/>
      <c r="AH25" s="108"/>
      <c r="AI25" s="108"/>
      <c r="AJ25" s="108"/>
      <c r="AK25" s="108">
        <v>41</v>
      </c>
      <c r="AL25" s="108"/>
      <c r="AM25" s="108">
        <v>479</v>
      </c>
      <c r="AN25" s="108"/>
      <c r="AO25" s="108">
        <v>53</v>
      </c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>
        <v>29.4</v>
      </c>
      <c r="BA25" s="108"/>
      <c r="BB25" s="108">
        <v>302.2</v>
      </c>
      <c r="BC25" s="108"/>
      <c r="BD25" s="108">
        <v>48.300000000000004</v>
      </c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</row>
    <row r="26" spans="1:109" s="107" customFormat="1" ht="13">
      <c r="A26" s="113">
        <v>1945</v>
      </c>
      <c r="B26" s="108"/>
      <c r="C26" s="109"/>
      <c r="D26" s="108"/>
      <c r="E26" s="108"/>
      <c r="F26" s="108"/>
      <c r="G26" s="108"/>
      <c r="H26" s="108"/>
      <c r="I26" s="110">
        <v>5220</v>
      </c>
      <c r="J26" s="110">
        <v>3330</v>
      </c>
      <c r="K26" s="110">
        <v>1890</v>
      </c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</row>
    <row r="27" spans="1:109" s="107" customFormat="1" ht="13">
      <c r="A27" s="113">
        <v>1949</v>
      </c>
      <c r="B27" s="108"/>
      <c r="C27" s="109"/>
      <c r="D27" s="108"/>
      <c r="E27" s="108"/>
      <c r="F27" s="108">
        <f>G27+H27</f>
        <v>4700</v>
      </c>
      <c r="G27" s="108">
        <v>2500</v>
      </c>
      <c r="H27" s="108">
        <v>2200</v>
      </c>
      <c r="I27" s="108"/>
      <c r="J27" s="110"/>
      <c r="K27" s="110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</row>
    <row r="28" spans="1:109" s="107" customFormat="1" ht="13">
      <c r="A28" s="113">
        <v>1955</v>
      </c>
      <c r="B28" s="108"/>
      <c r="C28" s="109"/>
      <c r="D28" s="108"/>
      <c r="E28" s="108"/>
      <c r="F28" s="108">
        <f t="shared" ref="F28:F42" si="0">G28+H28</f>
        <v>9800</v>
      </c>
      <c r="G28" s="108">
        <v>6600</v>
      </c>
      <c r="H28" s="108">
        <v>3200</v>
      </c>
      <c r="I28" s="108"/>
      <c r="J28" s="110"/>
      <c r="K28" s="110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</row>
    <row r="29" spans="1:109" s="107" customFormat="1" ht="13">
      <c r="A29" s="113">
        <v>1960</v>
      </c>
      <c r="B29" s="108"/>
      <c r="C29" s="109"/>
      <c r="D29" s="108"/>
      <c r="E29" s="108"/>
      <c r="F29" s="108">
        <f t="shared" si="0"/>
        <v>13800</v>
      </c>
      <c r="G29" s="108">
        <v>9300</v>
      </c>
      <c r="H29" s="108">
        <v>4500</v>
      </c>
      <c r="I29" s="108"/>
      <c r="J29" s="110"/>
      <c r="K29" s="110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</row>
    <row r="30" spans="1:109" s="107" customFormat="1" ht="13">
      <c r="A30" s="113">
        <v>1965</v>
      </c>
      <c r="B30" s="108"/>
      <c r="C30" s="109"/>
      <c r="D30" s="108"/>
      <c r="E30" s="108"/>
      <c r="F30" s="108">
        <f t="shared" si="0"/>
        <v>21100</v>
      </c>
      <c r="G30" s="108">
        <v>14600</v>
      </c>
      <c r="H30" s="108">
        <v>6500</v>
      </c>
      <c r="I30" s="108"/>
      <c r="J30" s="110"/>
      <c r="K30" s="110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</row>
    <row r="31" spans="1:109" s="107" customFormat="1" ht="13">
      <c r="A31" s="113">
        <v>1970</v>
      </c>
      <c r="B31" s="108"/>
      <c r="C31" s="109"/>
      <c r="D31" s="108"/>
      <c r="E31" s="108"/>
      <c r="F31" s="108">
        <f t="shared" si="0"/>
        <v>37700</v>
      </c>
      <c r="G31" s="108">
        <v>18700</v>
      </c>
      <c r="H31" s="108">
        <v>19000</v>
      </c>
      <c r="I31" s="108"/>
      <c r="J31" s="110"/>
      <c r="K31" s="110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</row>
    <row r="32" spans="1:109" s="107" customFormat="1" ht="13">
      <c r="A32" s="113">
        <v>1974</v>
      </c>
      <c r="B32" s="108"/>
      <c r="C32" s="109"/>
      <c r="D32" s="108"/>
      <c r="E32" s="108"/>
      <c r="F32" s="108">
        <f t="shared" si="0"/>
        <v>67100</v>
      </c>
      <c r="G32" s="108">
        <v>24700</v>
      </c>
      <c r="H32" s="108">
        <v>42400</v>
      </c>
      <c r="I32" s="108"/>
      <c r="J32" s="110"/>
      <c r="K32" s="110"/>
      <c r="L32" s="108">
        <v>27000</v>
      </c>
      <c r="M32" s="108">
        <v>533</v>
      </c>
      <c r="N32" s="108">
        <f>L32-M32</f>
        <v>26467</v>
      </c>
      <c r="O32" s="108"/>
      <c r="P32" s="108"/>
      <c r="Q32" s="108">
        <v>9568</v>
      </c>
      <c r="R32" s="108"/>
      <c r="S32" s="108"/>
      <c r="T32" s="108">
        <v>13344</v>
      </c>
      <c r="U32" s="108"/>
      <c r="V32" s="108"/>
      <c r="W32" s="108">
        <v>1136</v>
      </c>
      <c r="X32" s="108"/>
      <c r="Y32" s="108"/>
      <c r="Z32" s="108"/>
      <c r="AA32" s="108"/>
      <c r="AB32" s="108">
        <f>G32-Q32-T32-W32</f>
        <v>652</v>
      </c>
      <c r="AC32" s="108"/>
      <c r="AD32" s="108"/>
      <c r="AE32" s="108"/>
      <c r="AF32" s="108"/>
      <c r="AG32" s="108">
        <v>2098</v>
      </c>
      <c r="AH32" s="108">
        <v>518</v>
      </c>
      <c r="AI32" s="108">
        <v>1580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10">
        <v>928</v>
      </c>
      <c r="BA32" s="108"/>
      <c r="BB32" s="108">
        <v>7032</v>
      </c>
      <c r="BC32" s="108"/>
      <c r="BD32" s="108">
        <v>183</v>
      </c>
      <c r="BE32" s="108">
        <v>214</v>
      </c>
      <c r="BF32" s="108">
        <v>278</v>
      </c>
      <c r="BG32" s="108">
        <v>80</v>
      </c>
      <c r="BH32" s="108"/>
      <c r="BI32" s="108">
        <v>318</v>
      </c>
      <c r="BJ32" s="108">
        <v>160</v>
      </c>
      <c r="BK32" s="108">
        <v>75</v>
      </c>
      <c r="BL32" s="108">
        <v>3</v>
      </c>
      <c r="BM32" s="108">
        <v>13</v>
      </c>
      <c r="BN32" s="108">
        <f>Q32-SUM(AZ32:BM32)</f>
        <v>284</v>
      </c>
      <c r="BO32" s="108"/>
      <c r="BP32" s="110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</row>
    <row r="33" spans="1:131" s="107" customFormat="1" ht="13">
      <c r="A33" s="113">
        <v>1975</v>
      </c>
      <c r="B33" s="108"/>
      <c r="C33" s="109"/>
      <c r="D33" s="108"/>
      <c r="E33" s="108"/>
      <c r="F33" s="108"/>
      <c r="G33" s="108"/>
      <c r="H33" s="108"/>
      <c r="I33" s="108"/>
      <c r="J33" s="110"/>
      <c r="K33" s="110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10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10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T33" s="120"/>
      <c r="DU33" s="120"/>
      <c r="DV33" s="120"/>
      <c r="DW33" s="120"/>
      <c r="DX33" s="120"/>
      <c r="DY33" s="120"/>
      <c r="DZ33" s="120"/>
    </row>
    <row r="34" spans="1:131" s="107" customFormat="1" ht="13">
      <c r="A34" s="113">
        <v>1976</v>
      </c>
      <c r="B34" s="108"/>
      <c r="C34" s="109"/>
      <c r="D34" s="108"/>
      <c r="E34" s="108"/>
      <c r="F34" s="108"/>
      <c r="G34" s="108"/>
      <c r="H34" s="108"/>
      <c r="I34" s="108"/>
      <c r="J34" s="110"/>
      <c r="K34" s="110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10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10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T34" s="120">
        <f>DU34+DX34*(DZ34+DY34)</f>
        <v>72572</v>
      </c>
      <c r="DU34" s="120">
        <v>72572</v>
      </c>
      <c r="DV34" s="120"/>
      <c r="DW34" s="120"/>
      <c r="DX34" s="120">
        <v>0</v>
      </c>
      <c r="DY34" s="120">
        <v>17231</v>
      </c>
      <c r="DZ34" s="120">
        <v>5782</v>
      </c>
    </row>
    <row r="35" spans="1:131" s="107" customFormat="1" ht="13">
      <c r="A35" s="113">
        <v>1977</v>
      </c>
      <c r="B35" s="108"/>
      <c r="C35" s="109"/>
      <c r="D35" s="108"/>
      <c r="E35" s="108"/>
      <c r="F35" s="108"/>
      <c r="G35" s="108"/>
      <c r="H35" s="108"/>
      <c r="I35" s="108"/>
      <c r="J35" s="110"/>
      <c r="K35" s="110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10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10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T35" s="120">
        <f t="shared" ref="DT35:DT63" si="1">DU35+DX35*(DZ35+DY35)</f>
        <v>107277.575</v>
      </c>
      <c r="DU35" s="120">
        <v>105386</v>
      </c>
      <c r="DV35" s="120"/>
      <c r="DW35" s="120"/>
      <c r="DX35" s="120">
        <f>DX34+(DX$42-DX$34)/8</f>
        <v>7.4999999999999997E-2</v>
      </c>
      <c r="DY35" s="120">
        <v>18004</v>
      </c>
      <c r="DZ35" s="120">
        <v>7217</v>
      </c>
    </row>
    <row r="36" spans="1:131" s="107" customFormat="1" ht="13">
      <c r="A36" s="113">
        <v>1978</v>
      </c>
      <c r="B36" s="108"/>
      <c r="C36" s="109"/>
      <c r="D36" s="108"/>
      <c r="E36" s="108"/>
      <c r="F36" s="108">
        <f t="shared" si="0"/>
        <v>98500</v>
      </c>
      <c r="G36" s="108">
        <v>47800</v>
      </c>
      <c r="H36" s="108">
        <v>50700</v>
      </c>
      <c r="I36" s="108"/>
      <c r="J36" s="110"/>
      <c r="K36" s="110"/>
      <c r="L36" s="108">
        <v>51000</v>
      </c>
      <c r="M36" s="108">
        <v>6000</v>
      </c>
      <c r="N36" s="108">
        <v>45000</v>
      </c>
      <c r="O36" s="108"/>
      <c r="P36" s="108">
        <v>18520</v>
      </c>
      <c r="Q36" s="108">
        <v>16268</v>
      </c>
      <c r="R36" s="108">
        <v>2252</v>
      </c>
      <c r="S36" s="108">
        <v>52399</v>
      </c>
      <c r="T36" s="108">
        <v>23727</v>
      </c>
      <c r="U36" s="108">
        <v>28672</v>
      </c>
      <c r="V36" s="108">
        <v>22389</v>
      </c>
      <c r="W36" s="108">
        <v>7506</v>
      </c>
      <c r="X36" s="108">
        <v>14883</v>
      </c>
      <c r="Y36" s="108"/>
      <c r="Z36" s="108"/>
      <c r="AA36" s="108">
        <v>5216</v>
      </c>
      <c r="AB36" s="108">
        <f>G36-Q36-T36-W36</f>
        <v>299</v>
      </c>
      <c r="AC36" s="108"/>
      <c r="AD36" s="108">
        <v>5</v>
      </c>
      <c r="AE36" s="108">
        <v>5</v>
      </c>
      <c r="AF36" s="108">
        <v>0</v>
      </c>
      <c r="AG36" s="108">
        <v>19302</v>
      </c>
      <c r="AH36" s="108">
        <v>6014</v>
      </c>
      <c r="AI36" s="108">
        <v>13288</v>
      </c>
      <c r="AJ36" s="108"/>
      <c r="AK36" s="108">
        <v>1262</v>
      </c>
      <c r="AL36" s="108"/>
      <c r="AM36" s="108">
        <v>13415</v>
      </c>
      <c r="AN36" s="108"/>
      <c r="AO36" s="108">
        <v>402</v>
      </c>
      <c r="AP36" s="108">
        <v>319</v>
      </c>
      <c r="AQ36" s="108">
        <v>915</v>
      </c>
      <c r="AR36" s="108">
        <v>169</v>
      </c>
      <c r="AS36" s="108"/>
      <c r="AT36" s="108">
        <v>859</v>
      </c>
      <c r="AU36" s="108">
        <v>594</v>
      </c>
      <c r="AV36" s="108">
        <v>34</v>
      </c>
      <c r="AW36" s="108">
        <v>149</v>
      </c>
      <c r="AX36" s="108">
        <v>402</v>
      </c>
      <c r="AY36" s="108"/>
      <c r="AZ36" s="108">
        <v>900</v>
      </c>
      <c r="BA36" s="108"/>
      <c r="BB36" s="108">
        <v>12255</v>
      </c>
      <c r="BC36" s="108"/>
      <c r="BD36" s="108">
        <v>372</v>
      </c>
      <c r="BE36" s="108">
        <v>284</v>
      </c>
      <c r="BF36" s="108">
        <v>863</v>
      </c>
      <c r="BG36" s="108">
        <v>161</v>
      </c>
      <c r="BH36" s="108"/>
      <c r="BI36" s="108">
        <v>802</v>
      </c>
      <c r="BJ36" s="108">
        <v>460</v>
      </c>
      <c r="BK36" s="108">
        <v>33</v>
      </c>
      <c r="BL36" s="108">
        <v>8</v>
      </c>
      <c r="BM36" s="108">
        <v>130</v>
      </c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>
        <v>85674</v>
      </c>
      <c r="CG36" s="108">
        <v>78576</v>
      </c>
      <c r="CH36" s="108">
        <v>0</v>
      </c>
      <c r="CI36" s="108">
        <v>1507.78</v>
      </c>
      <c r="CJ36" s="108">
        <v>59780.03</v>
      </c>
      <c r="CK36" s="108">
        <v>4543.88</v>
      </c>
      <c r="CL36" s="108">
        <f t="shared" ref="CL36:CL65" si="2">CO36+CP36+CQ36+CR36+CS36+CT36+CU36+CV36+CW36+CX36+CY36+CZ36+DA36+DB36</f>
        <v>16161.669999999998</v>
      </c>
      <c r="CM36" s="108">
        <f t="shared" ref="CM36:CM67" si="3">CF36-CI36-CJ36-CK36-CL36</f>
        <v>3680.6400000000031</v>
      </c>
      <c r="CN36" s="108"/>
      <c r="CO36" s="108">
        <v>1271</v>
      </c>
      <c r="CP36" s="108">
        <v>0</v>
      </c>
      <c r="CQ36" s="108">
        <v>13970.2</v>
      </c>
      <c r="CR36" s="108">
        <v>0</v>
      </c>
      <c r="CS36" s="108">
        <v>499.71</v>
      </c>
      <c r="CT36" s="108">
        <v>9.73</v>
      </c>
      <c r="CU36" s="108">
        <v>171.98</v>
      </c>
      <c r="CV36" s="108">
        <v>36.78</v>
      </c>
      <c r="CW36" s="108">
        <v>0</v>
      </c>
      <c r="CX36" s="108">
        <v>25.96</v>
      </c>
      <c r="CY36" s="108">
        <v>128.71</v>
      </c>
      <c r="CZ36" s="108">
        <v>0</v>
      </c>
      <c r="DA36" s="108">
        <v>36.78</v>
      </c>
      <c r="DB36" s="108">
        <v>10.82</v>
      </c>
      <c r="DC36" s="108"/>
      <c r="DD36" s="108">
        <v>0</v>
      </c>
      <c r="DE36" s="108"/>
      <c r="DT36" s="120">
        <f t="shared" si="1"/>
        <v>133280.54999999999</v>
      </c>
      <c r="DU36" s="120">
        <v>128511</v>
      </c>
      <c r="DV36" s="120"/>
      <c r="DW36" s="120"/>
      <c r="DX36" s="120">
        <f t="shared" ref="DX36:DX41" si="4">DX35+(DX$42-DX$34)/8</f>
        <v>0.15</v>
      </c>
      <c r="DY36" s="120">
        <v>23327</v>
      </c>
      <c r="DZ36" s="120">
        <v>8470</v>
      </c>
    </row>
    <row r="37" spans="1:131" s="107" customFormat="1" ht="13">
      <c r="A37" s="113">
        <v>1979</v>
      </c>
      <c r="B37" s="108"/>
      <c r="C37" s="109"/>
      <c r="D37" s="108"/>
      <c r="E37" s="108"/>
      <c r="F37" s="108"/>
      <c r="G37" s="108"/>
      <c r="H37" s="108"/>
      <c r="I37" s="108"/>
      <c r="J37" s="110"/>
      <c r="K37" s="110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>
        <v>67969</v>
      </c>
      <c r="CG37" s="108">
        <v>59914</v>
      </c>
      <c r="CH37" s="108">
        <v>0</v>
      </c>
      <c r="CI37" s="108">
        <v>1400.3</v>
      </c>
      <c r="CJ37" s="108">
        <v>37211.360000000001</v>
      </c>
      <c r="CK37" s="108">
        <v>5134.45</v>
      </c>
      <c r="CL37" s="108">
        <f t="shared" si="2"/>
        <v>15194.033333333333</v>
      </c>
      <c r="CM37" s="108">
        <f t="shared" si="3"/>
        <v>9028.8566666666629</v>
      </c>
      <c r="CN37" s="108"/>
      <c r="CO37" s="108">
        <f>CO36+(CO$42-CO$36)/6</f>
        <v>1197.8333333333333</v>
      </c>
      <c r="CP37" s="108">
        <v>0</v>
      </c>
      <c r="CQ37" s="108">
        <v>12636.98</v>
      </c>
      <c r="CR37" s="108">
        <v>0</v>
      </c>
      <c r="CS37" s="108">
        <v>627.67999999999995</v>
      </c>
      <c r="CT37" s="108">
        <v>15.98</v>
      </c>
      <c r="CU37" s="108">
        <v>158.63</v>
      </c>
      <c r="CV37" s="108">
        <v>267.05</v>
      </c>
      <c r="CW37" s="108">
        <v>0</v>
      </c>
      <c r="CX37" s="108">
        <v>39.94</v>
      </c>
      <c r="CY37" s="108">
        <v>179.18</v>
      </c>
      <c r="CZ37" s="108">
        <v>6.85</v>
      </c>
      <c r="DA37" s="108">
        <v>63.91</v>
      </c>
      <c r="DB37" s="108">
        <v>0</v>
      </c>
      <c r="DC37" s="108"/>
      <c r="DD37" s="108">
        <v>0</v>
      </c>
      <c r="DE37" s="108"/>
      <c r="DT37" s="120">
        <f t="shared" si="1"/>
        <v>115744.175</v>
      </c>
      <c r="DU37" s="120">
        <v>106640</v>
      </c>
      <c r="DV37" s="120"/>
      <c r="DW37" s="120"/>
      <c r="DX37" s="120">
        <f t="shared" si="4"/>
        <v>0.22499999999999998</v>
      </c>
      <c r="DY37" s="120">
        <v>30540</v>
      </c>
      <c r="DZ37" s="120">
        <v>9923</v>
      </c>
    </row>
    <row r="38" spans="1:131" s="107" customFormat="1" ht="13">
      <c r="A38" s="113">
        <v>1980</v>
      </c>
      <c r="B38" s="108"/>
      <c r="C38" s="109"/>
      <c r="D38" s="108"/>
      <c r="E38" s="108"/>
      <c r="F38" s="108"/>
      <c r="G38" s="108"/>
      <c r="H38" s="108"/>
      <c r="I38" s="108"/>
      <c r="J38" s="110"/>
      <c r="K38" s="110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>
        <v>77674</v>
      </c>
      <c r="CG38" s="108">
        <v>68798</v>
      </c>
      <c r="CH38" s="108">
        <v>0</v>
      </c>
      <c r="CI38" s="108">
        <v>1001.33</v>
      </c>
      <c r="CJ38" s="108">
        <v>45845.16</v>
      </c>
      <c r="CK38" s="108">
        <v>7857.19</v>
      </c>
      <c r="CL38" s="108">
        <f t="shared" si="2"/>
        <v>13213.356666666665</v>
      </c>
      <c r="CM38" s="108">
        <f t="shared" si="3"/>
        <v>9756.9633333333313</v>
      </c>
      <c r="CN38" s="108"/>
      <c r="CO38" s="108">
        <f>CO37+(CO$42-CO$36)/6</f>
        <v>1124.6666666666665</v>
      </c>
      <c r="CP38" s="108">
        <v>0</v>
      </c>
      <c r="CQ38" s="108">
        <v>11199.88</v>
      </c>
      <c r="CR38" s="108">
        <v>0</v>
      </c>
      <c r="CS38" s="108">
        <v>168.21</v>
      </c>
      <c r="CT38" s="108">
        <v>37.51</v>
      </c>
      <c r="CU38" s="108">
        <v>192.08</v>
      </c>
      <c r="CV38" s="108">
        <v>106.84</v>
      </c>
      <c r="CW38" s="108">
        <v>0</v>
      </c>
      <c r="CX38" s="108">
        <v>57.97</v>
      </c>
      <c r="CY38" s="108">
        <v>283.01</v>
      </c>
      <c r="CZ38" s="108">
        <v>2.27</v>
      </c>
      <c r="DA38" s="108">
        <v>39.78</v>
      </c>
      <c r="DB38" s="108">
        <v>1.1399999999999999</v>
      </c>
      <c r="DC38" s="108"/>
      <c r="DD38" s="108">
        <v>0</v>
      </c>
      <c r="DE38" s="108"/>
      <c r="DT38" s="120">
        <f t="shared" si="1"/>
        <v>131540.79999999999</v>
      </c>
      <c r="DU38" s="120">
        <v>118189</v>
      </c>
      <c r="DV38" s="120"/>
      <c r="DW38" s="120"/>
      <c r="DX38" s="120">
        <f t="shared" si="4"/>
        <v>0.3</v>
      </c>
      <c r="DY38" s="120">
        <v>30381</v>
      </c>
      <c r="DZ38" s="120">
        <v>14125</v>
      </c>
    </row>
    <row r="39" spans="1:131" s="107" customFormat="1" ht="13">
      <c r="A39" s="113">
        <v>1981</v>
      </c>
      <c r="B39" s="108"/>
      <c r="C39" s="109"/>
      <c r="D39" s="108"/>
      <c r="E39" s="108"/>
      <c r="F39" s="108"/>
      <c r="G39" s="108"/>
      <c r="H39" s="108"/>
      <c r="I39" s="108"/>
      <c r="J39" s="110"/>
      <c r="K39" s="110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>
        <v>74103</v>
      </c>
      <c r="CG39" s="108">
        <v>62017</v>
      </c>
      <c r="CH39" s="108">
        <v>8855</v>
      </c>
      <c r="CI39" s="108">
        <v>1030.8599999999999</v>
      </c>
      <c r="CJ39" s="108">
        <v>41105.39</v>
      </c>
      <c r="CK39" s="108">
        <v>17576.21</v>
      </c>
      <c r="CL39" s="108">
        <f t="shared" si="2"/>
        <v>15435.32</v>
      </c>
      <c r="CM39" s="108">
        <f t="shared" si="3"/>
        <v>-1044.7799999999988</v>
      </c>
      <c r="CN39" s="108"/>
      <c r="CO39" s="108">
        <f>CO38+(CO$42-CO$36)/6</f>
        <v>1051.4999999999998</v>
      </c>
      <c r="CP39" s="108">
        <v>0</v>
      </c>
      <c r="CQ39" s="108">
        <v>10861.61</v>
      </c>
      <c r="CR39" s="108">
        <v>0</v>
      </c>
      <c r="CS39" s="108">
        <v>240.05</v>
      </c>
      <c r="CT39" s="108">
        <v>57.21</v>
      </c>
      <c r="CU39" s="108">
        <v>173.87</v>
      </c>
      <c r="CV39" s="108">
        <v>227.71</v>
      </c>
      <c r="CW39" s="108">
        <v>0</v>
      </c>
      <c r="CX39" s="108">
        <v>49.36</v>
      </c>
      <c r="CY39" s="108">
        <v>415.04</v>
      </c>
      <c r="CZ39" s="108">
        <v>1.1200000000000001</v>
      </c>
      <c r="DA39" s="108">
        <v>634.89</v>
      </c>
      <c r="DB39" s="108">
        <v>1722.96</v>
      </c>
      <c r="DC39" s="108"/>
      <c r="DD39" s="108">
        <v>0</v>
      </c>
      <c r="DE39" s="108"/>
      <c r="DT39" s="120">
        <f t="shared" si="1"/>
        <v>140979.75</v>
      </c>
      <c r="DU39" s="120">
        <v>125130</v>
      </c>
      <c r="DV39" s="120"/>
      <c r="DW39" s="120"/>
      <c r="DX39" s="120">
        <f t="shared" si="4"/>
        <v>0.375</v>
      </c>
      <c r="DY39" s="120">
        <v>26737</v>
      </c>
      <c r="DZ39" s="120">
        <v>15529</v>
      </c>
    </row>
    <row r="40" spans="1:131" s="107" customFormat="1" ht="13">
      <c r="A40" s="113">
        <v>1982</v>
      </c>
      <c r="B40" s="108"/>
      <c r="C40" s="109"/>
      <c r="D40" s="108"/>
      <c r="E40" s="108"/>
      <c r="F40" s="108"/>
      <c r="G40" s="108"/>
      <c r="H40" s="108"/>
      <c r="I40" s="108"/>
      <c r="J40" s="110"/>
      <c r="K40" s="110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>
        <v>76264</v>
      </c>
      <c r="CG40" s="108">
        <v>55008</v>
      </c>
      <c r="CH40" s="108">
        <v>8806</v>
      </c>
      <c r="CI40" s="108">
        <v>2515.7800000000002</v>
      </c>
      <c r="CJ40" s="108">
        <v>31021.41</v>
      </c>
      <c r="CK40" s="108">
        <v>17013.95</v>
      </c>
      <c r="CL40" s="108">
        <f t="shared" si="2"/>
        <v>26693.373333333333</v>
      </c>
      <c r="CM40" s="108">
        <f t="shared" si="3"/>
        <v>-980.51333333333605</v>
      </c>
      <c r="CN40" s="108"/>
      <c r="CO40" s="108">
        <f>CO39+(CO$42-CO$36)/6</f>
        <v>978.33333333333314</v>
      </c>
      <c r="CP40" s="108">
        <v>0</v>
      </c>
      <c r="CQ40" s="108">
        <v>20048.810000000001</v>
      </c>
      <c r="CR40" s="108">
        <v>0</v>
      </c>
      <c r="CS40" s="108">
        <v>235.55</v>
      </c>
      <c r="CT40" s="108">
        <v>222.46</v>
      </c>
      <c r="CU40" s="108">
        <v>360.95</v>
      </c>
      <c r="CV40" s="108">
        <v>210.47</v>
      </c>
      <c r="CW40" s="108">
        <v>0</v>
      </c>
      <c r="CX40" s="108">
        <v>99.24</v>
      </c>
      <c r="CY40" s="108">
        <v>332.6</v>
      </c>
      <c r="CZ40" s="108">
        <v>0</v>
      </c>
      <c r="DA40" s="108">
        <v>175.57</v>
      </c>
      <c r="DB40" s="108">
        <v>4029.39</v>
      </c>
      <c r="DC40" s="108"/>
      <c r="DD40" s="108">
        <v>1.0900000000000001</v>
      </c>
      <c r="DE40" s="108"/>
      <c r="DT40" s="120">
        <f t="shared" si="1"/>
        <v>151884.35</v>
      </c>
      <c r="DU40" s="120">
        <v>132587</v>
      </c>
      <c r="DV40" s="120"/>
      <c r="DW40" s="120"/>
      <c r="DX40" s="120">
        <f t="shared" si="4"/>
        <v>0.45</v>
      </c>
      <c r="DY40" s="120">
        <v>24989</v>
      </c>
      <c r="DZ40" s="120">
        <v>17894</v>
      </c>
    </row>
    <row r="41" spans="1:131" s="107" customFormat="1" ht="13">
      <c r="A41" s="113">
        <v>1983</v>
      </c>
      <c r="B41" s="108"/>
      <c r="C41" s="109"/>
      <c r="D41" s="108"/>
      <c r="E41" s="108"/>
      <c r="F41" s="108"/>
      <c r="G41" s="108"/>
      <c r="H41" s="108"/>
      <c r="I41" s="108"/>
      <c r="J41" s="110"/>
      <c r="K41" s="110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>
        <v>86136</v>
      </c>
      <c r="CG41" s="108">
        <v>60448</v>
      </c>
      <c r="CH41" s="108">
        <v>8016</v>
      </c>
      <c r="CI41" s="108">
        <v>801.24</v>
      </c>
      <c r="CJ41" s="108">
        <v>37495.839999999997</v>
      </c>
      <c r="CK41" s="108">
        <v>16810.77</v>
      </c>
      <c r="CL41" s="108">
        <f t="shared" si="2"/>
        <v>31932.216666666671</v>
      </c>
      <c r="CM41" s="108">
        <f t="shared" si="3"/>
        <v>-904.06666666667297</v>
      </c>
      <c r="CN41" s="108"/>
      <c r="CO41" s="108">
        <f>CO40+(CO$42-CO$36)/6</f>
        <v>905.16666666666652</v>
      </c>
      <c r="CP41" s="108">
        <v>0</v>
      </c>
      <c r="CQ41" s="108">
        <v>22327.88</v>
      </c>
      <c r="CR41" s="108">
        <v>0</v>
      </c>
      <c r="CS41" s="108">
        <v>560.32000000000005</v>
      </c>
      <c r="CT41" s="108">
        <v>319.41000000000003</v>
      </c>
      <c r="CU41" s="108">
        <v>625.73</v>
      </c>
      <c r="CV41" s="108">
        <v>190.77</v>
      </c>
      <c r="CW41" s="108">
        <v>0</v>
      </c>
      <c r="CX41" s="108">
        <v>191.86</v>
      </c>
      <c r="CY41" s="108">
        <v>384.81</v>
      </c>
      <c r="CZ41" s="108">
        <v>2.1800000000000002</v>
      </c>
      <c r="DA41" s="108">
        <v>136.27000000000001</v>
      </c>
      <c r="DB41" s="108">
        <v>6287.82</v>
      </c>
      <c r="DC41" s="108"/>
      <c r="DD41" s="108">
        <v>0</v>
      </c>
      <c r="DE41" s="108"/>
      <c r="DT41" s="120">
        <f t="shared" si="1"/>
        <v>159693.25</v>
      </c>
      <c r="DU41" s="120">
        <v>136987</v>
      </c>
      <c r="DV41" s="120"/>
      <c r="DW41" s="120"/>
      <c r="DX41" s="120">
        <f t="shared" si="4"/>
        <v>0.52500000000000002</v>
      </c>
      <c r="DY41" s="120">
        <v>25534</v>
      </c>
      <c r="DZ41" s="120">
        <v>17716</v>
      </c>
    </row>
    <row r="42" spans="1:131" s="107" customFormat="1" ht="13">
      <c r="A42" s="113">
        <v>1984</v>
      </c>
      <c r="B42" s="108">
        <f t="shared" ref="B42:B65" si="5">E42+D42</f>
        <v>268080</v>
      </c>
      <c r="C42" s="109">
        <v>267920</v>
      </c>
      <c r="D42" s="108">
        <v>104852</v>
      </c>
      <c r="E42" s="108">
        <v>163228</v>
      </c>
      <c r="F42" s="108">
        <f t="shared" si="0"/>
        <v>268100</v>
      </c>
      <c r="G42" s="108">
        <v>104900</v>
      </c>
      <c r="H42" s="108">
        <v>163200</v>
      </c>
      <c r="I42" s="111"/>
      <c r="J42" s="110"/>
      <c r="K42" s="110"/>
      <c r="L42" s="108">
        <f>M42+N42</f>
        <v>106638</v>
      </c>
      <c r="M42" s="108">
        <v>9999</v>
      </c>
      <c r="N42" s="108">
        <v>96639</v>
      </c>
      <c r="O42" s="108"/>
      <c r="P42" s="108">
        <v>47055</v>
      </c>
      <c r="Q42" s="108">
        <v>28271</v>
      </c>
      <c r="R42" s="108">
        <v>18784</v>
      </c>
      <c r="S42" s="108">
        <v>145944</v>
      </c>
      <c r="T42" s="108">
        <v>62348</v>
      </c>
      <c r="U42" s="108">
        <v>83596</v>
      </c>
      <c r="V42" s="108">
        <v>59660</v>
      </c>
      <c r="W42" s="108">
        <v>12278</v>
      </c>
      <c r="X42" s="108">
        <v>47382</v>
      </c>
      <c r="Y42" s="108">
        <f t="shared" ref="Y42:Y68" si="6">B42-P42-S42-V42</f>
        <v>15421</v>
      </c>
      <c r="Z42" s="108">
        <f t="shared" ref="Z42:Z61" si="7">Y42-AA42</f>
        <v>1071</v>
      </c>
      <c r="AA42" s="108">
        <v>14350</v>
      </c>
      <c r="AB42" s="108">
        <f t="shared" ref="AB42:AB66" si="8">D42-Q42-T42-W42</f>
        <v>1955</v>
      </c>
      <c r="AC42" s="108">
        <f t="shared" ref="AC42:AC66" si="9">E42-R42-U42-X42</f>
        <v>13466</v>
      </c>
      <c r="AD42" s="108">
        <v>14</v>
      </c>
      <c r="AE42" s="108">
        <v>13</v>
      </c>
      <c r="AF42" s="108">
        <v>1</v>
      </c>
      <c r="AG42" s="108">
        <v>44627</v>
      </c>
      <c r="AH42" s="108">
        <v>9314</v>
      </c>
      <c r="AI42" s="108">
        <v>35313</v>
      </c>
      <c r="AJ42" s="108"/>
      <c r="AK42" s="108">
        <v>4970</v>
      </c>
      <c r="AL42" s="108"/>
      <c r="AM42" s="108">
        <v>22410</v>
      </c>
      <c r="AN42" s="108"/>
      <c r="AO42" s="108">
        <v>1606</v>
      </c>
      <c r="AP42" s="108">
        <v>1353</v>
      </c>
      <c r="AQ42" s="108">
        <v>3251</v>
      </c>
      <c r="AR42" s="108">
        <v>1458</v>
      </c>
      <c r="AS42" s="108"/>
      <c r="AT42" s="108">
        <v>2877</v>
      </c>
      <c r="AU42" s="108">
        <v>2900</v>
      </c>
      <c r="AV42" s="108">
        <v>121</v>
      </c>
      <c r="AW42" s="108">
        <v>36</v>
      </c>
      <c r="AX42" s="108">
        <v>6073</v>
      </c>
      <c r="AY42" s="108"/>
      <c r="AZ42" s="108">
        <v>1789</v>
      </c>
      <c r="BA42" s="108"/>
      <c r="BB42" s="108">
        <v>17375</v>
      </c>
      <c r="BC42" s="108"/>
      <c r="BD42" s="108">
        <v>841</v>
      </c>
      <c r="BE42" s="108">
        <v>806</v>
      </c>
      <c r="BF42" s="108">
        <v>2843</v>
      </c>
      <c r="BG42" s="108">
        <v>834</v>
      </c>
      <c r="BH42" s="108"/>
      <c r="BI42" s="108">
        <v>1988</v>
      </c>
      <c r="BJ42" s="108">
        <v>951</v>
      </c>
      <c r="BK42" s="108">
        <v>83</v>
      </c>
      <c r="BL42" s="108">
        <v>27</v>
      </c>
      <c r="BM42" s="108">
        <v>734</v>
      </c>
      <c r="BN42" s="108"/>
      <c r="BO42" s="108"/>
      <c r="BP42" s="108">
        <f>AK42-AZ42</f>
        <v>3181</v>
      </c>
      <c r="BQ42" s="108"/>
      <c r="BR42" s="108">
        <f t="shared" ref="BP42:BT69" si="10">AM42-BB42</f>
        <v>5035</v>
      </c>
      <c r="BS42" s="108"/>
      <c r="BT42" s="108">
        <f t="shared" si="10"/>
        <v>765</v>
      </c>
      <c r="BU42" s="108">
        <f>AP42-BE42</f>
        <v>547</v>
      </c>
      <c r="BV42" s="108">
        <f>AQ42-BF42</f>
        <v>408</v>
      </c>
      <c r="BW42" s="108">
        <f>AR42-BG42</f>
        <v>624</v>
      </c>
      <c r="BX42" s="108"/>
      <c r="BY42" s="108">
        <f t="shared" ref="BY42:CA57" si="11">AT42-BI42</f>
        <v>889</v>
      </c>
      <c r="BZ42" s="108">
        <f t="shared" si="11"/>
        <v>1949</v>
      </c>
      <c r="CA42" s="108">
        <f t="shared" si="11"/>
        <v>38</v>
      </c>
      <c r="CB42" s="108">
        <f>AW42-BL42</f>
        <v>9</v>
      </c>
      <c r="CC42" s="108">
        <f>AX42-BM42</f>
        <v>5339</v>
      </c>
      <c r="CD42" s="108"/>
      <c r="CE42" s="108"/>
      <c r="CF42" s="108">
        <v>95115</v>
      </c>
      <c r="CG42" s="108">
        <v>67027</v>
      </c>
      <c r="CH42" s="108">
        <v>10024</v>
      </c>
      <c r="CI42" s="108">
        <v>1514.72</v>
      </c>
      <c r="CJ42" s="108">
        <v>35992</v>
      </c>
      <c r="CK42" s="108">
        <v>23352</v>
      </c>
      <c r="CL42" s="108">
        <f t="shared" si="2"/>
        <v>34247.340000000004</v>
      </c>
      <c r="CM42" s="108">
        <f t="shared" si="3"/>
        <v>8.9399999999950523</v>
      </c>
      <c r="CN42" s="108"/>
      <c r="CO42" s="108">
        <v>832</v>
      </c>
      <c r="CP42" s="108">
        <v>0</v>
      </c>
      <c r="CQ42" s="108">
        <v>22922.27</v>
      </c>
      <c r="CR42" s="108">
        <v>0</v>
      </c>
      <c r="CS42" s="108">
        <v>545</v>
      </c>
      <c r="CT42" s="108">
        <v>412.91</v>
      </c>
      <c r="CU42" s="108">
        <v>382.24</v>
      </c>
      <c r="CV42" s="108">
        <v>404.14</v>
      </c>
      <c r="CW42" s="108">
        <v>0</v>
      </c>
      <c r="CX42" s="108">
        <v>245.33</v>
      </c>
      <c r="CY42" s="108">
        <v>442.48</v>
      </c>
      <c r="CZ42" s="108">
        <v>30.67</v>
      </c>
      <c r="DA42" s="108">
        <v>877.29</v>
      </c>
      <c r="DB42" s="108">
        <v>7153.01</v>
      </c>
      <c r="DC42" s="108"/>
      <c r="DD42" s="108">
        <v>23</v>
      </c>
      <c r="DE42" s="108"/>
      <c r="DF42" s="120">
        <f>AK42+CO42</f>
        <v>5802</v>
      </c>
      <c r="DG42" s="120"/>
      <c r="DH42" s="120">
        <f t="shared" ref="DH42:DS42" si="12">AM42+CQ42</f>
        <v>45332.270000000004</v>
      </c>
      <c r="DI42" s="120"/>
      <c r="DJ42" s="120">
        <f t="shared" si="12"/>
        <v>2151</v>
      </c>
      <c r="DK42" s="120">
        <f t="shared" si="12"/>
        <v>1765.91</v>
      </c>
      <c r="DL42" s="120">
        <f t="shared" si="12"/>
        <v>3633.24</v>
      </c>
      <c r="DM42" s="120">
        <f t="shared" si="12"/>
        <v>1862.1399999999999</v>
      </c>
      <c r="DN42" s="120"/>
      <c r="DO42" s="120">
        <f t="shared" si="12"/>
        <v>3122.33</v>
      </c>
      <c r="DP42" s="120">
        <f t="shared" si="12"/>
        <v>3342.48</v>
      </c>
      <c r="DQ42" s="120">
        <f t="shared" si="12"/>
        <v>151.67000000000002</v>
      </c>
      <c r="DR42" s="120">
        <f t="shared" si="12"/>
        <v>913.29</v>
      </c>
      <c r="DS42" s="120">
        <f t="shared" si="12"/>
        <v>13226.01</v>
      </c>
      <c r="DT42" s="120">
        <f t="shared" si="1"/>
        <v>168697.4</v>
      </c>
      <c r="DU42" s="120">
        <v>144665</v>
      </c>
      <c r="DV42" s="120"/>
      <c r="DW42" s="120"/>
      <c r="DX42" s="120">
        <v>0.6</v>
      </c>
      <c r="DY42" s="120">
        <v>26090</v>
      </c>
      <c r="DZ42" s="120">
        <v>13964</v>
      </c>
      <c r="EA42" s="287">
        <f t="shared" ref="EA42:EA63" si="13">M42/DZ42</f>
        <v>0.71605557146949295</v>
      </c>
    </row>
    <row r="43" spans="1:131" s="107" customFormat="1" ht="13">
      <c r="A43" s="113">
        <v>1985</v>
      </c>
      <c r="B43" s="108">
        <f t="shared" si="5"/>
        <v>397043</v>
      </c>
      <c r="C43" s="109">
        <v>411805</v>
      </c>
      <c r="D43" s="108">
        <v>138199</v>
      </c>
      <c r="E43" s="108">
        <v>258844</v>
      </c>
      <c r="F43" s="108"/>
      <c r="G43" s="108"/>
      <c r="H43" s="108"/>
      <c r="I43" s="111"/>
      <c r="J43" s="110"/>
      <c r="K43" s="110"/>
      <c r="L43" s="108">
        <f>M43+N43</f>
        <v>122004</v>
      </c>
      <c r="M43" s="108">
        <v>13646</v>
      </c>
      <c r="N43" s="108">
        <v>108358</v>
      </c>
      <c r="O43" s="108"/>
      <c r="P43" s="108">
        <v>72190</v>
      </c>
      <c r="Q43" s="108">
        <v>36405</v>
      </c>
      <c r="R43" s="108">
        <v>35785</v>
      </c>
      <c r="S43" s="108">
        <v>233322</v>
      </c>
      <c r="T43" s="108">
        <v>82746</v>
      </c>
      <c r="U43" s="108">
        <v>150576</v>
      </c>
      <c r="V43" s="108">
        <v>64003</v>
      </c>
      <c r="W43" s="108">
        <v>16215</v>
      </c>
      <c r="X43" s="108">
        <v>47788</v>
      </c>
      <c r="Y43" s="108">
        <f t="shared" si="6"/>
        <v>27528</v>
      </c>
      <c r="Z43" s="108">
        <f t="shared" si="7"/>
        <v>11601</v>
      </c>
      <c r="AA43" s="108">
        <v>15927</v>
      </c>
      <c r="AB43" s="108">
        <f t="shared" si="8"/>
        <v>2833</v>
      </c>
      <c r="AC43" s="108">
        <f t="shared" si="9"/>
        <v>24695</v>
      </c>
      <c r="AD43" s="108">
        <v>303</v>
      </c>
      <c r="AE43" s="108">
        <v>19</v>
      </c>
      <c r="AF43" s="108">
        <v>284</v>
      </c>
      <c r="AG43" s="108">
        <v>45240</v>
      </c>
      <c r="AH43" s="108">
        <v>12192</v>
      </c>
      <c r="AI43" s="108">
        <v>33048</v>
      </c>
      <c r="AJ43" s="108"/>
      <c r="AK43" s="108">
        <v>9765</v>
      </c>
      <c r="AL43" s="108"/>
      <c r="AM43" s="108">
        <v>30893</v>
      </c>
      <c r="AN43" s="108"/>
      <c r="AO43" s="108">
        <v>2227</v>
      </c>
      <c r="AP43" s="108">
        <v>2217</v>
      </c>
      <c r="AQ43" s="108">
        <v>5028</v>
      </c>
      <c r="AR43" s="108">
        <v>2659</v>
      </c>
      <c r="AS43" s="108"/>
      <c r="AT43" s="108">
        <v>5061</v>
      </c>
      <c r="AU43" s="108">
        <v>4633</v>
      </c>
      <c r="AV43" s="108">
        <v>118</v>
      </c>
      <c r="AW43" s="108">
        <v>57</v>
      </c>
      <c r="AX43" s="108">
        <v>9532</v>
      </c>
      <c r="AY43" s="108"/>
      <c r="AZ43" s="108">
        <v>3465</v>
      </c>
      <c r="BA43" s="108"/>
      <c r="BB43" s="108">
        <v>21034</v>
      </c>
      <c r="BC43" s="108"/>
      <c r="BD43" s="108">
        <v>891</v>
      </c>
      <c r="BE43" s="108">
        <v>1058</v>
      </c>
      <c r="BF43" s="108">
        <v>4051</v>
      </c>
      <c r="BG43" s="108">
        <v>1264</v>
      </c>
      <c r="BH43" s="108"/>
      <c r="BI43" s="108">
        <v>2410</v>
      </c>
      <c r="BJ43" s="108">
        <v>967</v>
      </c>
      <c r="BK43" s="108">
        <v>100</v>
      </c>
      <c r="BL43" s="108">
        <v>30</v>
      </c>
      <c r="BM43" s="108">
        <v>1135</v>
      </c>
      <c r="BN43" s="108"/>
      <c r="BO43" s="108"/>
      <c r="BP43" s="108">
        <f t="shared" si="10"/>
        <v>6300</v>
      </c>
      <c r="BQ43" s="108"/>
      <c r="BR43" s="108">
        <f t="shared" si="10"/>
        <v>9859</v>
      </c>
      <c r="BS43" s="108"/>
      <c r="BT43" s="108">
        <f t="shared" ref="BT43:BT57" si="14">AO43-BD43</f>
        <v>1336</v>
      </c>
      <c r="BU43" s="108">
        <f t="shared" ref="BU43:BU57" si="15">AP43-BE43</f>
        <v>1159</v>
      </c>
      <c r="BV43" s="108">
        <f t="shared" ref="BV43:BV57" si="16">AQ43-BF43</f>
        <v>977</v>
      </c>
      <c r="BW43" s="108">
        <f t="shared" ref="BW43:BW57" si="17">AR43-BG43</f>
        <v>1395</v>
      </c>
      <c r="BX43" s="108"/>
      <c r="BY43" s="108">
        <f t="shared" si="11"/>
        <v>2651</v>
      </c>
      <c r="BZ43" s="108">
        <f t="shared" si="11"/>
        <v>3666</v>
      </c>
      <c r="CA43" s="108">
        <f t="shared" si="11"/>
        <v>18</v>
      </c>
      <c r="CB43" s="108">
        <f t="shared" ref="CB43:CB70" si="18">AW43-BL43</f>
        <v>27</v>
      </c>
      <c r="CC43" s="108">
        <f t="shared" ref="CC43:CC70" si="19">AX43-BM43</f>
        <v>8397</v>
      </c>
      <c r="CD43" s="108"/>
      <c r="CE43" s="108"/>
      <c r="CF43" s="108">
        <v>87097</v>
      </c>
      <c r="CG43" s="108">
        <v>59151</v>
      </c>
      <c r="CH43" s="108">
        <v>9118</v>
      </c>
      <c r="CI43" s="108">
        <v>2334.63</v>
      </c>
      <c r="CJ43" s="108">
        <v>28049</v>
      </c>
      <c r="CK43" s="108">
        <v>28538</v>
      </c>
      <c r="CL43" s="108">
        <f t="shared" si="2"/>
        <v>28174.819999999996</v>
      </c>
      <c r="CM43" s="108">
        <f t="shared" si="3"/>
        <v>0.5499999999992724</v>
      </c>
      <c r="CN43" s="108"/>
      <c r="CO43" s="108">
        <v>322</v>
      </c>
      <c r="CP43" s="108">
        <v>0</v>
      </c>
      <c r="CQ43" s="108">
        <v>21074.52</v>
      </c>
      <c r="CR43" s="108">
        <v>0</v>
      </c>
      <c r="CS43" s="108">
        <v>639</v>
      </c>
      <c r="CT43" s="108">
        <v>747.7</v>
      </c>
      <c r="CU43" s="108">
        <v>619.77</v>
      </c>
      <c r="CV43" s="108">
        <v>346.28</v>
      </c>
      <c r="CW43" s="108">
        <v>0</v>
      </c>
      <c r="CX43" s="108">
        <v>120.21</v>
      </c>
      <c r="CY43" s="108">
        <v>515.01</v>
      </c>
      <c r="CZ43" s="108">
        <v>5.51</v>
      </c>
      <c r="DA43" s="108">
        <v>754.32</v>
      </c>
      <c r="DB43" s="108">
        <v>3030.5</v>
      </c>
      <c r="DC43" s="108"/>
      <c r="DD43" s="108">
        <v>0</v>
      </c>
      <c r="DE43" s="108"/>
      <c r="DF43" s="120">
        <f t="shared" ref="DF43:DF68" si="20">AK43+CO43</f>
        <v>10087</v>
      </c>
      <c r="DG43" s="120"/>
      <c r="DH43" s="120">
        <f t="shared" ref="DH43:DH68" si="21">AM43+CQ43</f>
        <v>51967.520000000004</v>
      </c>
      <c r="DI43" s="120"/>
      <c r="DJ43" s="120">
        <f t="shared" ref="DJ43:DJ68" si="22">AO43+CS43</f>
        <v>2866</v>
      </c>
      <c r="DK43" s="120">
        <f t="shared" ref="DK43:DK68" si="23">AP43+CT43</f>
        <v>2964.7</v>
      </c>
      <c r="DL43" s="120">
        <f t="shared" ref="DL43:DL68" si="24">AQ43+CU43</f>
        <v>5647.77</v>
      </c>
      <c r="DM43" s="120">
        <f t="shared" ref="DM43:DM57" si="25">AR43+CV43</f>
        <v>3005.2799999999997</v>
      </c>
      <c r="DN43" s="120"/>
      <c r="DO43" s="120">
        <f t="shared" ref="DO43:DO68" si="26">AT43+CX43</f>
        <v>5181.21</v>
      </c>
      <c r="DP43" s="120">
        <f t="shared" ref="DP43:DP68" si="27">AU43+CY43</f>
        <v>5148.01</v>
      </c>
      <c r="DQ43" s="120">
        <f t="shared" ref="DQ43:DQ68" si="28">AV43+CZ43</f>
        <v>123.51</v>
      </c>
      <c r="DR43" s="120">
        <f t="shared" ref="DR43:DR68" si="29">AW43+DA43</f>
        <v>811.32</v>
      </c>
      <c r="DS43" s="120">
        <f t="shared" ref="DS43:DS68" si="30">AX43+DB43</f>
        <v>12562.5</v>
      </c>
      <c r="DT43" s="120">
        <f t="shared" si="1"/>
        <v>170032.6</v>
      </c>
      <c r="DU43" s="120">
        <v>145063</v>
      </c>
      <c r="DV43" s="120"/>
      <c r="DW43" s="120"/>
      <c r="DX43" s="120">
        <f>DX42</f>
        <v>0.6</v>
      </c>
      <c r="DY43" s="120">
        <v>26734</v>
      </c>
      <c r="DZ43" s="120">
        <v>14882</v>
      </c>
      <c r="EA43" s="287">
        <f t="shared" si="13"/>
        <v>0.91694664695605432</v>
      </c>
    </row>
    <row r="44" spans="1:131" s="107" customFormat="1" ht="13">
      <c r="A44" s="113">
        <v>1986</v>
      </c>
      <c r="B44" s="108">
        <f t="shared" si="5"/>
        <v>523917</v>
      </c>
      <c r="C44" s="109">
        <v>541361</v>
      </c>
      <c r="D44" s="108">
        <v>175724</v>
      </c>
      <c r="E44" s="108">
        <v>348193</v>
      </c>
      <c r="F44" s="108"/>
      <c r="G44" s="108"/>
      <c r="H44" s="108"/>
      <c r="I44" s="111"/>
      <c r="J44" s="110"/>
      <c r="K44" s="110"/>
      <c r="L44" s="108">
        <f>M44+N44</f>
        <v>140092</v>
      </c>
      <c r="M44" s="108">
        <v>17163</v>
      </c>
      <c r="N44" s="108">
        <v>122929</v>
      </c>
      <c r="O44" s="108"/>
      <c r="P44" s="108">
        <v>93027</v>
      </c>
      <c r="Q44" s="108">
        <v>44890</v>
      </c>
      <c r="R44" s="108">
        <v>48137</v>
      </c>
      <c r="S44" s="108">
        <v>312307</v>
      </c>
      <c r="T44" s="108">
        <v>106885</v>
      </c>
      <c r="U44" s="108">
        <v>205422</v>
      </c>
      <c r="V44" s="108">
        <v>68191</v>
      </c>
      <c r="W44" s="108">
        <v>20527</v>
      </c>
      <c r="X44" s="108">
        <v>47664</v>
      </c>
      <c r="Y44" s="108">
        <f t="shared" si="6"/>
        <v>50392</v>
      </c>
      <c r="Z44" s="108">
        <f t="shared" si="7"/>
        <v>34408</v>
      </c>
      <c r="AA44" s="108">
        <v>15984</v>
      </c>
      <c r="AB44" s="108">
        <f t="shared" si="8"/>
        <v>3422</v>
      </c>
      <c r="AC44" s="108">
        <f t="shared" si="9"/>
        <v>46970</v>
      </c>
      <c r="AD44" s="108">
        <v>419</v>
      </c>
      <c r="AE44" s="108">
        <v>4</v>
      </c>
      <c r="AF44" s="108">
        <v>415</v>
      </c>
      <c r="AG44" s="108">
        <v>44562</v>
      </c>
      <c r="AH44" s="108">
        <v>14954</v>
      </c>
      <c r="AI44" s="108">
        <v>29608</v>
      </c>
      <c r="AJ44" s="108"/>
      <c r="AK44" s="108">
        <v>14588</v>
      </c>
      <c r="AL44" s="108"/>
      <c r="AM44" s="108">
        <v>38049</v>
      </c>
      <c r="AN44" s="108"/>
      <c r="AO44" s="108">
        <v>2589</v>
      </c>
      <c r="AP44" s="108">
        <v>3448</v>
      </c>
      <c r="AQ44" s="108">
        <v>6824</v>
      </c>
      <c r="AR44" s="108">
        <v>3322</v>
      </c>
      <c r="AS44" s="108"/>
      <c r="AT44" s="108">
        <v>5328</v>
      </c>
      <c r="AU44" s="108">
        <v>6737</v>
      </c>
      <c r="AV44" s="108">
        <v>149</v>
      </c>
      <c r="AW44" s="108">
        <v>119</v>
      </c>
      <c r="AX44" s="108">
        <v>11874</v>
      </c>
      <c r="AY44" s="108"/>
      <c r="AZ44" s="108">
        <v>5795</v>
      </c>
      <c r="BA44" s="108"/>
      <c r="BB44" s="108">
        <v>24488</v>
      </c>
      <c r="BC44" s="108"/>
      <c r="BD44" s="108">
        <v>1001</v>
      </c>
      <c r="BE44" s="108">
        <v>1469</v>
      </c>
      <c r="BF44" s="108">
        <v>4572</v>
      </c>
      <c r="BG44" s="108">
        <v>1734</v>
      </c>
      <c r="BH44" s="108"/>
      <c r="BI44" s="108">
        <v>2889</v>
      </c>
      <c r="BJ44" s="108">
        <v>1494</v>
      </c>
      <c r="BK44" s="108">
        <v>109</v>
      </c>
      <c r="BL44" s="108">
        <v>53</v>
      </c>
      <c r="BM44" s="108">
        <v>1286</v>
      </c>
      <c r="BN44" s="108"/>
      <c r="BO44" s="108"/>
      <c r="BP44" s="108">
        <f t="shared" si="10"/>
        <v>8793</v>
      </c>
      <c r="BQ44" s="108"/>
      <c r="BR44" s="108">
        <f t="shared" si="10"/>
        <v>13561</v>
      </c>
      <c r="BS44" s="108"/>
      <c r="BT44" s="108">
        <f t="shared" si="14"/>
        <v>1588</v>
      </c>
      <c r="BU44" s="108">
        <f t="shared" si="15"/>
        <v>1979</v>
      </c>
      <c r="BV44" s="108">
        <f t="shared" si="16"/>
        <v>2252</v>
      </c>
      <c r="BW44" s="108">
        <f t="shared" si="17"/>
        <v>1588</v>
      </c>
      <c r="BX44" s="108"/>
      <c r="BY44" s="108">
        <f t="shared" si="11"/>
        <v>2439</v>
      </c>
      <c r="BZ44" s="108">
        <f t="shared" si="11"/>
        <v>5243</v>
      </c>
      <c r="CA44" s="108">
        <f t="shared" si="11"/>
        <v>40</v>
      </c>
      <c r="CB44" s="108">
        <f t="shared" si="18"/>
        <v>66</v>
      </c>
      <c r="CC44" s="108">
        <f t="shared" si="19"/>
        <v>10588</v>
      </c>
      <c r="CD44" s="108"/>
      <c r="CE44" s="108"/>
      <c r="CF44" s="108">
        <v>105815</v>
      </c>
      <c r="CG44" s="108">
        <v>78142</v>
      </c>
      <c r="CH44" s="108">
        <v>5495</v>
      </c>
      <c r="CI44" s="108">
        <v>643.14</v>
      </c>
      <c r="CJ44" s="108">
        <v>47021</v>
      </c>
      <c r="CK44" s="108">
        <v>25947</v>
      </c>
      <c r="CL44" s="108">
        <f t="shared" si="2"/>
        <v>32199.329999999998</v>
      </c>
      <c r="CM44" s="108">
        <f t="shared" si="3"/>
        <v>4.5300000000024738</v>
      </c>
      <c r="CN44" s="108"/>
      <c r="CO44" s="108">
        <v>366</v>
      </c>
      <c r="CP44" s="108">
        <v>0</v>
      </c>
      <c r="CQ44" s="108">
        <v>23292.62</v>
      </c>
      <c r="CR44" s="108">
        <v>0</v>
      </c>
      <c r="CS44" s="108">
        <v>783</v>
      </c>
      <c r="CT44" s="108">
        <v>2828.75</v>
      </c>
      <c r="CU44" s="108">
        <v>210.78</v>
      </c>
      <c r="CV44" s="108">
        <v>463.71</v>
      </c>
      <c r="CW44" s="108">
        <v>0</v>
      </c>
      <c r="CX44" s="108">
        <v>143.76</v>
      </c>
      <c r="CY44" s="108">
        <v>472.36</v>
      </c>
      <c r="CZ44" s="108">
        <v>3.24</v>
      </c>
      <c r="DA44" s="108">
        <v>358.86</v>
      </c>
      <c r="DB44" s="108">
        <v>3276.25</v>
      </c>
      <c r="DC44" s="108"/>
      <c r="DD44" s="108">
        <v>12.97</v>
      </c>
      <c r="DE44" s="108"/>
      <c r="DF44" s="120">
        <f t="shared" si="20"/>
        <v>14954</v>
      </c>
      <c r="DG44" s="120"/>
      <c r="DH44" s="120">
        <f t="shared" si="21"/>
        <v>61341.619999999995</v>
      </c>
      <c r="DI44" s="120"/>
      <c r="DJ44" s="120">
        <f t="shared" si="22"/>
        <v>3372</v>
      </c>
      <c r="DK44" s="120">
        <f t="shared" si="23"/>
        <v>6276.75</v>
      </c>
      <c r="DL44" s="120">
        <f t="shared" si="24"/>
        <v>7034.78</v>
      </c>
      <c r="DM44" s="120">
        <f t="shared" si="25"/>
        <v>3785.71</v>
      </c>
      <c r="DN44" s="120"/>
      <c r="DO44" s="120">
        <f t="shared" si="26"/>
        <v>5471.76</v>
      </c>
      <c r="DP44" s="120">
        <f t="shared" si="27"/>
        <v>7209.36</v>
      </c>
      <c r="DQ44" s="120">
        <f t="shared" si="28"/>
        <v>152.24</v>
      </c>
      <c r="DR44" s="120">
        <f t="shared" si="29"/>
        <v>477.86</v>
      </c>
      <c r="DS44" s="120">
        <f t="shared" si="30"/>
        <v>15150.25</v>
      </c>
      <c r="DT44" s="120">
        <f t="shared" si="1"/>
        <v>205506.2</v>
      </c>
      <c r="DU44" s="120">
        <v>178916</v>
      </c>
      <c r="DV44" s="120"/>
      <c r="DW44" s="120"/>
      <c r="DX44" s="120">
        <f t="shared" ref="DX44:DX63" si="31">DX43</f>
        <v>0.6</v>
      </c>
      <c r="DY44" s="120">
        <v>27920</v>
      </c>
      <c r="DZ44" s="120">
        <v>16397</v>
      </c>
      <c r="EA44" s="287">
        <f t="shared" si="13"/>
        <v>1.0467158626578033</v>
      </c>
    </row>
    <row r="45" spans="1:131" s="107" customFormat="1" ht="13">
      <c r="A45" s="113">
        <v>1987</v>
      </c>
      <c r="B45" s="108">
        <f t="shared" si="5"/>
        <v>571105</v>
      </c>
      <c r="C45" s="109">
        <v>587376</v>
      </c>
      <c r="D45" s="108">
        <v>189136</v>
      </c>
      <c r="E45" s="108">
        <v>381969</v>
      </c>
      <c r="F45" s="108"/>
      <c r="G45" s="108"/>
      <c r="H45" s="108"/>
      <c r="I45" s="111"/>
      <c r="J45" s="110"/>
      <c r="K45" s="110"/>
      <c r="L45" s="108">
        <f t="shared" ref="L45:L68" si="32">M45+N45</f>
        <v>161073</v>
      </c>
      <c r="M45" s="108">
        <v>17583</v>
      </c>
      <c r="N45" s="108">
        <v>143490</v>
      </c>
      <c r="O45" s="108"/>
      <c r="P45" s="108">
        <v>89383</v>
      </c>
      <c r="Q45" s="108">
        <v>45065</v>
      </c>
      <c r="R45" s="108">
        <v>44318</v>
      </c>
      <c r="S45" s="108">
        <v>338011</v>
      </c>
      <c r="T45" s="108">
        <v>119989</v>
      </c>
      <c r="U45" s="108">
        <v>218022</v>
      </c>
      <c r="V45" s="108">
        <v>72702</v>
      </c>
      <c r="W45" s="108">
        <v>20441</v>
      </c>
      <c r="X45" s="108">
        <v>52261</v>
      </c>
      <c r="Y45" s="108">
        <f t="shared" si="6"/>
        <v>71009</v>
      </c>
      <c r="Z45" s="108">
        <f t="shared" si="7"/>
        <v>60681</v>
      </c>
      <c r="AA45" s="108">
        <v>10328</v>
      </c>
      <c r="AB45" s="108">
        <f t="shared" si="8"/>
        <v>3641</v>
      </c>
      <c r="AC45" s="108">
        <f t="shared" si="9"/>
        <v>67368</v>
      </c>
      <c r="AD45" s="108">
        <v>307</v>
      </c>
      <c r="AE45" s="108">
        <v>8</v>
      </c>
      <c r="AF45" s="108">
        <v>299</v>
      </c>
      <c r="AG45" s="108">
        <v>37708</v>
      </c>
      <c r="AH45" s="108">
        <v>14057</v>
      </c>
      <c r="AI45" s="108">
        <v>23651</v>
      </c>
      <c r="AJ45" s="108"/>
      <c r="AK45" s="108">
        <v>17713</v>
      </c>
      <c r="AL45" s="108"/>
      <c r="AM45" s="108">
        <v>36578</v>
      </c>
      <c r="AN45" s="108"/>
      <c r="AO45" s="108">
        <v>2009</v>
      </c>
      <c r="AP45" s="108">
        <v>3701</v>
      </c>
      <c r="AQ45" s="108">
        <v>7012</v>
      </c>
      <c r="AR45" s="108">
        <v>3263</v>
      </c>
      <c r="AS45" s="108"/>
      <c r="AT45" s="108">
        <v>3290</v>
      </c>
      <c r="AU45" s="108">
        <v>6565</v>
      </c>
      <c r="AV45" s="108">
        <v>146</v>
      </c>
      <c r="AW45" s="108">
        <v>552</v>
      </c>
      <c r="AX45" s="108">
        <v>8554</v>
      </c>
      <c r="AY45" s="108"/>
      <c r="AZ45" s="108">
        <v>7419</v>
      </c>
      <c r="BA45" s="108"/>
      <c r="BB45" s="108">
        <v>22386</v>
      </c>
      <c r="BC45" s="108"/>
      <c r="BD45" s="108">
        <v>935</v>
      </c>
      <c r="BE45" s="108">
        <v>1867</v>
      </c>
      <c r="BF45" s="108">
        <v>4473</v>
      </c>
      <c r="BG45" s="108">
        <v>1868</v>
      </c>
      <c r="BH45" s="108"/>
      <c r="BI45" s="108">
        <v>2111</v>
      </c>
      <c r="BJ45" s="108">
        <v>1998</v>
      </c>
      <c r="BK45" s="108">
        <v>112</v>
      </c>
      <c r="BL45" s="108">
        <v>54</v>
      </c>
      <c r="BM45" s="108">
        <v>1842</v>
      </c>
      <c r="BN45" s="108"/>
      <c r="BO45" s="108"/>
      <c r="BP45" s="108">
        <f t="shared" si="10"/>
        <v>10294</v>
      </c>
      <c r="BQ45" s="108"/>
      <c r="BR45" s="108">
        <f t="shared" si="10"/>
        <v>14192</v>
      </c>
      <c r="BS45" s="108"/>
      <c r="BT45" s="108">
        <f t="shared" si="14"/>
        <v>1074</v>
      </c>
      <c r="BU45" s="108">
        <f t="shared" si="15"/>
        <v>1834</v>
      </c>
      <c r="BV45" s="108">
        <f t="shared" si="16"/>
        <v>2539</v>
      </c>
      <c r="BW45" s="108">
        <f t="shared" si="17"/>
        <v>1395</v>
      </c>
      <c r="BX45" s="108"/>
      <c r="BY45" s="108">
        <f t="shared" si="11"/>
        <v>1179</v>
      </c>
      <c r="BZ45" s="108">
        <f t="shared" si="11"/>
        <v>4567</v>
      </c>
      <c r="CA45" s="108">
        <f t="shared" si="11"/>
        <v>34</v>
      </c>
      <c r="CB45" s="108">
        <f t="shared" si="18"/>
        <v>498</v>
      </c>
      <c r="CC45" s="108">
        <f t="shared" si="19"/>
        <v>6712</v>
      </c>
      <c r="CD45" s="108"/>
      <c r="CE45" s="108"/>
      <c r="CF45" s="108">
        <v>118519</v>
      </c>
      <c r="CG45" s="108">
        <v>91964</v>
      </c>
      <c r="CH45" s="108">
        <v>4498</v>
      </c>
      <c r="CI45" s="108">
        <v>733.56</v>
      </c>
      <c r="CJ45" s="108">
        <v>56659</v>
      </c>
      <c r="CK45" s="108">
        <v>29894</v>
      </c>
      <c r="CL45" s="108">
        <f t="shared" si="2"/>
        <v>31228.289999999994</v>
      </c>
      <c r="CM45" s="108">
        <f t="shared" si="3"/>
        <v>4.1500000000087311</v>
      </c>
      <c r="CN45" s="108"/>
      <c r="CO45" s="108">
        <v>343</v>
      </c>
      <c r="CP45" s="108">
        <v>0</v>
      </c>
      <c r="CQ45" s="108">
        <v>25533.47</v>
      </c>
      <c r="CR45" s="108">
        <v>0</v>
      </c>
      <c r="CS45" s="108">
        <v>657</v>
      </c>
      <c r="CT45" s="108">
        <v>1333.46</v>
      </c>
      <c r="CU45" s="108">
        <v>478.18</v>
      </c>
      <c r="CV45" s="108">
        <v>547.73</v>
      </c>
      <c r="CW45" s="108">
        <v>0</v>
      </c>
      <c r="CX45" s="108">
        <v>319.51</v>
      </c>
      <c r="CY45" s="108">
        <v>587.94000000000005</v>
      </c>
      <c r="CZ45" s="108">
        <v>3.26</v>
      </c>
      <c r="DA45" s="108">
        <v>360.8</v>
      </c>
      <c r="DB45" s="108">
        <v>1063.94</v>
      </c>
      <c r="DC45" s="108"/>
      <c r="DD45" s="108">
        <v>68.47</v>
      </c>
      <c r="DE45" s="108"/>
      <c r="DF45" s="120">
        <f t="shared" si="20"/>
        <v>18056</v>
      </c>
      <c r="DG45" s="120"/>
      <c r="DH45" s="120">
        <f t="shared" si="21"/>
        <v>62111.47</v>
      </c>
      <c r="DI45" s="120"/>
      <c r="DJ45" s="120">
        <f t="shared" si="22"/>
        <v>2666</v>
      </c>
      <c r="DK45" s="120">
        <f t="shared" si="23"/>
        <v>5034.46</v>
      </c>
      <c r="DL45" s="120">
        <f t="shared" si="24"/>
        <v>7490.18</v>
      </c>
      <c r="DM45" s="120">
        <f t="shared" si="25"/>
        <v>3810.73</v>
      </c>
      <c r="DN45" s="120"/>
      <c r="DO45" s="120">
        <f t="shared" si="26"/>
        <v>3609.51</v>
      </c>
      <c r="DP45" s="120">
        <f t="shared" si="27"/>
        <v>7152.9400000000005</v>
      </c>
      <c r="DQ45" s="120">
        <f t="shared" si="28"/>
        <v>149.26</v>
      </c>
      <c r="DR45" s="120">
        <f t="shared" si="29"/>
        <v>912.8</v>
      </c>
      <c r="DS45" s="120">
        <f t="shared" si="30"/>
        <v>9617.94</v>
      </c>
      <c r="DT45" s="120">
        <f t="shared" si="1"/>
        <v>248653.8</v>
      </c>
      <c r="DU45" s="120">
        <v>220548</v>
      </c>
      <c r="DV45" s="120"/>
      <c r="DW45" s="120"/>
      <c r="DX45" s="120">
        <f t="shared" si="31"/>
        <v>0.6</v>
      </c>
      <c r="DY45" s="120">
        <v>31838</v>
      </c>
      <c r="DZ45" s="120">
        <v>15005</v>
      </c>
      <c r="EA45" s="287">
        <f t="shared" si="13"/>
        <v>1.1718093968677108</v>
      </c>
    </row>
    <row r="46" spans="1:131" s="107" customFormat="1" ht="13">
      <c r="A46" s="113">
        <v>1988</v>
      </c>
      <c r="B46" s="108">
        <f t="shared" si="5"/>
        <v>665760</v>
      </c>
      <c r="C46" s="109">
        <v>677112</v>
      </c>
      <c r="D46" s="108">
        <v>208955</v>
      </c>
      <c r="E46" s="108">
        <v>456805</v>
      </c>
      <c r="F46" s="108"/>
      <c r="G46" s="108"/>
      <c r="H46" s="108"/>
      <c r="I46" s="111"/>
      <c r="J46" s="108"/>
      <c r="K46" s="108"/>
      <c r="L46" s="108">
        <f t="shared" si="32"/>
        <v>181462</v>
      </c>
      <c r="M46" s="108">
        <v>17791</v>
      </c>
      <c r="N46" s="108">
        <v>163671</v>
      </c>
      <c r="O46" s="108"/>
      <c r="P46" s="108">
        <v>93136</v>
      </c>
      <c r="Q46" s="108">
        <v>47038</v>
      </c>
      <c r="R46" s="108">
        <v>46098</v>
      </c>
      <c r="S46" s="108">
        <v>392979</v>
      </c>
      <c r="T46" s="108">
        <v>136970</v>
      </c>
      <c r="U46" s="108">
        <v>256009</v>
      </c>
      <c r="V46" s="108">
        <v>77849</v>
      </c>
      <c r="W46" s="108">
        <v>20587</v>
      </c>
      <c r="X46" s="108">
        <v>57262</v>
      </c>
      <c r="Y46" s="108">
        <f t="shared" si="6"/>
        <v>101796</v>
      </c>
      <c r="Z46" s="108">
        <f t="shared" si="7"/>
        <v>91505</v>
      </c>
      <c r="AA46" s="108">
        <v>10291</v>
      </c>
      <c r="AB46" s="108">
        <f t="shared" si="8"/>
        <v>4360</v>
      </c>
      <c r="AC46" s="108">
        <f t="shared" si="9"/>
        <v>97436</v>
      </c>
      <c r="AD46" s="108">
        <v>387</v>
      </c>
      <c r="AE46" s="108">
        <v>28</v>
      </c>
      <c r="AF46" s="108">
        <v>359</v>
      </c>
      <c r="AG46" s="108">
        <v>37916</v>
      </c>
      <c r="AH46" s="108">
        <v>13241</v>
      </c>
      <c r="AI46" s="108">
        <v>24675</v>
      </c>
      <c r="AJ46" s="108"/>
      <c r="AK46" s="108">
        <v>21875</v>
      </c>
      <c r="AL46" s="108"/>
      <c r="AM46" s="108">
        <v>33671</v>
      </c>
      <c r="AN46" s="108"/>
      <c r="AO46" s="108">
        <v>2015</v>
      </c>
      <c r="AP46" s="108">
        <v>4405</v>
      </c>
      <c r="AQ46" s="108">
        <v>7095</v>
      </c>
      <c r="AR46" s="108">
        <v>4658</v>
      </c>
      <c r="AS46" s="108"/>
      <c r="AT46" s="108">
        <v>3060</v>
      </c>
      <c r="AU46" s="108">
        <v>7779</v>
      </c>
      <c r="AV46" s="108">
        <v>157</v>
      </c>
      <c r="AW46" s="108">
        <v>252</v>
      </c>
      <c r="AX46" s="108">
        <v>8169</v>
      </c>
      <c r="AY46" s="108"/>
      <c r="AZ46" s="108">
        <v>9734</v>
      </c>
      <c r="BA46" s="108"/>
      <c r="BB46" s="108">
        <v>21882</v>
      </c>
      <c r="BC46" s="108"/>
      <c r="BD46" s="108">
        <v>884</v>
      </c>
      <c r="BE46" s="108">
        <v>1920</v>
      </c>
      <c r="BF46" s="108">
        <v>4188</v>
      </c>
      <c r="BG46" s="108">
        <v>2358</v>
      </c>
      <c r="BH46" s="108"/>
      <c r="BI46" s="108">
        <v>2253</v>
      </c>
      <c r="BJ46" s="108">
        <v>1948</v>
      </c>
      <c r="BK46" s="108">
        <v>119</v>
      </c>
      <c r="BL46" s="108">
        <v>62</v>
      </c>
      <c r="BM46" s="108">
        <v>1690</v>
      </c>
      <c r="BN46" s="108"/>
      <c r="BO46" s="108"/>
      <c r="BP46" s="108">
        <f t="shared" si="10"/>
        <v>12141</v>
      </c>
      <c r="BQ46" s="108"/>
      <c r="BR46" s="108">
        <f t="shared" si="10"/>
        <v>11789</v>
      </c>
      <c r="BS46" s="108"/>
      <c r="BT46" s="108">
        <f t="shared" si="14"/>
        <v>1131</v>
      </c>
      <c r="BU46" s="108">
        <f t="shared" si="15"/>
        <v>2485</v>
      </c>
      <c r="BV46" s="108">
        <f t="shared" si="16"/>
        <v>2907</v>
      </c>
      <c r="BW46" s="108">
        <f t="shared" si="17"/>
        <v>2300</v>
      </c>
      <c r="BX46" s="108"/>
      <c r="BY46" s="108">
        <f t="shared" si="11"/>
        <v>807</v>
      </c>
      <c r="BZ46" s="108">
        <f t="shared" si="11"/>
        <v>5831</v>
      </c>
      <c r="CA46" s="108">
        <f t="shared" si="11"/>
        <v>38</v>
      </c>
      <c r="CB46" s="108">
        <f t="shared" si="18"/>
        <v>190</v>
      </c>
      <c r="CC46" s="108">
        <f t="shared" si="19"/>
        <v>6479</v>
      </c>
      <c r="CD46" s="108"/>
      <c r="CE46" s="108"/>
      <c r="CF46" s="108">
        <v>131482</v>
      </c>
      <c r="CG46" s="108">
        <v>108132</v>
      </c>
      <c r="CH46" s="108">
        <v>4285</v>
      </c>
      <c r="CI46" s="108">
        <v>333.36</v>
      </c>
      <c r="CJ46" s="108">
        <v>64266</v>
      </c>
      <c r="CK46" s="108">
        <v>36218</v>
      </c>
      <c r="CL46" s="108">
        <f t="shared" si="2"/>
        <v>30663.390000000003</v>
      </c>
      <c r="CM46" s="108">
        <f t="shared" si="3"/>
        <v>1.2500000000109139</v>
      </c>
      <c r="CN46" s="108"/>
      <c r="CO46" s="108">
        <v>629</v>
      </c>
      <c r="CP46" s="108">
        <v>391</v>
      </c>
      <c r="CQ46" s="108">
        <v>23565</v>
      </c>
      <c r="CR46" s="108">
        <v>0</v>
      </c>
      <c r="CS46" s="108">
        <v>407</v>
      </c>
      <c r="CT46" s="108">
        <v>1300.96</v>
      </c>
      <c r="CU46" s="108">
        <v>295.47000000000003</v>
      </c>
      <c r="CV46" s="108">
        <v>496.79</v>
      </c>
      <c r="CW46" s="108">
        <v>0</v>
      </c>
      <c r="CX46" s="108">
        <v>277.08</v>
      </c>
      <c r="CY46" s="108">
        <v>810.66</v>
      </c>
      <c r="CZ46" s="108">
        <v>8.66</v>
      </c>
      <c r="DA46" s="108">
        <v>292.23</v>
      </c>
      <c r="DB46" s="108">
        <v>2189.54</v>
      </c>
      <c r="DC46" s="108"/>
      <c r="DD46" s="108">
        <v>81.17</v>
      </c>
      <c r="DE46" s="108"/>
      <c r="DF46" s="120">
        <f t="shared" si="20"/>
        <v>22504</v>
      </c>
      <c r="DG46" s="120"/>
      <c r="DH46" s="120">
        <f t="shared" si="21"/>
        <v>57236</v>
      </c>
      <c r="DI46" s="120"/>
      <c r="DJ46" s="120">
        <f t="shared" si="22"/>
        <v>2422</v>
      </c>
      <c r="DK46" s="120">
        <f t="shared" si="23"/>
        <v>5705.96</v>
      </c>
      <c r="DL46" s="120">
        <f t="shared" si="24"/>
        <v>7390.47</v>
      </c>
      <c r="DM46" s="120">
        <f t="shared" si="25"/>
        <v>5154.79</v>
      </c>
      <c r="DN46" s="120"/>
      <c r="DO46" s="120">
        <f t="shared" si="26"/>
        <v>3337.08</v>
      </c>
      <c r="DP46" s="120">
        <f t="shared" si="27"/>
        <v>8589.66</v>
      </c>
      <c r="DQ46" s="120">
        <f t="shared" si="28"/>
        <v>165.66</v>
      </c>
      <c r="DR46" s="120">
        <f t="shared" si="29"/>
        <v>544.23</v>
      </c>
      <c r="DS46" s="120">
        <f t="shared" si="30"/>
        <v>10358.540000000001</v>
      </c>
      <c r="DT46" s="120">
        <f t="shared" si="1"/>
        <v>288475.2</v>
      </c>
      <c r="DU46" s="120">
        <v>260934</v>
      </c>
      <c r="DV46" s="120"/>
      <c r="DW46" s="120"/>
      <c r="DX46" s="120">
        <f t="shared" si="31"/>
        <v>0.6</v>
      </c>
      <c r="DY46" s="120">
        <v>31520</v>
      </c>
      <c r="DZ46" s="120">
        <v>14382</v>
      </c>
      <c r="EA46" s="287">
        <f t="shared" si="13"/>
        <v>1.2370324016131276</v>
      </c>
    </row>
    <row r="47" spans="1:131" s="107" customFormat="1" ht="13">
      <c r="A47" s="113">
        <v>1989</v>
      </c>
      <c r="B47" s="108">
        <f t="shared" si="5"/>
        <v>847675</v>
      </c>
      <c r="C47" s="109">
        <v>847671</v>
      </c>
      <c r="D47" s="108">
        <v>276103</v>
      </c>
      <c r="E47" s="108">
        <v>571572</v>
      </c>
      <c r="F47" s="108">
        <f>G47+H47</f>
        <v>847100</v>
      </c>
      <c r="G47" s="108">
        <v>275200</v>
      </c>
      <c r="H47" s="108">
        <v>571900</v>
      </c>
      <c r="I47" s="111"/>
      <c r="J47" s="108"/>
      <c r="K47" s="108"/>
      <c r="L47" s="108">
        <f t="shared" si="32"/>
        <v>223001</v>
      </c>
      <c r="M47" s="108">
        <v>27035</v>
      </c>
      <c r="N47" s="108">
        <v>195966</v>
      </c>
      <c r="O47" s="108"/>
      <c r="P47" s="108">
        <v>117241</v>
      </c>
      <c r="Q47" s="108">
        <v>59483</v>
      </c>
      <c r="R47" s="108">
        <v>57758</v>
      </c>
      <c r="S47" s="108">
        <v>486960</v>
      </c>
      <c r="T47" s="108">
        <v>181258</v>
      </c>
      <c r="U47" s="108">
        <v>305702</v>
      </c>
      <c r="V47" s="108">
        <v>100937</v>
      </c>
      <c r="W47" s="108">
        <v>30285</v>
      </c>
      <c r="X47" s="108">
        <v>70652</v>
      </c>
      <c r="Y47" s="108">
        <f t="shared" si="6"/>
        <v>142537</v>
      </c>
      <c r="Z47" s="108">
        <f t="shared" si="7"/>
        <v>129309</v>
      </c>
      <c r="AA47" s="108">
        <v>13228</v>
      </c>
      <c r="AB47" s="108">
        <f t="shared" si="8"/>
        <v>5077</v>
      </c>
      <c r="AC47" s="108">
        <f t="shared" si="9"/>
        <v>137460</v>
      </c>
      <c r="AD47" s="108">
        <v>214</v>
      </c>
      <c r="AE47" s="108">
        <v>47</v>
      </c>
      <c r="AF47" s="108">
        <v>167</v>
      </c>
      <c r="AG47" s="108">
        <v>54370</v>
      </c>
      <c r="AH47" s="108">
        <v>20693</v>
      </c>
      <c r="AI47" s="108">
        <v>33677</v>
      </c>
      <c r="AJ47" s="108"/>
      <c r="AK47" s="108">
        <v>28477</v>
      </c>
      <c r="AL47" s="108">
        <v>1694</v>
      </c>
      <c r="AM47" s="108">
        <v>34897</v>
      </c>
      <c r="AN47" s="108"/>
      <c r="AO47" s="108">
        <v>2326</v>
      </c>
      <c r="AP47" s="108">
        <v>5700</v>
      </c>
      <c r="AQ47" s="108">
        <v>8159</v>
      </c>
      <c r="AR47" s="108">
        <v>6637</v>
      </c>
      <c r="AS47" s="108"/>
      <c r="AT47" s="108">
        <v>5189</v>
      </c>
      <c r="AU47" s="108">
        <v>10725</v>
      </c>
      <c r="AV47" s="108">
        <v>138</v>
      </c>
      <c r="AW47" s="108">
        <v>226</v>
      </c>
      <c r="AX47" s="108">
        <v>13073</v>
      </c>
      <c r="AY47" s="108"/>
      <c r="AZ47" s="108">
        <v>14288</v>
      </c>
      <c r="BA47" s="108">
        <v>948</v>
      </c>
      <c r="BB47" s="108">
        <v>23295</v>
      </c>
      <c r="BC47" s="108"/>
      <c r="BD47" s="108">
        <v>956</v>
      </c>
      <c r="BE47" s="108">
        <v>2438</v>
      </c>
      <c r="BF47" s="108">
        <v>5727</v>
      </c>
      <c r="BG47" s="108">
        <v>3265</v>
      </c>
      <c r="BH47" s="108"/>
      <c r="BI47" s="108">
        <v>3107</v>
      </c>
      <c r="BJ47" s="108">
        <v>3029</v>
      </c>
      <c r="BK47" s="108">
        <v>123</v>
      </c>
      <c r="BL47" s="108">
        <v>63</v>
      </c>
      <c r="BM47" s="108">
        <v>2244</v>
      </c>
      <c r="BN47" s="108"/>
      <c r="BO47" s="108"/>
      <c r="BP47" s="108">
        <f t="shared" si="10"/>
        <v>14189</v>
      </c>
      <c r="BQ47" s="108">
        <f t="shared" si="10"/>
        <v>746</v>
      </c>
      <c r="BR47" s="108">
        <f t="shared" si="10"/>
        <v>11602</v>
      </c>
      <c r="BS47" s="108"/>
      <c r="BT47" s="108">
        <f t="shared" si="14"/>
        <v>1370</v>
      </c>
      <c r="BU47" s="108">
        <f t="shared" si="15"/>
        <v>3262</v>
      </c>
      <c r="BV47" s="108">
        <f t="shared" si="16"/>
        <v>2432</v>
      </c>
      <c r="BW47" s="108">
        <f t="shared" si="17"/>
        <v>3372</v>
      </c>
      <c r="BX47" s="108"/>
      <c r="BY47" s="108">
        <f t="shared" si="11"/>
        <v>2082</v>
      </c>
      <c r="BZ47" s="108">
        <f t="shared" si="11"/>
        <v>7696</v>
      </c>
      <c r="CA47" s="108">
        <f t="shared" si="11"/>
        <v>15</v>
      </c>
      <c r="CB47" s="108">
        <f t="shared" si="18"/>
        <v>163</v>
      </c>
      <c r="CC47" s="108">
        <f t="shared" si="19"/>
        <v>10829</v>
      </c>
      <c r="CD47" s="108"/>
      <c r="CE47" s="108"/>
      <c r="CF47" s="108">
        <v>110626</v>
      </c>
      <c r="CG47" s="108">
        <v>82373</v>
      </c>
      <c r="CH47" s="108">
        <v>3816</v>
      </c>
      <c r="CI47" s="108">
        <v>283.58999999999997</v>
      </c>
      <c r="CJ47" s="108">
        <v>50425</v>
      </c>
      <c r="CK47" s="108">
        <v>30933</v>
      </c>
      <c r="CL47" s="108">
        <f t="shared" si="2"/>
        <v>28987.29</v>
      </c>
      <c r="CM47" s="108">
        <f t="shared" si="3"/>
        <v>-2.8799999999973807</v>
      </c>
      <c r="CN47" s="108"/>
      <c r="CO47" s="108">
        <v>492</v>
      </c>
      <c r="CP47" s="108">
        <v>68</v>
      </c>
      <c r="CQ47" s="108">
        <v>21870</v>
      </c>
      <c r="CR47" s="108">
        <v>0</v>
      </c>
      <c r="CS47" s="108">
        <v>504</v>
      </c>
      <c r="CT47" s="108">
        <v>1426.95</v>
      </c>
      <c r="CU47" s="108">
        <v>291.47000000000003</v>
      </c>
      <c r="CV47" s="108">
        <v>546.91999999999996</v>
      </c>
      <c r="CW47" s="108">
        <v>0</v>
      </c>
      <c r="CX47" s="108">
        <v>244.2</v>
      </c>
      <c r="CY47" s="108">
        <v>606.57000000000005</v>
      </c>
      <c r="CZ47" s="108">
        <v>21.38</v>
      </c>
      <c r="DA47" s="108">
        <v>554.79999999999995</v>
      </c>
      <c r="DB47" s="108">
        <v>2361</v>
      </c>
      <c r="DC47" s="108"/>
      <c r="DD47" s="108">
        <v>249.83</v>
      </c>
      <c r="DE47" s="108"/>
      <c r="DF47" s="120">
        <f t="shared" si="20"/>
        <v>28969</v>
      </c>
      <c r="DG47" s="120">
        <f t="shared" ref="DG47:DG68" si="33">AL47+CP47</f>
        <v>1762</v>
      </c>
      <c r="DH47" s="120">
        <f t="shared" si="21"/>
        <v>56767</v>
      </c>
      <c r="DI47" s="120"/>
      <c r="DJ47" s="120">
        <f t="shared" si="22"/>
        <v>2830</v>
      </c>
      <c r="DK47" s="120">
        <f t="shared" si="23"/>
        <v>7126.95</v>
      </c>
      <c r="DL47" s="120">
        <f t="shared" si="24"/>
        <v>8450.4699999999993</v>
      </c>
      <c r="DM47" s="120">
        <f t="shared" si="25"/>
        <v>7183.92</v>
      </c>
      <c r="DN47" s="120"/>
      <c r="DO47" s="120">
        <f t="shared" si="26"/>
        <v>5433.2</v>
      </c>
      <c r="DP47" s="120">
        <f t="shared" si="27"/>
        <v>11331.57</v>
      </c>
      <c r="DQ47" s="120">
        <f t="shared" si="28"/>
        <v>159.38</v>
      </c>
      <c r="DR47" s="120">
        <f t="shared" si="29"/>
        <v>780.8</v>
      </c>
      <c r="DS47" s="120">
        <f t="shared" si="30"/>
        <v>15434</v>
      </c>
      <c r="DT47" s="120">
        <f t="shared" si="1"/>
        <v>301268</v>
      </c>
      <c r="DU47" s="120">
        <v>263612</v>
      </c>
      <c r="DV47" s="120"/>
      <c r="DW47" s="120"/>
      <c r="DX47" s="120">
        <f t="shared" si="31"/>
        <v>0.6</v>
      </c>
      <c r="DY47" s="120">
        <v>36495</v>
      </c>
      <c r="DZ47" s="120">
        <v>26265</v>
      </c>
      <c r="EA47" s="287">
        <f t="shared" si="13"/>
        <v>1.0293165810013325</v>
      </c>
    </row>
    <row r="48" spans="1:131" s="107" customFormat="1" ht="13">
      <c r="A48" s="113">
        <v>1990</v>
      </c>
      <c r="B48" s="108">
        <f t="shared" si="5"/>
        <v>831231</v>
      </c>
      <c r="C48" s="109">
        <v>838751</v>
      </c>
      <c r="D48" s="108">
        <v>248251</v>
      </c>
      <c r="E48" s="108">
        <v>582980</v>
      </c>
      <c r="F48" s="108"/>
      <c r="G48" s="108"/>
      <c r="H48" s="108"/>
      <c r="I48" s="111"/>
      <c r="J48" s="108"/>
      <c r="K48" s="108"/>
      <c r="L48" s="108">
        <f t="shared" si="32"/>
        <v>242044</v>
      </c>
      <c r="M48" s="108">
        <v>23790</v>
      </c>
      <c r="N48" s="108">
        <v>218254</v>
      </c>
      <c r="O48" s="108"/>
      <c r="P48" s="108">
        <v>133081</v>
      </c>
      <c r="Q48" s="108">
        <v>54437</v>
      </c>
      <c r="R48" s="108">
        <v>78644</v>
      </c>
      <c r="S48" s="108">
        <v>458346</v>
      </c>
      <c r="T48" s="108">
        <v>162446</v>
      </c>
      <c r="U48" s="108">
        <v>295900</v>
      </c>
      <c r="V48" s="108">
        <v>99109</v>
      </c>
      <c r="W48" s="108">
        <v>25102</v>
      </c>
      <c r="X48" s="108">
        <v>74007</v>
      </c>
      <c r="Y48" s="108">
        <f t="shared" si="6"/>
        <v>140695</v>
      </c>
      <c r="Z48" s="108">
        <f t="shared" si="7"/>
        <v>127559</v>
      </c>
      <c r="AA48" s="108">
        <v>13136</v>
      </c>
      <c r="AB48" s="108">
        <f t="shared" si="8"/>
        <v>6266</v>
      </c>
      <c r="AC48" s="108">
        <f t="shared" si="9"/>
        <v>134429</v>
      </c>
      <c r="AD48" s="108">
        <v>630</v>
      </c>
      <c r="AE48" s="108">
        <v>68</v>
      </c>
      <c r="AF48" s="108">
        <v>562</v>
      </c>
      <c r="AG48" s="108">
        <v>48511</v>
      </c>
      <c r="AH48" s="108">
        <v>16408</v>
      </c>
      <c r="AI48" s="108">
        <v>32103</v>
      </c>
      <c r="AJ48" s="108"/>
      <c r="AK48" s="108">
        <v>28220</v>
      </c>
      <c r="AL48" s="108">
        <v>2273</v>
      </c>
      <c r="AM48" s="108">
        <v>33990</v>
      </c>
      <c r="AN48" s="108"/>
      <c r="AO48" s="108">
        <v>2362</v>
      </c>
      <c r="AP48" s="108">
        <v>6435</v>
      </c>
      <c r="AQ48" s="108">
        <v>11269</v>
      </c>
      <c r="AR48" s="108">
        <v>10596</v>
      </c>
      <c r="AS48" s="108"/>
      <c r="AT48" s="108">
        <v>14925</v>
      </c>
      <c r="AU48" s="108">
        <v>9911</v>
      </c>
      <c r="AV48" s="108">
        <v>110</v>
      </c>
      <c r="AW48" s="108">
        <v>320</v>
      </c>
      <c r="AX48" s="108">
        <v>12670</v>
      </c>
      <c r="AY48" s="108"/>
      <c r="AZ48" s="108">
        <v>12114</v>
      </c>
      <c r="BA48" s="108">
        <v>997</v>
      </c>
      <c r="BB48" s="108">
        <v>20965</v>
      </c>
      <c r="BC48" s="108"/>
      <c r="BD48" s="108">
        <v>812</v>
      </c>
      <c r="BE48" s="108">
        <v>2426</v>
      </c>
      <c r="BF48" s="108">
        <v>5683</v>
      </c>
      <c r="BG48" s="108">
        <v>3881</v>
      </c>
      <c r="BH48" s="108"/>
      <c r="BI48" s="108">
        <v>2532</v>
      </c>
      <c r="BJ48" s="108">
        <v>2572</v>
      </c>
      <c r="BK48" s="108">
        <v>93</v>
      </c>
      <c r="BL48" s="108">
        <v>96</v>
      </c>
      <c r="BM48" s="108">
        <v>2266</v>
      </c>
      <c r="BN48" s="108"/>
      <c r="BO48" s="108"/>
      <c r="BP48" s="108">
        <f t="shared" si="10"/>
        <v>16106</v>
      </c>
      <c r="BQ48" s="108">
        <f t="shared" si="10"/>
        <v>1276</v>
      </c>
      <c r="BR48" s="108">
        <f t="shared" si="10"/>
        <v>13025</v>
      </c>
      <c r="BS48" s="108"/>
      <c r="BT48" s="108">
        <f t="shared" si="14"/>
        <v>1550</v>
      </c>
      <c r="BU48" s="108">
        <f t="shared" si="15"/>
        <v>4009</v>
      </c>
      <c r="BV48" s="108">
        <f t="shared" si="16"/>
        <v>5586</v>
      </c>
      <c r="BW48" s="108">
        <f t="shared" si="17"/>
        <v>6715</v>
      </c>
      <c r="BX48" s="108"/>
      <c r="BY48" s="108">
        <f t="shared" si="11"/>
        <v>12393</v>
      </c>
      <c r="BZ48" s="108">
        <f t="shared" si="11"/>
        <v>7339</v>
      </c>
      <c r="CA48" s="108">
        <f t="shared" si="11"/>
        <v>17</v>
      </c>
      <c r="CB48" s="108">
        <f t="shared" si="18"/>
        <v>224</v>
      </c>
      <c r="CC48" s="108">
        <f t="shared" si="19"/>
        <v>10404</v>
      </c>
      <c r="CD48" s="108"/>
      <c r="CE48" s="108"/>
      <c r="CF48" s="108">
        <v>114374</v>
      </c>
      <c r="CG48" s="108">
        <v>84393</v>
      </c>
      <c r="CH48" s="108">
        <v>3106</v>
      </c>
      <c r="CI48" s="108">
        <v>1049.3800000000001</v>
      </c>
      <c r="CJ48" s="108">
        <v>53647</v>
      </c>
      <c r="CK48" s="108">
        <v>23263</v>
      </c>
      <c r="CL48" s="108">
        <f t="shared" si="2"/>
        <v>36418.75</v>
      </c>
      <c r="CM48" s="108">
        <f t="shared" si="3"/>
        <v>-4.1300000000046566</v>
      </c>
      <c r="CN48" s="108"/>
      <c r="CO48" s="108">
        <v>998</v>
      </c>
      <c r="CP48" s="108">
        <v>62</v>
      </c>
      <c r="CQ48" s="108">
        <v>27106</v>
      </c>
      <c r="CR48" s="108">
        <v>0</v>
      </c>
      <c r="CS48" s="108">
        <v>275</v>
      </c>
      <c r="CT48" s="108">
        <v>1423.77</v>
      </c>
      <c r="CU48" s="108">
        <v>318.23</v>
      </c>
      <c r="CV48" s="108">
        <v>735.56</v>
      </c>
      <c r="CW48" s="108">
        <v>0</v>
      </c>
      <c r="CX48" s="108">
        <v>753.18</v>
      </c>
      <c r="CY48" s="108">
        <v>886.42</v>
      </c>
      <c r="CZ48" s="108">
        <v>19.82</v>
      </c>
      <c r="DA48" s="108">
        <v>406.32</v>
      </c>
      <c r="DB48" s="108">
        <v>3434.45</v>
      </c>
      <c r="DC48" s="108"/>
      <c r="DD48" s="108">
        <v>57.26</v>
      </c>
      <c r="DE48" s="108"/>
      <c r="DF48" s="120">
        <f t="shared" si="20"/>
        <v>29218</v>
      </c>
      <c r="DG48" s="120">
        <f t="shared" si="33"/>
        <v>2335</v>
      </c>
      <c r="DH48" s="120">
        <f t="shared" si="21"/>
        <v>61096</v>
      </c>
      <c r="DI48" s="120"/>
      <c r="DJ48" s="120">
        <f t="shared" si="22"/>
        <v>2637</v>
      </c>
      <c r="DK48" s="120">
        <f t="shared" si="23"/>
        <v>7858.77</v>
      </c>
      <c r="DL48" s="120">
        <f t="shared" si="24"/>
        <v>11587.23</v>
      </c>
      <c r="DM48" s="120">
        <f t="shared" si="25"/>
        <v>11331.56</v>
      </c>
      <c r="DN48" s="120"/>
      <c r="DO48" s="120">
        <f t="shared" si="26"/>
        <v>15678.18</v>
      </c>
      <c r="DP48" s="120">
        <f t="shared" si="27"/>
        <v>10797.42</v>
      </c>
      <c r="DQ48" s="120">
        <f t="shared" si="28"/>
        <v>129.82</v>
      </c>
      <c r="DR48" s="120">
        <f t="shared" si="29"/>
        <v>726.31999999999994</v>
      </c>
      <c r="DS48" s="120">
        <f t="shared" si="30"/>
        <v>16104.45</v>
      </c>
      <c r="DT48" s="120">
        <f t="shared" si="1"/>
        <v>330121.2</v>
      </c>
      <c r="DU48" s="120">
        <v>291228</v>
      </c>
      <c r="DV48" s="120"/>
      <c r="DW48" s="120"/>
      <c r="DX48" s="120">
        <f t="shared" si="31"/>
        <v>0.6</v>
      </c>
      <c r="DY48" s="120">
        <v>39880</v>
      </c>
      <c r="DZ48" s="120">
        <v>24942</v>
      </c>
      <c r="EA48" s="287">
        <f t="shared" si="13"/>
        <v>0.95381284580226122</v>
      </c>
    </row>
    <row r="49" spans="1:131" s="107" customFormat="1" ht="13">
      <c r="A49" s="113">
        <v>1991</v>
      </c>
      <c r="B49" s="108">
        <f t="shared" si="5"/>
        <v>988280</v>
      </c>
      <c r="C49" s="109">
        <v>981445</v>
      </c>
      <c r="D49" s="108">
        <v>332856</v>
      </c>
      <c r="E49" s="108">
        <v>655424</v>
      </c>
      <c r="F49" s="108"/>
      <c r="G49" s="108"/>
      <c r="H49" s="108"/>
      <c r="I49" s="111"/>
      <c r="J49" s="108"/>
      <c r="K49" s="108"/>
      <c r="L49" s="108">
        <f t="shared" si="32"/>
        <v>263755</v>
      </c>
      <c r="M49" s="108">
        <v>31304</v>
      </c>
      <c r="N49" s="108">
        <v>232451</v>
      </c>
      <c r="O49" s="108"/>
      <c r="P49" s="108">
        <v>177363</v>
      </c>
      <c r="Q49" s="108">
        <v>77984</v>
      </c>
      <c r="R49" s="108">
        <v>99379</v>
      </c>
      <c r="S49" s="108">
        <v>525976</v>
      </c>
      <c r="T49" s="108">
        <v>211984</v>
      </c>
      <c r="U49" s="108">
        <v>313992</v>
      </c>
      <c r="V49" s="108">
        <v>119988</v>
      </c>
      <c r="W49" s="108">
        <v>32199</v>
      </c>
      <c r="X49" s="108">
        <v>87789</v>
      </c>
      <c r="Y49" s="108">
        <f t="shared" si="6"/>
        <v>164953</v>
      </c>
      <c r="Z49" s="108">
        <f t="shared" si="7"/>
        <v>149114</v>
      </c>
      <c r="AA49" s="108">
        <v>15839</v>
      </c>
      <c r="AB49" s="108">
        <f t="shared" si="8"/>
        <v>10689</v>
      </c>
      <c r="AC49" s="108">
        <f t="shared" si="9"/>
        <v>154264</v>
      </c>
      <c r="AD49" s="108">
        <v>912</v>
      </c>
      <c r="AE49" s="108">
        <v>121</v>
      </c>
      <c r="AF49" s="108">
        <v>791</v>
      </c>
      <c r="AG49" s="108">
        <v>47895</v>
      </c>
      <c r="AH49" s="108">
        <v>20004</v>
      </c>
      <c r="AI49" s="108">
        <v>27891</v>
      </c>
      <c r="AJ49" s="108"/>
      <c r="AK49" s="108">
        <v>32463</v>
      </c>
      <c r="AL49" s="108">
        <v>3616</v>
      </c>
      <c r="AM49" s="108">
        <v>45489</v>
      </c>
      <c r="AN49" s="108"/>
      <c r="AO49" s="108">
        <v>3485</v>
      </c>
      <c r="AP49" s="108">
        <v>9773</v>
      </c>
      <c r="AQ49" s="108">
        <v>15080</v>
      </c>
      <c r="AR49" s="108">
        <v>16020</v>
      </c>
      <c r="AS49" s="108"/>
      <c r="AT49" s="108">
        <v>17435</v>
      </c>
      <c r="AU49" s="108">
        <v>13347</v>
      </c>
      <c r="AV49" s="108">
        <v>132</v>
      </c>
      <c r="AW49" s="108">
        <v>390</v>
      </c>
      <c r="AX49" s="108">
        <v>20133</v>
      </c>
      <c r="AY49" s="108"/>
      <c r="AZ49" s="108">
        <v>14562</v>
      </c>
      <c r="BA49" s="108">
        <v>1602</v>
      </c>
      <c r="BB49" s="108">
        <v>28387</v>
      </c>
      <c r="BC49" s="108"/>
      <c r="BD49" s="108">
        <v>1351</v>
      </c>
      <c r="BE49" s="108">
        <v>3521</v>
      </c>
      <c r="BF49" s="108">
        <v>7416</v>
      </c>
      <c r="BG49" s="108">
        <v>6308</v>
      </c>
      <c r="BH49" s="108"/>
      <c r="BI49" s="108">
        <v>4781</v>
      </c>
      <c r="BJ49" s="108">
        <v>4111</v>
      </c>
      <c r="BK49" s="108">
        <v>116</v>
      </c>
      <c r="BL49" s="108">
        <v>93</v>
      </c>
      <c r="BM49" s="108">
        <v>5736</v>
      </c>
      <c r="BN49" s="108"/>
      <c r="BO49" s="108"/>
      <c r="BP49" s="108">
        <f t="shared" si="10"/>
        <v>17901</v>
      </c>
      <c r="BQ49" s="108">
        <f t="shared" si="10"/>
        <v>2014</v>
      </c>
      <c r="BR49" s="108">
        <f t="shared" si="10"/>
        <v>17102</v>
      </c>
      <c r="BS49" s="108"/>
      <c r="BT49" s="108">
        <f t="shared" si="14"/>
        <v>2134</v>
      </c>
      <c r="BU49" s="108">
        <f t="shared" si="15"/>
        <v>6252</v>
      </c>
      <c r="BV49" s="108">
        <f t="shared" si="16"/>
        <v>7664</v>
      </c>
      <c r="BW49" s="108">
        <f t="shared" si="17"/>
        <v>9712</v>
      </c>
      <c r="BX49" s="108"/>
      <c r="BY49" s="108">
        <f t="shared" si="11"/>
        <v>12654</v>
      </c>
      <c r="BZ49" s="108">
        <f t="shared" si="11"/>
        <v>9236</v>
      </c>
      <c r="CA49" s="108">
        <f t="shared" si="11"/>
        <v>16</v>
      </c>
      <c r="CB49" s="108">
        <f t="shared" si="18"/>
        <v>297</v>
      </c>
      <c r="CC49" s="108">
        <f t="shared" si="19"/>
        <v>14397</v>
      </c>
      <c r="CD49" s="108"/>
      <c r="CE49" s="108"/>
      <c r="CF49" s="108">
        <v>129398</v>
      </c>
      <c r="CG49" s="108">
        <v>96677</v>
      </c>
      <c r="CH49" s="108">
        <v>3701</v>
      </c>
      <c r="CI49" s="108">
        <v>2331.9899999999998</v>
      </c>
      <c r="CJ49" s="108">
        <v>54994</v>
      </c>
      <c r="CK49" s="108">
        <v>34493</v>
      </c>
      <c r="CL49" s="108">
        <f t="shared" si="2"/>
        <v>37578.649999999994</v>
      </c>
      <c r="CM49" s="108">
        <f t="shared" si="3"/>
        <v>0.36000000000058208</v>
      </c>
      <c r="CN49" s="108"/>
      <c r="CO49" s="108">
        <v>2070</v>
      </c>
      <c r="CP49" s="108">
        <v>399</v>
      </c>
      <c r="CQ49" s="108">
        <v>27173</v>
      </c>
      <c r="CR49" s="108">
        <v>0</v>
      </c>
      <c r="CS49" s="108">
        <v>240</v>
      </c>
      <c r="CT49" s="108">
        <v>1013.81</v>
      </c>
      <c r="CU49" s="108">
        <v>429.17</v>
      </c>
      <c r="CV49" s="108">
        <v>1280.95</v>
      </c>
      <c r="CW49" s="108">
        <v>0</v>
      </c>
      <c r="CX49" s="108">
        <v>225.54</v>
      </c>
      <c r="CY49" s="108">
        <v>671.13</v>
      </c>
      <c r="CZ49" s="108">
        <v>22.99</v>
      </c>
      <c r="DA49" s="108">
        <v>448.88</v>
      </c>
      <c r="DB49" s="108">
        <v>3604.18</v>
      </c>
      <c r="DC49" s="108"/>
      <c r="DD49" s="108">
        <v>52.55</v>
      </c>
      <c r="DE49" s="108"/>
      <c r="DF49" s="120">
        <f t="shared" si="20"/>
        <v>34533</v>
      </c>
      <c r="DG49" s="120">
        <f t="shared" si="33"/>
        <v>4015</v>
      </c>
      <c r="DH49" s="120">
        <f t="shared" si="21"/>
        <v>72662</v>
      </c>
      <c r="DI49" s="120"/>
      <c r="DJ49" s="120">
        <f t="shared" si="22"/>
        <v>3725</v>
      </c>
      <c r="DK49" s="120">
        <f t="shared" si="23"/>
        <v>10786.81</v>
      </c>
      <c r="DL49" s="120">
        <f t="shared" si="24"/>
        <v>15509.17</v>
      </c>
      <c r="DM49" s="120">
        <f t="shared" si="25"/>
        <v>17300.95</v>
      </c>
      <c r="DN49" s="120"/>
      <c r="DO49" s="120">
        <f t="shared" si="26"/>
        <v>17660.54</v>
      </c>
      <c r="DP49" s="120">
        <f t="shared" si="27"/>
        <v>14018.13</v>
      </c>
      <c r="DQ49" s="120">
        <f t="shared" si="28"/>
        <v>154.99</v>
      </c>
      <c r="DR49" s="120">
        <f t="shared" si="29"/>
        <v>838.88</v>
      </c>
      <c r="DS49" s="120">
        <f t="shared" si="30"/>
        <v>23737.18</v>
      </c>
      <c r="DT49" s="120">
        <f t="shared" si="1"/>
        <v>352436.4</v>
      </c>
      <c r="DU49" s="120">
        <v>311199</v>
      </c>
      <c r="DV49" s="120"/>
      <c r="DW49" s="120"/>
      <c r="DX49" s="120">
        <f t="shared" si="31"/>
        <v>0.6</v>
      </c>
      <c r="DY49" s="120">
        <v>38396</v>
      </c>
      <c r="DZ49" s="120">
        <v>30333</v>
      </c>
      <c r="EA49" s="287">
        <f t="shared" si="13"/>
        <v>1.0320113407839646</v>
      </c>
    </row>
    <row r="50" spans="1:131" s="107" customFormat="1" ht="13">
      <c r="A50" s="113">
        <v>1992</v>
      </c>
      <c r="B50" s="108">
        <f t="shared" si="5"/>
        <v>1060162</v>
      </c>
      <c r="C50" s="109">
        <v>1049711</v>
      </c>
      <c r="D50" s="108">
        <v>344853</v>
      </c>
      <c r="E50" s="108">
        <v>715309</v>
      </c>
      <c r="F50" s="108"/>
      <c r="G50" s="108"/>
      <c r="H50" s="108"/>
      <c r="I50" s="111"/>
      <c r="J50" s="108"/>
      <c r="K50" s="108"/>
      <c r="L50" s="108">
        <f t="shared" si="32"/>
        <v>272272</v>
      </c>
      <c r="M50" s="108">
        <v>31217</v>
      </c>
      <c r="N50" s="108">
        <v>241055</v>
      </c>
      <c r="O50" s="108"/>
      <c r="P50" s="108">
        <v>190901</v>
      </c>
      <c r="Q50" s="108">
        <v>85627</v>
      </c>
      <c r="R50" s="108">
        <v>105274</v>
      </c>
      <c r="S50" s="108">
        <v>539230</v>
      </c>
      <c r="T50" s="108">
        <v>211860</v>
      </c>
      <c r="U50" s="108">
        <v>327370</v>
      </c>
      <c r="V50" s="108">
        <v>150876</v>
      </c>
      <c r="W50" s="108">
        <v>34100</v>
      </c>
      <c r="X50" s="108">
        <v>116776</v>
      </c>
      <c r="Y50" s="108">
        <f t="shared" si="6"/>
        <v>179155</v>
      </c>
      <c r="Z50" s="108">
        <f t="shared" si="7"/>
        <v>160241</v>
      </c>
      <c r="AA50" s="108">
        <v>18914</v>
      </c>
      <c r="AB50" s="108">
        <f t="shared" si="8"/>
        <v>13266</v>
      </c>
      <c r="AC50" s="108">
        <f t="shared" si="9"/>
        <v>165889</v>
      </c>
      <c r="AD50" s="108">
        <v>5476</v>
      </c>
      <c r="AE50" s="108">
        <v>167</v>
      </c>
      <c r="AF50" s="108">
        <v>5309</v>
      </c>
      <c r="AG50" s="108">
        <v>54412</v>
      </c>
      <c r="AH50" s="108">
        <v>20119</v>
      </c>
      <c r="AI50" s="108">
        <v>34293</v>
      </c>
      <c r="AJ50" s="108"/>
      <c r="AK50" s="108">
        <v>34010</v>
      </c>
      <c r="AL50" s="108">
        <v>3237</v>
      </c>
      <c r="AM50" s="108">
        <v>49644</v>
      </c>
      <c r="AN50" s="108"/>
      <c r="AO50" s="108">
        <v>3875</v>
      </c>
      <c r="AP50" s="108">
        <v>11357</v>
      </c>
      <c r="AQ50" s="108">
        <v>20874</v>
      </c>
      <c r="AR50" s="108">
        <v>21745</v>
      </c>
      <c r="AS50" s="108"/>
      <c r="AT50" s="108">
        <v>10887</v>
      </c>
      <c r="AU50" s="108">
        <v>15246</v>
      </c>
      <c r="AV50" s="108">
        <v>148</v>
      </c>
      <c r="AW50" s="108">
        <v>951</v>
      </c>
      <c r="AX50" s="108">
        <v>18927</v>
      </c>
      <c r="AY50" s="108"/>
      <c r="AZ50" s="108">
        <v>14198</v>
      </c>
      <c r="BA50" s="108">
        <v>1877</v>
      </c>
      <c r="BB50" s="108">
        <v>31528</v>
      </c>
      <c r="BC50" s="108"/>
      <c r="BD50" s="108">
        <v>1579</v>
      </c>
      <c r="BE50" s="108">
        <v>3996</v>
      </c>
      <c r="BF50" s="108">
        <v>8815</v>
      </c>
      <c r="BG50" s="108">
        <v>7431</v>
      </c>
      <c r="BH50" s="108"/>
      <c r="BI50" s="108">
        <v>6021</v>
      </c>
      <c r="BJ50" s="108">
        <v>4417</v>
      </c>
      <c r="BK50" s="108">
        <v>102</v>
      </c>
      <c r="BL50" s="108">
        <v>106</v>
      </c>
      <c r="BM50" s="108">
        <v>5557</v>
      </c>
      <c r="BN50" s="108"/>
      <c r="BO50" s="108"/>
      <c r="BP50" s="108">
        <f t="shared" si="10"/>
        <v>19812</v>
      </c>
      <c r="BQ50" s="108">
        <f t="shared" si="10"/>
        <v>1360</v>
      </c>
      <c r="BR50" s="108">
        <f t="shared" si="10"/>
        <v>18116</v>
      </c>
      <c r="BS50" s="108"/>
      <c r="BT50" s="108">
        <f t="shared" si="14"/>
        <v>2296</v>
      </c>
      <c r="BU50" s="108">
        <f t="shared" si="15"/>
        <v>7361</v>
      </c>
      <c r="BV50" s="108">
        <f t="shared" si="16"/>
        <v>12059</v>
      </c>
      <c r="BW50" s="108">
        <f t="shared" si="17"/>
        <v>14314</v>
      </c>
      <c r="BX50" s="108"/>
      <c r="BY50" s="108">
        <f t="shared" si="11"/>
        <v>4866</v>
      </c>
      <c r="BZ50" s="108">
        <f t="shared" si="11"/>
        <v>10829</v>
      </c>
      <c r="CA50" s="108">
        <f t="shared" si="11"/>
        <v>46</v>
      </c>
      <c r="CB50" s="108">
        <f t="shared" si="18"/>
        <v>845</v>
      </c>
      <c r="CC50" s="108">
        <f t="shared" si="19"/>
        <v>13370</v>
      </c>
      <c r="CD50" s="108"/>
      <c r="CE50" s="108"/>
      <c r="CF50" s="108">
        <v>149618</v>
      </c>
      <c r="CG50" s="108">
        <v>108361</v>
      </c>
      <c r="CH50" s="108">
        <v>3529</v>
      </c>
      <c r="CI50" s="108">
        <v>2487.89</v>
      </c>
      <c r="CJ50" s="108">
        <v>59858</v>
      </c>
      <c r="CK50" s="108">
        <v>43695</v>
      </c>
      <c r="CL50" s="108">
        <f t="shared" si="2"/>
        <v>43575.79</v>
      </c>
      <c r="CM50" s="108">
        <f t="shared" si="3"/>
        <v>1.319999999985157</v>
      </c>
      <c r="CN50" s="108"/>
      <c r="CO50" s="108">
        <v>2875</v>
      </c>
      <c r="CP50" s="108">
        <v>1140</v>
      </c>
      <c r="CQ50" s="108">
        <v>28618</v>
      </c>
      <c r="CR50" s="108">
        <v>0</v>
      </c>
      <c r="CS50" s="108">
        <v>244</v>
      </c>
      <c r="CT50" s="108">
        <v>2017.44</v>
      </c>
      <c r="CU50" s="108">
        <v>933.23</v>
      </c>
      <c r="CV50" s="108">
        <v>986.84</v>
      </c>
      <c r="CW50" s="108">
        <v>0</v>
      </c>
      <c r="CX50" s="108">
        <v>291.02</v>
      </c>
      <c r="CY50" s="108">
        <v>2320.5</v>
      </c>
      <c r="CZ50" s="108">
        <v>19.690000000000001</v>
      </c>
      <c r="DA50" s="108">
        <v>926.67</v>
      </c>
      <c r="DB50" s="108">
        <v>3203.4</v>
      </c>
      <c r="DC50" s="108"/>
      <c r="DD50" s="108">
        <v>357.76</v>
      </c>
      <c r="DE50" s="108"/>
      <c r="DF50" s="120">
        <f t="shared" si="20"/>
        <v>36885</v>
      </c>
      <c r="DG50" s="120">
        <f t="shared" si="33"/>
        <v>4377</v>
      </c>
      <c r="DH50" s="120">
        <f t="shared" si="21"/>
        <v>78262</v>
      </c>
      <c r="DI50" s="120"/>
      <c r="DJ50" s="120">
        <f t="shared" si="22"/>
        <v>4119</v>
      </c>
      <c r="DK50" s="120">
        <f t="shared" si="23"/>
        <v>13374.44</v>
      </c>
      <c r="DL50" s="120">
        <f t="shared" si="24"/>
        <v>21807.23</v>
      </c>
      <c r="DM50" s="120">
        <f t="shared" si="25"/>
        <v>22731.84</v>
      </c>
      <c r="DN50" s="120"/>
      <c r="DO50" s="120">
        <f t="shared" si="26"/>
        <v>11178.02</v>
      </c>
      <c r="DP50" s="120">
        <f t="shared" si="27"/>
        <v>17566.5</v>
      </c>
      <c r="DQ50" s="120">
        <f t="shared" si="28"/>
        <v>167.69</v>
      </c>
      <c r="DR50" s="120">
        <f t="shared" si="29"/>
        <v>1877.67</v>
      </c>
      <c r="DS50" s="120">
        <f t="shared" si="30"/>
        <v>22130.400000000001</v>
      </c>
      <c r="DT50" s="120">
        <f t="shared" si="1"/>
        <v>381604</v>
      </c>
      <c r="DU50" s="120">
        <v>329317</v>
      </c>
      <c r="DV50" s="120"/>
      <c r="DW50" s="120"/>
      <c r="DX50" s="120">
        <f t="shared" si="31"/>
        <v>0.6</v>
      </c>
      <c r="DY50" s="120">
        <v>54967</v>
      </c>
      <c r="DZ50" s="120">
        <v>32178</v>
      </c>
      <c r="EA50" s="287">
        <f t="shared" si="13"/>
        <v>0.97013487475915217</v>
      </c>
    </row>
    <row r="51" spans="1:131" s="107" customFormat="1" ht="13">
      <c r="A51" s="113">
        <v>1993</v>
      </c>
      <c r="B51" s="108">
        <f t="shared" si="5"/>
        <v>1207209</v>
      </c>
      <c r="C51" s="109">
        <v>1180029</v>
      </c>
      <c r="D51" s="108">
        <v>394565</v>
      </c>
      <c r="E51" s="108">
        <v>812644</v>
      </c>
      <c r="F51" s="108"/>
      <c r="G51" s="108"/>
      <c r="H51" s="108"/>
      <c r="I51" s="111"/>
      <c r="J51" s="108"/>
      <c r="K51" s="108"/>
      <c r="L51" s="108">
        <f t="shared" si="32"/>
        <v>291654</v>
      </c>
      <c r="M51" s="108">
        <v>36087</v>
      </c>
      <c r="N51" s="108">
        <v>255567</v>
      </c>
      <c r="O51" s="108"/>
      <c r="P51" s="108">
        <v>243022</v>
      </c>
      <c r="Q51" s="108">
        <v>108696</v>
      </c>
      <c r="R51" s="108">
        <v>134326</v>
      </c>
      <c r="S51" s="108">
        <v>596451</v>
      </c>
      <c r="T51" s="108">
        <v>232530</v>
      </c>
      <c r="U51" s="108">
        <v>363921</v>
      </c>
      <c r="V51" s="108">
        <v>161999</v>
      </c>
      <c r="W51" s="108">
        <v>37068</v>
      </c>
      <c r="X51" s="108">
        <v>124931</v>
      </c>
      <c r="Y51" s="108">
        <f t="shared" si="6"/>
        <v>205737</v>
      </c>
      <c r="Z51" s="108">
        <f t="shared" si="7"/>
        <v>184646</v>
      </c>
      <c r="AA51" s="108">
        <v>21091</v>
      </c>
      <c r="AB51" s="108">
        <f t="shared" si="8"/>
        <v>16271</v>
      </c>
      <c r="AC51" s="108">
        <f t="shared" si="9"/>
        <v>189466</v>
      </c>
      <c r="AD51" s="108">
        <v>6557</v>
      </c>
      <c r="AE51" s="108">
        <v>149</v>
      </c>
      <c r="AF51" s="108">
        <v>6408</v>
      </c>
      <c r="AG51" s="108">
        <v>49483</v>
      </c>
      <c r="AH51" s="108">
        <v>20605</v>
      </c>
      <c r="AI51" s="108">
        <v>28878</v>
      </c>
      <c r="AJ51" s="108"/>
      <c r="AK51" s="108">
        <v>37153</v>
      </c>
      <c r="AL51" s="108">
        <v>5118</v>
      </c>
      <c r="AM51" s="108">
        <v>56213</v>
      </c>
      <c r="AN51" s="108"/>
      <c r="AO51" s="108">
        <v>4925</v>
      </c>
      <c r="AP51" s="108">
        <v>13023</v>
      </c>
      <c r="AQ51" s="108">
        <v>23699</v>
      </c>
      <c r="AR51" s="108">
        <v>32427</v>
      </c>
      <c r="AS51" s="108"/>
      <c r="AT51" s="108">
        <v>12151</v>
      </c>
      <c r="AU51" s="108">
        <v>21700</v>
      </c>
      <c r="AV51" s="108">
        <v>171</v>
      </c>
      <c r="AW51" s="108">
        <v>3996</v>
      </c>
      <c r="AX51" s="108">
        <v>32446</v>
      </c>
      <c r="AY51" s="108"/>
      <c r="AZ51" s="108">
        <v>15141</v>
      </c>
      <c r="BA51" s="108">
        <v>2519</v>
      </c>
      <c r="BB51" s="108">
        <v>38619</v>
      </c>
      <c r="BC51" s="108"/>
      <c r="BD51" s="108">
        <v>1982</v>
      </c>
      <c r="BE51" s="108">
        <v>5190</v>
      </c>
      <c r="BF51" s="108">
        <v>9963</v>
      </c>
      <c r="BG51" s="108">
        <v>10980</v>
      </c>
      <c r="BH51" s="108"/>
      <c r="BI51" s="108">
        <v>8645</v>
      </c>
      <c r="BJ51" s="108">
        <v>5899</v>
      </c>
      <c r="BK51" s="108">
        <v>116</v>
      </c>
      <c r="BL51" s="108">
        <v>154</v>
      </c>
      <c r="BM51" s="108">
        <v>9488</v>
      </c>
      <c r="BN51" s="108"/>
      <c r="BO51" s="108"/>
      <c r="BP51" s="108">
        <f t="shared" si="10"/>
        <v>22012</v>
      </c>
      <c r="BQ51" s="108">
        <f t="shared" si="10"/>
        <v>2599</v>
      </c>
      <c r="BR51" s="108">
        <f t="shared" si="10"/>
        <v>17594</v>
      </c>
      <c r="BS51" s="108"/>
      <c r="BT51" s="108">
        <f t="shared" si="14"/>
        <v>2943</v>
      </c>
      <c r="BU51" s="108">
        <f t="shared" si="15"/>
        <v>7833</v>
      </c>
      <c r="BV51" s="108">
        <f t="shared" si="16"/>
        <v>13736</v>
      </c>
      <c r="BW51" s="108">
        <f t="shared" si="17"/>
        <v>21447</v>
      </c>
      <c r="BX51" s="108"/>
      <c r="BY51" s="108">
        <f t="shared" si="11"/>
        <v>3506</v>
      </c>
      <c r="BZ51" s="108">
        <f t="shared" si="11"/>
        <v>15801</v>
      </c>
      <c r="CA51" s="108">
        <f t="shared" si="11"/>
        <v>55</v>
      </c>
      <c r="CB51" s="108">
        <f t="shared" si="18"/>
        <v>3842</v>
      </c>
      <c r="CC51" s="108">
        <f t="shared" si="19"/>
        <v>22958</v>
      </c>
      <c r="CD51" s="108"/>
      <c r="CE51" s="108"/>
      <c r="CF51" s="108">
        <v>213028</v>
      </c>
      <c r="CG51" s="108">
        <v>156677</v>
      </c>
      <c r="CH51" s="108">
        <v>3804</v>
      </c>
      <c r="CI51" s="108">
        <v>5368.84</v>
      </c>
      <c r="CJ51" s="108">
        <v>101446</v>
      </c>
      <c r="CK51" s="108">
        <v>63557</v>
      </c>
      <c r="CL51" s="108">
        <f t="shared" si="2"/>
        <v>42657.62000000001</v>
      </c>
      <c r="CM51" s="108">
        <f t="shared" si="3"/>
        <v>-1.4600000000064028</v>
      </c>
      <c r="CN51" s="108"/>
      <c r="CO51" s="108">
        <v>3072</v>
      </c>
      <c r="CP51" s="108">
        <v>750</v>
      </c>
      <c r="CQ51" s="108">
        <v>28672</v>
      </c>
      <c r="CR51" s="108">
        <v>0</v>
      </c>
      <c r="CS51" s="108">
        <v>189</v>
      </c>
      <c r="CT51" s="108">
        <v>1874.76</v>
      </c>
      <c r="CU51" s="108">
        <v>974.66</v>
      </c>
      <c r="CV51" s="108">
        <v>2464.6</v>
      </c>
      <c r="CW51" s="108">
        <v>0</v>
      </c>
      <c r="CX51" s="108">
        <v>598.61</v>
      </c>
      <c r="CY51" s="108">
        <v>2547.92</v>
      </c>
      <c r="CZ51" s="108">
        <v>9.8699999999999992</v>
      </c>
      <c r="DA51" s="108">
        <v>688.51</v>
      </c>
      <c r="DB51" s="108">
        <v>815.69</v>
      </c>
      <c r="DC51" s="108"/>
      <c r="DD51" s="108">
        <v>234.62</v>
      </c>
      <c r="DE51" s="108"/>
      <c r="DF51" s="120">
        <f t="shared" si="20"/>
        <v>40225</v>
      </c>
      <c r="DG51" s="120">
        <f t="shared" si="33"/>
        <v>5868</v>
      </c>
      <c r="DH51" s="120">
        <f t="shared" si="21"/>
        <v>84885</v>
      </c>
      <c r="DI51" s="120"/>
      <c r="DJ51" s="120">
        <f t="shared" si="22"/>
        <v>5114</v>
      </c>
      <c r="DK51" s="120">
        <f t="shared" si="23"/>
        <v>14897.76</v>
      </c>
      <c r="DL51" s="120">
        <f t="shared" si="24"/>
        <v>24673.66</v>
      </c>
      <c r="DM51" s="120">
        <f t="shared" si="25"/>
        <v>34891.599999999999</v>
      </c>
      <c r="DN51" s="120"/>
      <c r="DO51" s="120">
        <f t="shared" si="26"/>
        <v>12749.61</v>
      </c>
      <c r="DP51" s="120">
        <f t="shared" si="27"/>
        <v>24247.919999999998</v>
      </c>
      <c r="DQ51" s="120">
        <f t="shared" si="28"/>
        <v>180.87</v>
      </c>
      <c r="DR51" s="120">
        <f t="shared" si="29"/>
        <v>4684.51</v>
      </c>
      <c r="DS51" s="120">
        <f t="shared" si="30"/>
        <v>33261.69</v>
      </c>
      <c r="DT51" s="120">
        <f t="shared" si="1"/>
        <v>445060.2</v>
      </c>
      <c r="DU51" s="120">
        <v>381687</v>
      </c>
      <c r="DV51" s="120"/>
      <c r="DW51" s="120"/>
      <c r="DX51" s="120">
        <f t="shared" si="31"/>
        <v>0.6</v>
      </c>
      <c r="DY51" s="120">
        <v>69721</v>
      </c>
      <c r="DZ51" s="120">
        <v>35901</v>
      </c>
      <c r="EA51" s="287">
        <f t="shared" si="13"/>
        <v>1.0051809141806636</v>
      </c>
    </row>
    <row r="52" spans="1:131" s="107" customFormat="1" ht="13">
      <c r="A52" s="113">
        <v>1994</v>
      </c>
      <c r="B52" s="108">
        <f t="shared" si="5"/>
        <v>1243863</v>
      </c>
      <c r="C52" s="109">
        <v>1235648</v>
      </c>
      <c r="D52" s="108">
        <v>397703</v>
      </c>
      <c r="E52" s="108">
        <v>846160</v>
      </c>
      <c r="F52" s="108">
        <f>G52+H52</f>
        <v>1243900</v>
      </c>
      <c r="G52" s="108">
        <v>397800</v>
      </c>
      <c r="H52" s="108">
        <v>846100</v>
      </c>
      <c r="I52" s="111"/>
      <c r="J52" s="108"/>
      <c r="K52" s="108"/>
      <c r="L52" s="108">
        <f t="shared" si="32"/>
        <v>309038</v>
      </c>
      <c r="M52" s="108">
        <v>33950</v>
      </c>
      <c r="N52" s="108">
        <v>275088</v>
      </c>
      <c r="O52" s="108"/>
      <c r="P52" s="108">
        <v>253227</v>
      </c>
      <c r="Q52" s="108">
        <v>108454</v>
      </c>
      <c r="R52" s="108">
        <v>144773</v>
      </c>
      <c r="S52" s="108">
        <v>638796</v>
      </c>
      <c r="T52" s="108">
        <v>237709</v>
      </c>
      <c r="U52" s="108">
        <v>401087</v>
      </c>
      <c r="V52" s="108">
        <v>158332</v>
      </c>
      <c r="W52" s="108">
        <v>34002</v>
      </c>
      <c r="X52" s="108">
        <v>124330</v>
      </c>
      <c r="Y52" s="108">
        <f t="shared" si="6"/>
        <v>193508</v>
      </c>
      <c r="Z52" s="108">
        <f t="shared" si="7"/>
        <v>172564</v>
      </c>
      <c r="AA52" s="108">
        <v>20944</v>
      </c>
      <c r="AB52" s="108">
        <f t="shared" si="8"/>
        <v>17538</v>
      </c>
      <c r="AC52" s="108">
        <f t="shared" si="9"/>
        <v>175970</v>
      </c>
      <c r="AD52" s="108">
        <v>18181</v>
      </c>
      <c r="AE52" s="108">
        <v>135</v>
      </c>
      <c r="AF52" s="108">
        <v>18046</v>
      </c>
      <c r="AG52" s="108">
        <v>44488</v>
      </c>
      <c r="AH52" s="108">
        <v>18789</v>
      </c>
      <c r="AI52" s="108">
        <v>25699</v>
      </c>
      <c r="AJ52" s="108"/>
      <c r="AK52" s="108">
        <v>36163</v>
      </c>
      <c r="AL52" s="108">
        <v>5769</v>
      </c>
      <c r="AM52" s="108">
        <v>57986</v>
      </c>
      <c r="AN52" s="108"/>
      <c r="AO52" s="108">
        <v>3956</v>
      </c>
      <c r="AP52" s="108">
        <v>13926</v>
      </c>
      <c r="AQ52" s="108">
        <v>26931</v>
      </c>
      <c r="AR52" s="108">
        <v>37420</v>
      </c>
      <c r="AS52" s="108"/>
      <c r="AT52" s="108">
        <v>9783</v>
      </c>
      <c r="AU52" s="108">
        <v>21377</v>
      </c>
      <c r="AV52" s="108">
        <v>117</v>
      </c>
      <c r="AW52" s="108">
        <v>5709</v>
      </c>
      <c r="AX52" s="108">
        <v>34090</v>
      </c>
      <c r="AY52" s="108"/>
      <c r="AZ52" s="108">
        <v>15075</v>
      </c>
      <c r="BA52" s="108">
        <v>2800</v>
      </c>
      <c r="BB52" s="108">
        <v>39960</v>
      </c>
      <c r="BC52" s="108"/>
      <c r="BD52" s="108">
        <v>1921</v>
      </c>
      <c r="BE52" s="108">
        <v>5032</v>
      </c>
      <c r="BF52" s="108">
        <v>10806</v>
      </c>
      <c r="BG52" s="108">
        <v>12784</v>
      </c>
      <c r="BH52" s="108"/>
      <c r="BI52" s="108">
        <v>5836</v>
      </c>
      <c r="BJ52" s="108">
        <v>5894</v>
      </c>
      <c r="BK52" s="108">
        <v>79</v>
      </c>
      <c r="BL52" s="108">
        <v>133</v>
      </c>
      <c r="BM52" s="108">
        <v>8134</v>
      </c>
      <c r="BN52" s="108"/>
      <c r="BO52" s="108"/>
      <c r="BP52" s="108">
        <f t="shared" si="10"/>
        <v>21088</v>
      </c>
      <c r="BQ52" s="108">
        <f t="shared" si="10"/>
        <v>2969</v>
      </c>
      <c r="BR52" s="108">
        <f t="shared" si="10"/>
        <v>18026</v>
      </c>
      <c r="BS52" s="108"/>
      <c r="BT52" s="108">
        <f t="shared" si="14"/>
        <v>2035</v>
      </c>
      <c r="BU52" s="108">
        <f t="shared" si="15"/>
        <v>8894</v>
      </c>
      <c r="BV52" s="108">
        <f t="shared" si="16"/>
        <v>16125</v>
      </c>
      <c r="BW52" s="108">
        <f t="shared" si="17"/>
        <v>24636</v>
      </c>
      <c r="BX52" s="108"/>
      <c r="BY52" s="108">
        <f t="shared" si="11"/>
        <v>3947</v>
      </c>
      <c r="BZ52" s="108">
        <f t="shared" si="11"/>
        <v>15483</v>
      </c>
      <c r="CA52" s="108">
        <f t="shared" si="11"/>
        <v>38</v>
      </c>
      <c r="CB52" s="108">
        <f t="shared" si="18"/>
        <v>5576</v>
      </c>
      <c r="CC52" s="108">
        <f t="shared" si="19"/>
        <v>25956</v>
      </c>
      <c r="CD52" s="108"/>
      <c r="CE52" s="108"/>
      <c r="CF52" s="108">
        <v>205477</v>
      </c>
      <c r="CG52" s="108">
        <v>153022</v>
      </c>
      <c r="CH52" s="108">
        <v>3547</v>
      </c>
      <c r="CI52" s="108">
        <v>319</v>
      </c>
      <c r="CJ52" s="108">
        <v>103558</v>
      </c>
      <c r="CK52" s="108">
        <v>58535</v>
      </c>
      <c r="CL52" s="108">
        <f t="shared" si="2"/>
        <v>43064.29</v>
      </c>
      <c r="CM52" s="108">
        <f t="shared" si="3"/>
        <v>0.70999999999912689</v>
      </c>
      <c r="CN52" s="108"/>
      <c r="CO52" s="108">
        <v>3122</v>
      </c>
      <c r="CP52" s="108">
        <v>348</v>
      </c>
      <c r="CQ52" s="108">
        <v>28922</v>
      </c>
      <c r="CR52" s="108">
        <v>0</v>
      </c>
      <c r="CS52" s="108">
        <v>256</v>
      </c>
      <c r="CT52" s="108">
        <v>2503</v>
      </c>
      <c r="CU52" s="108">
        <v>1691</v>
      </c>
      <c r="CV52" s="108">
        <v>1838.5</v>
      </c>
      <c r="CW52" s="108">
        <v>0</v>
      </c>
      <c r="CX52" s="108">
        <v>661.32</v>
      </c>
      <c r="CY52" s="108">
        <v>1629.43</v>
      </c>
      <c r="CZ52" s="108">
        <v>13.64</v>
      </c>
      <c r="DA52" s="108">
        <v>321.57</v>
      </c>
      <c r="DB52" s="108">
        <v>1757.83</v>
      </c>
      <c r="DC52" s="108"/>
      <c r="DD52" s="108">
        <v>4413.3100000000004</v>
      </c>
      <c r="DE52" s="108"/>
      <c r="DF52" s="120">
        <f t="shared" si="20"/>
        <v>39285</v>
      </c>
      <c r="DG52" s="120">
        <f t="shared" si="33"/>
        <v>6117</v>
      </c>
      <c r="DH52" s="120">
        <f t="shared" si="21"/>
        <v>86908</v>
      </c>
      <c r="DI52" s="120"/>
      <c r="DJ52" s="120">
        <f t="shared" si="22"/>
        <v>4212</v>
      </c>
      <c r="DK52" s="120">
        <f t="shared" si="23"/>
        <v>16429</v>
      </c>
      <c r="DL52" s="120">
        <f t="shared" si="24"/>
        <v>28622</v>
      </c>
      <c r="DM52" s="120">
        <f t="shared" si="25"/>
        <v>39258.5</v>
      </c>
      <c r="DN52" s="120"/>
      <c r="DO52" s="120">
        <f t="shared" si="26"/>
        <v>10444.32</v>
      </c>
      <c r="DP52" s="120">
        <f t="shared" si="27"/>
        <v>23006.43</v>
      </c>
      <c r="DQ52" s="120">
        <f t="shared" si="28"/>
        <v>130.63999999999999</v>
      </c>
      <c r="DR52" s="120">
        <f t="shared" si="29"/>
        <v>6030.57</v>
      </c>
      <c r="DS52" s="120">
        <f t="shared" si="30"/>
        <v>35847.83</v>
      </c>
      <c r="DT52" s="120">
        <f t="shared" si="1"/>
        <v>469790.2</v>
      </c>
      <c r="DU52" s="120">
        <v>407152</v>
      </c>
      <c r="DV52" s="120"/>
      <c r="DW52" s="120"/>
      <c r="DX52" s="120">
        <f t="shared" si="31"/>
        <v>0.6</v>
      </c>
      <c r="DY52" s="120">
        <v>73386</v>
      </c>
      <c r="DZ52" s="120">
        <v>31011</v>
      </c>
      <c r="EA52" s="287">
        <f t="shared" si="13"/>
        <v>1.0947728225468383</v>
      </c>
    </row>
    <row r="53" spans="1:131" s="107" customFormat="1" ht="13">
      <c r="A53" s="113">
        <v>1995</v>
      </c>
      <c r="B53" s="108">
        <f t="shared" si="5"/>
        <v>1648002</v>
      </c>
      <c r="C53" s="109">
        <v>1657723</v>
      </c>
      <c r="D53" s="108">
        <v>546541</v>
      </c>
      <c r="E53" s="108">
        <v>1101461</v>
      </c>
      <c r="F53" s="108"/>
      <c r="G53" s="108"/>
      <c r="H53" s="108"/>
      <c r="I53" s="111"/>
      <c r="J53" s="108"/>
      <c r="K53" s="108"/>
      <c r="L53" s="108">
        <f t="shared" si="32"/>
        <v>405415</v>
      </c>
      <c r="M53" s="108">
        <v>46994</v>
      </c>
      <c r="N53" s="108">
        <v>358421</v>
      </c>
      <c r="O53" s="108"/>
      <c r="P53" s="108">
        <v>380466</v>
      </c>
      <c r="Q53" s="108">
        <v>156979</v>
      </c>
      <c r="R53" s="108">
        <v>223487</v>
      </c>
      <c r="S53" s="108">
        <v>842665</v>
      </c>
      <c r="T53" s="108">
        <v>325443</v>
      </c>
      <c r="U53" s="108">
        <v>517222</v>
      </c>
      <c r="V53" s="108">
        <v>213005</v>
      </c>
      <c r="W53" s="108">
        <v>41476</v>
      </c>
      <c r="X53" s="108">
        <v>171529</v>
      </c>
      <c r="Y53" s="108">
        <f t="shared" si="6"/>
        <v>211866</v>
      </c>
      <c r="Z53" s="108">
        <f t="shared" si="7"/>
        <v>188714</v>
      </c>
      <c r="AA53" s="108">
        <v>23152</v>
      </c>
      <c r="AB53" s="108">
        <f t="shared" si="8"/>
        <v>22643</v>
      </c>
      <c r="AC53" s="108">
        <f t="shared" si="9"/>
        <v>189223</v>
      </c>
      <c r="AD53" s="108">
        <v>23435</v>
      </c>
      <c r="AE53" s="108">
        <v>184</v>
      </c>
      <c r="AF53" s="108">
        <v>23251</v>
      </c>
      <c r="AG53" s="108">
        <v>53264</v>
      </c>
      <c r="AH53" s="108">
        <v>23083</v>
      </c>
      <c r="AI53" s="108">
        <v>30181</v>
      </c>
      <c r="AJ53" s="108"/>
      <c r="AK53" s="108">
        <v>49737</v>
      </c>
      <c r="AL53" s="108">
        <v>9610</v>
      </c>
      <c r="AM53" s="108">
        <v>70934</v>
      </c>
      <c r="AN53" s="108"/>
      <c r="AO53" s="108">
        <v>4981</v>
      </c>
      <c r="AP53" s="108">
        <v>17844</v>
      </c>
      <c r="AQ53" s="108">
        <v>29374</v>
      </c>
      <c r="AR53" s="108">
        <v>65262</v>
      </c>
      <c r="AS53" s="108"/>
      <c r="AT53" s="108">
        <v>40036</v>
      </c>
      <c r="AU53" s="108">
        <v>30685</v>
      </c>
      <c r="AV53" s="108">
        <v>201</v>
      </c>
      <c r="AW53" s="108">
        <v>6233</v>
      </c>
      <c r="AX53" s="108">
        <v>55569</v>
      </c>
      <c r="AY53" s="108"/>
      <c r="AZ53" s="108">
        <v>20269</v>
      </c>
      <c r="BA53" s="108">
        <v>5327</v>
      </c>
      <c r="BB53" s="108">
        <v>49518</v>
      </c>
      <c r="BC53" s="108"/>
      <c r="BD53" s="108">
        <v>3063</v>
      </c>
      <c r="BE53" s="108">
        <v>6889</v>
      </c>
      <c r="BF53" s="108">
        <v>15138</v>
      </c>
      <c r="BG53" s="108">
        <v>18238</v>
      </c>
      <c r="BH53" s="108"/>
      <c r="BI53" s="108">
        <v>12266</v>
      </c>
      <c r="BJ53" s="108">
        <v>8416</v>
      </c>
      <c r="BK53" s="108">
        <v>110</v>
      </c>
      <c r="BL53" s="108">
        <v>157</v>
      </c>
      <c r="BM53" s="108">
        <v>17588</v>
      </c>
      <c r="BN53" s="108"/>
      <c r="BO53" s="108"/>
      <c r="BP53" s="108">
        <f t="shared" si="10"/>
        <v>29468</v>
      </c>
      <c r="BQ53" s="108">
        <f t="shared" si="10"/>
        <v>4283</v>
      </c>
      <c r="BR53" s="108">
        <f t="shared" si="10"/>
        <v>21416</v>
      </c>
      <c r="BS53" s="108"/>
      <c r="BT53" s="108">
        <f t="shared" si="14"/>
        <v>1918</v>
      </c>
      <c r="BU53" s="108">
        <f t="shared" si="15"/>
        <v>10955</v>
      </c>
      <c r="BV53" s="108">
        <f t="shared" si="16"/>
        <v>14236</v>
      </c>
      <c r="BW53" s="108">
        <f t="shared" si="17"/>
        <v>47024</v>
      </c>
      <c r="BX53" s="108"/>
      <c r="BY53" s="108">
        <f t="shared" si="11"/>
        <v>27770</v>
      </c>
      <c r="BZ53" s="108">
        <f t="shared" si="11"/>
        <v>22269</v>
      </c>
      <c r="CA53" s="108">
        <f t="shared" si="11"/>
        <v>91</v>
      </c>
      <c r="CB53" s="108">
        <f t="shared" si="18"/>
        <v>6076</v>
      </c>
      <c r="CC53" s="108">
        <f t="shared" si="19"/>
        <v>37981</v>
      </c>
      <c r="CD53" s="108"/>
      <c r="CE53" s="108"/>
      <c r="CF53" s="108">
        <v>249555</v>
      </c>
      <c r="CG53" s="108">
        <v>192481</v>
      </c>
      <c r="CH53" s="110">
        <v>2783</v>
      </c>
      <c r="CI53" s="108">
        <v>423</v>
      </c>
      <c r="CJ53" s="108">
        <v>113317</v>
      </c>
      <c r="CK53" s="108">
        <v>86129</v>
      </c>
      <c r="CL53" s="108">
        <f t="shared" si="2"/>
        <v>49685.109999999993</v>
      </c>
      <c r="CM53" s="108">
        <f t="shared" si="3"/>
        <v>0.89000000000669388</v>
      </c>
      <c r="CN53" s="108"/>
      <c r="CO53" s="108">
        <v>1664</v>
      </c>
      <c r="CP53" s="108">
        <v>528</v>
      </c>
      <c r="CQ53" s="108">
        <v>36910</v>
      </c>
      <c r="CR53" s="108">
        <v>0</v>
      </c>
      <c r="CS53" s="108">
        <v>306</v>
      </c>
      <c r="CT53" s="108">
        <v>2702</v>
      </c>
      <c r="CU53" s="108">
        <v>1396</v>
      </c>
      <c r="CV53" s="108">
        <v>3226.14</v>
      </c>
      <c r="CW53" s="108">
        <v>0</v>
      </c>
      <c r="CX53" s="108">
        <v>444.82</v>
      </c>
      <c r="CY53" s="108">
        <v>1358.63</v>
      </c>
      <c r="CZ53" s="108">
        <v>10.88</v>
      </c>
      <c r="DA53" s="108">
        <v>494.38</v>
      </c>
      <c r="DB53" s="108">
        <v>644.26</v>
      </c>
      <c r="DC53" s="108"/>
      <c r="DD53" s="108">
        <v>21259.4</v>
      </c>
      <c r="DE53" s="108"/>
      <c r="DF53" s="120">
        <f t="shared" si="20"/>
        <v>51401</v>
      </c>
      <c r="DG53" s="120">
        <f t="shared" si="33"/>
        <v>10138</v>
      </c>
      <c r="DH53" s="120">
        <f t="shared" si="21"/>
        <v>107844</v>
      </c>
      <c r="DI53" s="120"/>
      <c r="DJ53" s="120">
        <f t="shared" si="22"/>
        <v>5287</v>
      </c>
      <c r="DK53" s="120">
        <f t="shared" si="23"/>
        <v>20546</v>
      </c>
      <c r="DL53" s="120">
        <f t="shared" si="24"/>
        <v>30770</v>
      </c>
      <c r="DM53" s="120">
        <f t="shared" si="25"/>
        <v>68488.14</v>
      </c>
      <c r="DN53" s="120"/>
      <c r="DO53" s="120">
        <f t="shared" si="26"/>
        <v>40480.82</v>
      </c>
      <c r="DP53" s="120">
        <f t="shared" si="27"/>
        <v>32043.63</v>
      </c>
      <c r="DQ53" s="120">
        <f t="shared" si="28"/>
        <v>211.88</v>
      </c>
      <c r="DR53" s="120">
        <f t="shared" si="29"/>
        <v>6727.38</v>
      </c>
      <c r="DS53" s="120">
        <f t="shared" si="30"/>
        <v>56213.26</v>
      </c>
      <c r="DT53" s="120">
        <f t="shared" si="1"/>
        <v>598564</v>
      </c>
      <c r="DU53" s="120">
        <v>507460</v>
      </c>
      <c r="DV53" s="120"/>
      <c r="DW53" s="120"/>
      <c r="DX53" s="120">
        <f t="shared" si="31"/>
        <v>0.6</v>
      </c>
      <c r="DY53" s="120">
        <v>107394</v>
      </c>
      <c r="DZ53" s="120">
        <v>44446</v>
      </c>
      <c r="EA53" s="287">
        <f t="shared" si="13"/>
        <v>1.0573279935202269</v>
      </c>
    </row>
    <row r="54" spans="1:131" s="107" customFormat="1" ht="13">
      <c r="A54" s="113">
        <v>1996</v>
      </c>
      <c r="B54" s="108">
        <f t="shared" si="5"/>
        <v>2016572</v>
      </c>
      <c r="C54" s="109">
        <v>2051098</v>
      </c>
      <c r="D54" s="108">
        <v>675354</v>
      </c>
      <c r="E54" s="108">
        <v>1341218</v>
      </c>
      <c r="F54" s="108"/>
      <c r="G54" s="108"/>
      <c r="H54" s="108"/>
      <c r="I54" s="111"/>
      <c r="J54" s="108"/>
      <c r="K54" s="108"/>
      <c r="L54" s="108">
        <f t="shared" si="32"/>
        <v>503387</v>
      </c>
      <c r="M54" s="108">
        <v>54252</v>
      </c>
      <c r="N54" s="108">
        <v>449135</v>
      </c>
      <c r="O54" s="108"/>
      <c r="P54" s="108">
        <v>481204</v>
      </c>
      <c r="Q54" s="108">
        <v>208288</v>
      </c>
      <c r="R54" s="108">
        <v>272916</v>
      </c>
      <c r="S54" s="108">
        <v>1047964</v>
      </c>
      <c r="T54" s="108">
        <v>393497</v>
      </c>
      <c r="U54" s="108">
        <v>654467</v>
      </c>
      <c r="V54" s="108">
        <v>267571</v>
      </c>
      <c r="W54" s="108">
        <v>45414</v>
      </c>
      <c r="X54" s="108">
        <v>222157</v>
      </c>
      <c r="Y54" s="108">
        <f t="shared" si="6"/>
        <v>219833</v>
      </c>
      <c r="Z54" s="108">
        <f t="shared" si="7"/>
        <v>198578</v>
      </c>
      <c r="AA54" s="108">
        <v>21255</v>
      </c>
      <c r="AB54" s="108">
        <f t="shared" si="8"/>
        <v>28155</v>
      </c>
      <c r="AC54" s="108">
        <f t="shared" si="9"/>
        <v>191678</v>
      </c>
      <c r="AD54" s="108">
        <v>42300</v>
      </c>
      <c r="AE54" s="108">
        <v>346</v>
      </c>
      <c r="AF54" s="108">
        <v>41954</v>
      </c>
      <c r="AG54" s="108">
        <v>61720</v>
      </c>
      <c r="AH54" s="108">
        <v>24337</v>
      </c>
      <c r="AI54" s="108">
        <v>37383</v>
      </c>
      <c r="AJ54" s="108"/>
      <c r="AK54" s="108">
        <v>61173</v>
      </c>
      <c r="AL54" s="108">
        <v>14886</v>
      </c>
      <c r="AM54" s="108">
        <v>84745</v>
      </c>
      <c r="AN54" s="108"/>
      <c r="AO54" s="108">
        <v>6187</v>
      </c>
      <c r="AP54" s="108">
        <v>16557</v>
      </c>
      <c r="AQ54" s="108">
        <v>44295</v>
      </c>
      <c r="AR54" s="108">
        <v>78041</v>
      </c>
      <c r="AS54" s="108"/>
      <c r="AT54" s="108">
        <v>58279</v>
      </c>
      <c r="AU54" s="108">
        <v>39138</v>
      </c>
      <c r="AV54" s="108">
        <v>291</v>
      </c>
      <c r="AW54" s="108">
        <v>6316</v>
      </c>
      <c r="AX54" s="108">
        <v>71296</v>
      </c>
      <c r="AY54" s="108"/>
      <c r="AZ54" s="108">
        <v>26668</v>
      </c>
      <c r="BA54" s="108">
        <v>7162</v>
      </c>
      <c r="BB54" s="108">
        <v>61481</v>
      </c>
      <c r="BC54" s="108"/>
      <c r="BD54" s="108">
        <v>4544</v>
      </c>
      <c r="BE54" s="108">
        <v>6057</v>
      </c>
      <c r="BF54" s="108">
        <v>23031</v>
      </c>
      <c r="BG54" s="108">
        <v>25714</v>
      </c>
      <c r="BH54" s="108"/>
      <c r="BI54" s="108">
        <v>18558</v>
      </c>
      <c r="BJ54" s="108">
        <v>10175</v>
      </c>
      <c r="BK54" s="108">
        <v>162</v>
      </c>
      <c r="BL54" s="108">
        <v>267</v>
      </c>
      <c r="BM54" s="108">
        <v>24469</v>
      </c>
      <c r="BN54" s="108"/>
      <c r="BO54" s="108"/>
      <c r="BP54" s="108">
        <f t="shared" si="10"/>
        <v>34505</v>
      </c>
      <c r="BQ54" s="108">
        <f t="shared" si="10"/>
        <v>7724</v>
      </c>
      <c r="BR54" s="108">
        <f t="shared" si="10"/>
        <v>23264</v>
      </c>
      <c r="BS54" s="108"/>
      <c r="BT54" s="108">
        <f t="shared" si="14"/>
        <v>1643</v>
      </c>
      <c r="BU54" s="108">
        <f t="shared" si="15"/>
        <v>10500</v>
      </c>
      <c r="BV54" s="108">
        <f t="shared" si="16"/>
        <v>21264</v>
      </c>
      <c r="BW54" s="108">
        <f t="shared" si="17"/>
        <v>52327</v>
      </c>
      <c r="BX54" s="108"/>
      <c r="BY54" s="108">
        <f t="shared" si="11"/>
        <v>39721</v>
      </c>
      <c r="BZ54" s="108">
        <f t="shared" si="11"/>
        <v>28963</v>
      </c>
      <c r="CA54" s="108">
        <f t="shared" si="11"/>
        <v>129</v>
      </c>
      <c r="CB54" s="108">
        <f t="shared" si="18"/>
        <v>6049</v>
      </c>
      <c r="CC54" s="108">
        <f t="shared" si="19"/>
        <v>46827</v>
      </c>
      <c r="CD54" s="108"/>
      <c r="CE54" s="108"/>
      <c r="CF54" s="108">
        <v>308885</v>
      </c>
      <c r="CG54" s="108">
        <v>232613</v>
      </c>
      <c r="CH54" s="108">
        <v>5355</v>
      </c>
      <c r="CI54" s="108">
        <v>432</v>
      </c>
      <c r="CJ54" s="108">
        <v>158384</v>
      </c>
      <c r="CK54" s="108">
        <v>103320</v>
      </c>
      <c r="CL54" s="108">
        <f t="shared" si="2"/>
        <v>46747.839999999997</v>
      </c>
      <c r="CM54" s="108">
        <f t="shared" si="3"/>
        <v>1.1600000000034925</v>
      </c>
      <c r="CN54" s="108"/>
      <c r="CO54" s="108">
        <v>2301</v>
      </c>
      <c r="CP54" s="108">
        <v>233</v>
      </c>
      <c r="CQ54" s="108">
        <v>30423</v>
      </c>
      <c r="CR54" s="108">
        <v>0</v>
      </c>
      <c r="CS54" s="108">
        <v>296</v>
      </c>
      <c r="CT54" s="108">
        <v>3034</v>
      </c>
      <c r="CU54" s="108">
        <v>1169</v>
      </c>
      <c r="CV54" s="108">
        <v>3471.54</v>
      </c>
      <c r="CW54" s="108">
        <v>0</v>
      </c>
      <c r="CX54" s="108">
        <v>1216.1500000000001</v>
      </c>
      <c r="CY54" s="108">
        <v>1625.21</v>
      </c>
      <c r="CZ54" s="108">
        <v>14.74</v>
      </c>
      <c r="DA54" s="108">
        <v>710.03</v>
      </c>
      <c r="DB54" s="108">
        <v>2254.17</v>
      </c>
      <c r="DC54" s="108"/>
      <c r="DD54" s="108">
        <v>18164.79</v>
      </c>
      <c r="DE54" s="108"/>
      <c r="DF54" s="120">
        <f t="shared" si="20"/>
        <v>63474</v>
      </c>
      <c r="DG54" s="120">
        <f t="shared" si="33"/>
        <v>15119</v>
      </c>
      <c r="DH54" s="120">
        <f t="shared" si="21"/>
        <v>115168</v>
      </c>
      <c r="DI54" s="120"/>
      <c r="DJ54" s="120">
        <f t="shared" si="22"/>
        <v>6483</v>
      </c>
      <c r="DK54" s="120">
        <f t="shared" si="23"/>
        <v>19591</v>
      </c>
      <c r="DL54" s="120">
        <f t="shared" si="24"/>
        <v>45464</v>
      </c>
      <c r="DM54" s="120">
        <f t="shared" si="25"/>
        <v>81512.539999999994</v>
      </c>
      <c r="DN54" s="120"/>
      <c r="DO54" s="120">
        <f t="shared" si="26"/>
        <v>59495.15</v>
      </c>
      <c r="DP54" s="120">
        <f t="shared" si="27"/>
        <v>40763.21</v>
      </c>
      <c r="DQ54" s="120">
        <f t="shared" si="28"/>
        <v>305.74</v>
      </c>
      <c r="DR54" s="120">
        <f t="shared" si="29"/>
        <v>7026.03</v>
      </c>
      <c r="DS54" s="120">
        <f t="shared" si="30"/>
        <v>73550.17</v>
      </c>
      <c r="DT54" s="120">
        <f t="shared" si="1"/>
        <v>731373.8</v>
      </c>
      <c r="DU54" s="120">
        <v>631088</v>
      </c>
      <c r="DV54" s="120"/>
      <c r="DW54" s="120"/>
      <c r="DX54" s="120">
        <f t="shared" si="31"/>
        <v>0.6</v>
      </c>
      <c r="DY54" s="120">
        <v>113098</v>
      </c>
      <c r="DZ54" s="120">
        <v>54045</v>
      </c>
      <c r="EA54" s="287">
        <f t="shared" si="13"/>
        <v>1.0038301415487094</v>
      </c>
    </row>
    <row r="55" spans="1:131" s="107" customFormat="1" ht="13">
      <c r="A55" s="113">
        <v>1997</v>
      </c>
      <c r="B55" s="108">
        <f t="shared" si="5"/>
        <v>2564794</v>
      </c>
      <c r="C55" s="109">
        <v>2587006</v>
      </c>
      <c r="D55" s="108">
        <v>953770</v>
      </c>
      <c r="E55" s="108">
        <v>1611024</v>
      </c>
      <c r="F55" s="108"/>
      <c r="G55" s="108"/>
      <c r="H55" s="108"/>
      <c r="I55" s="111"/>
      <c r="J55" s="108"/>
      <c r="K55" s="108"/>
      <c r="L55" s="108">
        <f t="shared" si="32"/>
        <v>592508</v>
      </c>
      <c r="M55" s="108">
        <v>65649</v>
      </c>
      <c r="N55" s="108">
        <v>526859</v>
      </c>
      <c r="O55" s="108"/>
      <c r="P55" s="108">
        <v>624022</v>
      </c>
      <c r="Q55" s="108">
        <v>297699</v>
      </c>
      <c r="R55" s="108">
        <v>326323</v>
      </c>
      <c r="S55" s="108">
        <v>1351341</v>
      </c>
      <c r="T55" s="108">
        <v>557484</v>
      </c>
      <c r="U55" s="108">
        <v>793857</v>
      </c>
      <c r="V55" s="108">
        <v>315612</v>
      </c>
      <c r="W55" s="108">
        <v>59501</v>
      </c>
      <c r="X55" s="108">
        <v>256111</v>
      </c>
      <c r="Y55" s="108">
        <f t="shared" si="6"/>
        <v>273819</v>
      </c>
      <c r="Z55" s="108">
        <f t="shared" si="7"/>
        <v>249961</v>
      </c>
      <c r="AA55" s="108">
        <v>23858</v>
      </c>
      <c r="AB55" s="108">
        <f t="shared" si="8"/>
        <v>39086</v>
      </c>
      <c r="AC55" s="108">
        <f t="shared" si="9"/>
        <v>234733</v>
      </c>
      <c r="AD55" s="108">
        <v>56812</v>
      </c>
      <c r="AE55" s="108">
        <v>693</v>
      </c>
      <c r="AF55" s="108">
        <v>56119</v>
      </c>
      <c r="AG55" s="108">
        <v>74021</v>
      </c>
      <c r="AH55" s="108">
        <v>30323</v>
      </c>
      <c r="AI55" s="108">
        <v>43698</v>
      </c>
      <c r="AJ55" s="108"/>
      <c r="AK55" s="108">
        <v>86998</v>
      </c>
      <c r="AL55" s="108">
        <v>24264</v>
      </c>
      <c r="AM55" s="108">
        <v>118786</v>
      </c>
      <c r="AN55" s="108"/>
      <c r="AO55" s="108">
        <v>8189</v>
      </c>
      <c r="AP55" s="108">
        <v>18947</v>
      </c>
      <c r="AQ55" s="108">
        <v>61222</v>
      </c>
      <c r="AR55" s="108">
        <v>105846</v>
      </c>
      <c r="AS55" s="108"/>
      <c r="AT55" s="108">
        <v>59023</v>
      </c>
      <c r="AU55" s="108">
        <v>59768</v>
      </c>
      <c r="AV55" s="108">
        <v>471</v>
      </c>
      <c r="AW55" s="108">
        <v>3964</v>
      </c>
      <c r="AX55" s="108">
        <v>76544</v>
      </c>
      <c r="AY55" s="108"/>
      <c r="AZ55" s="108">
        <v>42648</v>
      </c>
      <c r="BA55" s="108">
        <v>11735</v>
      </c>
      <c r="BB55" s="108">
        <v>87632</v>
      </c>
      <c r="BC55" s="108"/>
      <c r="BD55" s="108">
        <v>7322</v>
      </c>
      <c r="BE55" s="108">
        <v>8897</v>
      </c>
      <c r="BF55" s="108">
        <v>33590</v>
      </c>
      <c r="BG55" s="108">
        <v>38631</v>
      </c>
      <c r="BH55" s="108"/>
      <c r="BI55" s="108">
        <v>23344</v>
      </c>
      <c r="BJ55" s="108">
        <v>13451</v>
      </c>
      <c r="BK55" s="108">
        <v>277</v>
      </c>
      <c r="BL55" s="108">
        <v>219</v>
      </c>
      <c r="BM55" s="108">
        <v>29953</v>
      </c>
      <c r="BN55" s="108"/>
      <c r="BO55" s="108"/>
      <c r="BP55" s="108">
        <f t="shared" si="10"/>
        <v>44350</v>
      </c>
      <c r="BQ55" s="108">
        <f t="shared" si="10"/>
        <v>12529</v>
      </c>
      <c r="BR55" s="108">
        <f t="shared" si="10"/>
        <v>31154</v>
      </c>
      <c r="BS55" s="108"/>
      <c r="BT55" s="108">
        <f t="shared" si="14"/>
        <v>867</v>
      </c>
      <c r="BU55" s="108">
        <f t="shared" si="15"/>
        <v>10050</v>
      </c>
      <c r="BV55" s="108">
        <f t="shared" si="16"/>
        <v>27632</v>
      </c>
      <c r="BW55" s="108">
        <f t="shared" si="17"/>
        <v>67215</v>
      </c>
      <c r="BX55" s="108"/>
      <c r="BY55" s="108">
        <f t="shared" si="11"/>
        <v>35679</v>
      </c>
      <c r="BZ55" s="108">
        <f t="shared" si="11"/>
        <v>46317</v>
      </c>
      <c r="CA55" s="108">
        <f t="shared" si="11"/>
        <v>194</v>
      </c>
      <c r="CB55" s="108">
        <f t="shared" si="18"/>
        <v>3745</v>
      </c>
      <c r="CC55" s="108">
        <f t="shared" si="19"/>
        <v>46591</v>
      </c>
      <c r="CD55" s="108"/>
      <c r="CE55" s="108"/>
      <c r="CF55" s="108">
        <v>286880</v>
      </c>
      <c r="CG55" s="108">
        <v>181657</v>
      </c>
      <c r="CH55" s="108">
        <v>4394</v>
      </c>
      <c r="CI55" s="108">
        <v>95</v>
      </c>
      <c r="CJ55" s="108">
        <v>145649</v>
      </c>
      <c r="CK55" s="108">
        <v>90335</v>
      </c>
      <c r="CL55" s="108">
        <f t="shared" si="2"/>
        <v>50799.829999999994</v>
      </c>
      <c r="CM55" s="108">
        <f t="shared" si="3"/>
        <v>1.1700000000055297</v>
      </c>
      <c r="CN55" s="108"/>
      <c r="CO55" s="108">
        <v>14819</v>
      </c>
      <c r="CP55" s="108">
        <v>1155</v>
      </c>
      <c r="CQ55" s="108">
        <v>19664</v>
      </c>
      <c r="CR55" s="108">
        <v>0</v>
      </c>
      <c r="CS55" s="108">
        <v>345</v>
      </c>
      <c r="CT55" s="108">
        <v>2792</v>
      </c>
      <c r="CU55" s="108">
        <v>1380</v>
      </c>
      <c r="CV55" s="108">
        <v>4428.1499999999996</v>
      </c>
      <c r="CW55" s="108">
        <v>0</v>
      </c>
      <c r="CX55" s="108">
        <v>2077.71</v>
      </c>
      <c r="CY55" s="108">
        <v>2040.7</v>
      </c>
      <c r="CZ55" s="108">
        <v>17.82</v>
      </c>
      <c r="DA55" s="108">
        <v>453.64</v>
      </c>
      <c r="DB55" s="108">
        <v>1626.81</v>
      </c>
      <c r="DC55" s="108"/>
      <c r="DD55" s="108">
        <v>10155.549999999999</v>
      </c>
      <c r="DE55" s="108"/>
      <c r="DF55" s="120">
        <f t="shared" si="20"/>
        <v>101817</v>
      </c>
      <c r="DG55" s="120">
        <f t="shared" si="33"/>
        <v>25419</v>
      </c>
      <c r="DH55" s="120">
        <f t="shared" si="21"/>
        <v>138450</v>
      </c>
      <c r="DI55" s="120"/>
      <c r="DJ55" s="120">
        <f t="shared" si="22"/>
        <v>8534</v>
      </c>
      <c r="DK55" s="120">
        <f t="shared" si="23"/>
        <v>21739</v>
      </c>
      <c r="DL55" s="120">
        <f t="shared" si="24"/>
        <v>62602</v>
      </c>
      <c r="DM55" s="120">
        <f t="shared" si="25"/>
        <v>110274.15</v>
      </c>
      <c r="DN55" s="120"/>
      <c r="DO55" s="120">
        <f t="shared" si="26"/>
        <v>61100.71</v>
      </c>
      <c r="DP55" s="120">
        <f t="shared" si="27"/>
        <v>61808.7</v>
      </c>
      <c r="DQ55" s="120">
        <f t="shared" si="28"/>
        <v>488.82</v>
      </c>
      <c r="DR55" s="120">
        <f t="shared" si="29"/>
        <v>4417.6400000000003</v>
      </c>
      <c r="DS55" s="120">
        <f t="shared" si="30"/>
        <v>78170.81</v>
      </c>
      <c r="DT55" s="120">
        <f t="shared" si="1"/>
        <v>770477.6</v>
      </c>
      <c r="DU55" s="120">
        <v>648188</v>
      </c>
      <c r="DV55" s="120"/>
      <c r="DW55" s="120"/>
      <c r="DX55" s="120">
        <f t="shared" si="31"/>
        <v>0.6</v>
      </c>
      <c r="DY55" s="120">
        <v>135384</v>
      </c>
      <c r="DZ55" s="120">
        <v>68432</v>
      </c>
      <c r="EA55" s="287">
        <f t="shared" si="13"/>
        <v>0.95933189151274256</v>
      </c>
    </row>
    <row r="56" spans="1:131" s="107" customFormat="1" ht="13">
      <c r="A56" s="113">
        <v>1998</v>
      </c>
      <c r="B56" s="108">
        <f t="shared" si="5"/>
        <v>3054356</v>
      </c>
      <c r="C56" s="109">
        <v>3048196</v>
      </c>
      <c r="D56" s="108">
        <v>1265065</v>
      </c>
      <c r="E56" s="108">
        <v>1789291</v>
      </c>
      <c r="F56" s="108"/>
      <c r="G56" s="108"/>
      <c r="H56" s="108"/>
      <c r="I56" s="111"/>
      <c r="J56" s="108"/>
      <c r="K56" s="108"/>
      <c r="L56" s="108">
        <f t="shared" si="32"/>
        <v>647253</v>
      </c>
      <c r="M56" s="108">
        <v>76536</v>
      </c>
      <c r="N56" s="108">
        <v>570717</v>
      </c>
      <c r="O56" s="108"/>
      <c r="P56" s="108">
        <v>767655</v>
      </c>
      <c r="Q56" s="108">
        <v>384257</v>
      </c>
      <c r="R56" s="108">
        <v>383398</v>
      </c>
      <c r="S56" s="108">
        <v>1586555</v>
      </c>
      <c r="T56" s="108">
        <v>754719</v>
      </c>
      <c r="U56" s="108">
        <v>831836</v>
      </c>
      <c r="V56" s="108">
        <v>351668</v>
      </c>
      <c r="W56" s="108">
        <v>73226</v>
      </c>
      <c r="X56" s="108">
        <v>278442</v>
      </c>
      <c r="Y56" s="108">
        <f t="shared" si="6"/>
        <v>348478</v>
      </c>
      <c r="Z56" s="108">
        <f t="shared" si="7"/>
        <v>321115</v>
      </c>
      <c r="AA56" s="108">
        <v>27363</v>
      </c>
      <c r="AB56" s="108">
        <f t="shared" si="8"/>
        <v>52863</v>
      </c>
      <c r="AC56" s="108">
        <f t="shared" si="9"/>
        <v>295615</v>
      </c>
      <c r="AD56" s="108">
        <v>65148</v>
      </c>
      <c r="AE56" s="108">
        <v>946</v>
      </c>
      <c r="AF56" s="108">
        <v>64202</v>
      </c>
      <c r="AG56" s="108">
        <v>63878</v>
      </c>
      <c r="AH56" s="108">
        <v>34996</v>
      </c>
      <c r="AI56" s="108">
        <v>28882</v>
      </c>
      <c r="AJ56" s="108"/>
      <c r="AK56" s="108">
        <v>125745</v>
      </c>
      <c r="AL56" s="108">
        <v>33320</v>
      </c>
      <c r="AM56" s="108">
        <v>159594</v>
      </c>
      <c r="AN56" s="108"/>
      <c r="AO56" s="108">
        <v>11565</v>
      </c>
      <c r="AP56" s="108">
        <v>20252</v>
      </c>
      <c r="AQ56" s="108">
        <v>75730</v>
      </c>
      <c r="AR56" s="108">
        <v>134627</v>
      </c>
      <c r="AS56" s="108"/>
      <c r="AT56" s="108">
        <v>46357</v>
      </c>
      <c r="AU56" s="108">
        <v>70136</v>
      </c>
      <c r="AV56" s="108">
        <v>591</v>
      </c>
      <c r="AW56" s="108">
        <v>3188</v>
      </c>
      <c r="AX56" s="108">
        <v>86550</v>
      </c>
      <c r="AY56" s="108"/>
      <c r="AZ56" s="108">
        <v>64090</v>
      </c>
      <c r="BA56" s="108">
        <v>17204</v>
      </c>
      <c r="BB56" s="108">
        <v>115971</v>
      </c>
      <c r="BC56" s="108"/>
      <c r="BD56" s="108">
        <v>10522</v>
      </c>
      <c r="BE56" s="108">
        <v>11583</v>
      </c>
      <c r="BF56" s="108">
        <v>40419</v>
      </c>
      <c r="BG56" s="108">
        <v>54391</v>
      </c>
      <c r="BH56" s="108"/>
      <c r="BI56" s="108">
        <v>25265</v>
      </c>
      <c r="BJ56" s="108">
        <v>14997</v>
      </c>
      <c r="BK56" s="108">
        <v>343</v>
      </c>
      <c r="BL56" s="108">
        <v>285</v>
      </c>
      <c r="BM56" s="108">
        <v>29187</v>
      </c>
      <c r="BN56" s="108"/>
      <c r="BO56" s="108"/>
      <c r="BP56" s="108">
        <f t="shared" si="10"/>
        <v>61655</v>
      </c>
      <c r="BQ56" s="108">
        <f t="shared" si="10"/>
        <v>16116</v>
      </c>
      <c r="BR56" s="108">
        <f t="shared" si="10"/>
        <v>43623</v>
      </c>
      <c r="BS56" s="108"/>
      <c r="BT56" s="108">
        <f t="shared" si="14"/>
        <v>1043</v>
      </c>
      <c r="BU56" s="108">
        <f t="shared" si="15"/>
        <v>8669</v>
      </c>
      <c r="BV56" s="108">
        <f t="shared" si="16"/>
        <v>35311</v>
      </c>
      <c r="BW56" s="108">
        <f t="shared" si="17"/>
        <v>80236</v>
      </c>
      <c r="BX56" s="108"/>
      <c r="BY56" s="108">
        <f t="shared" si="11"/>
        <v>21092</v>
      </c>
      <c r="BZ56" s="108">
        <f t="shared" si="11"/>
        <v>55139</v>
      </c>
      <c r="CA56" s="108">
        <f t="shared" si="11"/>
        <v>248</v>
      </c>
      <c r="CB56" s="108">
        <f t="shared" si="18"/>
        <v>2903</v>
      </c>
      <c r="CC56" s="108">
        <f t="shared" si="19"/>
        <v>57363</v>
      </c>
      <c r="CD56" s="108"/>
      <c r="CE56" s="108"/>
      <c r="CF56" s="108">
        <v>325193</v>
      </c>
      <c r="CG56" s="108">
        <v>179804</v>
      </c>
      <c r="CH56" s="108">
        <v>4704</v>
      </c>
      <c r="CI56" s="108">
        <v>1009</v>
      </c>
      <c r="CJ56" s="108">
        <v>171649</v>
      </c>
      <c r="CK56" s="108">
        <v>88274</v>
      </c>
      <c r="CL56" s="108">
        <f t="shared" si="2"/>
        <v>64261.05</v>
      </c>
      <c r="CM56" s="108">
        <f t="shared" si="3"/>
        <v>-5.0000000002910383E-2</v>
      </c>
      <c r="CN56" s="108"/>
      <c r="CO56" s="108">
        <v>19493</v>
      </c>
      <c r="CP56" s="108">
        <v>2050</v>
      </c>
      <c r="CQ56" s="108">
        <v>25264</v>
      </c>
      <c r="CR56" s="108">
        <v>0</v>
      </c>
      <c r="CS56" s="108">
        <v>310</v>
      </c>
      <c r="CT56" s="108">
        <v>2453</v>
      </c>
      <c r="CU56" s="108">
        <v>1070</v>
      </c>
      <c r="CV56" s="108">
        <v>8608.69</v>
      </c>
      <c r="CW56" s="108">
        <v>0</v>
      </c>
      <c r="CX56" s="108">
        <v>1075</v>
      </c>
      <c r="CY56" s="108">
        <v>1277</v>
      </c>
      <c r="CZ56" s="108">
        <v>12.36</v>
      </c>
      <c r="DA56" s="108">
        <v>678</v>
      </c>
      <c r="DB56" s="108">
        <v>1970</v>
      </c>
      <c r="DC56" s="108"/>
      <c r="DD56" s="108">
        <v>5011.05</v>
      </c>
      <c r="DE56" s="108"/>
      <c r="DF56" s="120">
        <f t="shared" si="20"/>
        <v>145238</v>
      </c>
      <c r="DG56" s="120">
        <f t="shared" si="33"/>
        <v>35370</v>
      </c>
      <c r="DH56" s="120">
        <f t="shared" si="21"/>
        <v>184858</v>
      </c>
      <c r="DI56" s="120"/>
      <c r="DJ56" s="120">
        <f t="shared" si="22"/>
        <v>11875</v>
      </c>
      <c r="DK56" s="120">
        <f t="shared" si="23"/>
        <v>22705</v>
      </c>
      <c r="DL56" s="120">
        <f t="shared" si="24"/>
        <v>76800</v>
      </c>
      <c r="DM56" s="120">
        <f t="shared" si="25"/>
        <v>143235.69</v>
      </c>
      <c r="DN56" s="120"/>
      <c r="DO56" s="120">
        <f t="shared" si="26"/>
        <v>47432</v>
      </c>
      <c r="DP56" s="120">
        <f t="shared" si="27"/>
        <v>71413</v>
      </c>
      <c r="DQ56" s="120">
        <f t="shared" si="28"/>
        <v>603.36</v>
      </c>
      <c r="DR56" s="120">
        <f t="shared" si="29"/>
        <v>3866</v>
      </c>
      <c r="DS56" s="120">
        <f t="shared" si="30"/>
        <v>88520</v>
      </c>
      <c r="DT56" s="120">
        <f t="shared" si="1"/>
        <v>794580</v>
      </c>
      <c r="DU56" s="120">
        <v>669768</v>
      </c>
      <c r="DV56" s="120"/>
      <c r="DW56" s="120"/>
      <c r="DX56" s="120">
        <f t="shared" si="31"/>
        <v>0.6</v>
      </c>
      <c r="DY56" s="120">
        <v>125883</v>
      </c>
      <c r="DZ56" s="120">
        <v>82137</v>
      </c>
      <c r="EA56" s="287">
        <f t="shared" si="13"/>
        <v>0.93180905073231313</v>
      </c>
    </row>
    <row r="57" spans="1:131" s="107" customFormat="1" ht="13">
      <c r="A57" s="113">
        <v>1999</v>
      </c>
      <c r="B57" s="108">
        <f t="shared" si="5"/>
        <v>3409467</v>
      </c>
      <c r="C57" s="109">
        <v>3403023</v>
      </c>
      <c r="D57" s="108">
        <v>1624531</v>
      </c>
      <c r="E57" s="108">
        <v>1784936</v>
      </c>
      <c r="F57" s="108"/>
      <c r="G57" s="108"/>
      <c r="H57" s="108"/>
      <c r="I57" s="111"/>
      <c r="J57" s="108"/>
      <c r="K57" s="108"/>
      <c r="L57" s="108">
        <f t="shared" si="32"/>
        <v>635980</v>
      </c>
      <c r="M57" s="108">
        <v>87180</v>
      </c>
      <c r="N57" s="108">
        <v>548800</v>
      </c>
      <c r="O57" s="108"/>
      <c r="P57" s="108">
        <v>885974</v>
      </c>
      <c r="Q57" s="108">
        <v>486694</v>
      </c>
      <c r="R57" s="108">
        <v>399280</v>
      </c>
      <c r="S57" s="108">
        <v>1746226</v>
      </c>
      <c r="T57" s="108">
        <v>984463</v>
      </c>
      <c r="U57" s="108">
        <v>761763</v>
      </c>
      <c r="V57" s="108">
        <v>387213</v>
      </c>
      <c r="W57" s="108">
        <v>85139</v>
      </c>
      <c r="X57" s="108">
        <v>302074</v>
      </c>
      <c r="Y57" s="108">
        <f t="shared" si="6"/>
        <v>390054</v>
      </c>
      <c r="Z57" s="108">
        <f t="shared" si="7"/>
        <v>363253</v>
      </c>
      <c r="AA57" s="108">
        <v>26801</v>
      </c>
      <c r="AB57" s="108">
        <f t="shared" si="8"/>
        <v>68235</v>
      </c>
      <c r="AC57" s="108">
        <f t="shared" si="9"/>
        <v>321819</v>
      </c>
      <c r="AD57" s="108">
        <v>79394</v>
      </c>
      <c r="AE57" s="108">
        <v>1419</v>
      </c>
      <c r="AF57" s="108">
        <v>77975</v>
      </c>
      <c r="AG57" s="108">
        <v>64175</v>
      </c>
      <c r="AH57" s="108">
        <v>38517</v>
      </c>
      <c r="AI57" s="108">
        <v>25658</v>
      </c>
      <c r="AJ57" s="108"/>
      <c r="AK57" s="108">
        <v>157398</v>
      </c>
      <c r="AL57" s="108">
        <v>43436</v>
      </c>
      <c r="AM57" s="108">
        <v>187838</v>
      </c>
      <c r="AN57" s="108"/>
      <c r="AO57" s="108">
        <v>15952</v>
      </c>
      <c r="AP57" s="108">
        <v>22096</v>
      </c>
      <c r="AQ57" s="108">
        <v>104400</v>
      </c>
      <c r="AR57" s="108">
        <v>163145</v>
      </c>
      <c r="AS57" s="108"/>
      <c r="AT57" s="108">
        <v>34277</v>
      </c>
      <c r="AU57" s="108">
        <v>73864</v>
      </c>
      <c r="AV57" s="108">
        <v>823</v>
      </c>
      <c r="AW57" s="108">
        <v>2966</v>
      </c>
      <c r="AX57" s="108">
        <v>79779</v>
      </c>
      <c r="AY57" s="108"/>
      <c r="AZ57" s="108">
        <v>89216</v>
      </c>
      <c r="BA57" s="108">
        <v>25521</v>
      </c>
      <c r="BB57" s="108">
        <v>143574</v>
      </c>
      <c r="BC57" s="108"/>
      <c r="BD57" s="108">
        <v>14138</v>
      </c>
      <c r="BE57" s="108">
        <v>14203</v>
      </c>
      <c r="BF57" s="108">
        <v>45583</v>
      </c>
      <c r="BG57" s="108">
        <v>74679</v>
      </c>
      <c r="BH57" s="108"/>
      <c r="BI57" s="108">
        <v>25628</v>
      </c>
      <c r="BJ57" s="108">
        <v>18198</v>
      </c>
      <c r="BK57" s="108">
        <v>525</v>
      </c>
      <c r="BL57" s="108">
        <v>489</v>
      </c>
      <c r="BM57" s="108">
        <v>34940</v>
      </c>
      <c r="BN57" s="108"/>
      <c r="BO57" s="108"/>
      <c r="BP57" s="108">
        <f t="shared" si="10"/>
        <v>68182</v>
      </c>
      <c r="BQ57" s="108">
        <f t="shared" si="10"/>
        <v>17915</v>
      </c>
      <c r="BR57" s="108">
        <f t="shared" si="10"/>
        <v>44264</v>
      </c>
      <c r="BS57" s="108"/>
      <c r="BT57" s="108">
        <f t="shared" si="14"/>
        <v>1814</v>
      </c>
      <c r="BU57" s="108">
        <f t="shared" si="15"/>
        <v>7893</v>
      </c>
      <c r="BV57" s="108">
        <f t="shared" si="16"/>
        <v>58817</v>
      </c>
      <c r="BW57" s="108">
        <f t="shared" si="17"/>
        <v>88466</v>
      </c>
      <c r="BX57" s="108"/>
      <c r="BY57" s="108">
        <f t="shared" si="11"/>
        <v>8649</v>
      </c>
      <c r="BZ57" s="108">
        <f t="shared" si="11"/>
        <v>55666</v>
      </c>
      <c r="CA57" s="108">
        <f t="shared" si="11"/>
        <v>298</v>
      </c>
      <c r="CB57" s="108">
        <f t="shared" si="18"/>
        <v>2477</v>
      </c>
      <c r="CC57" s="108">
        <f t="shared" si="19"/>
        <v>44839</v>
      </c>
      <c r="CD57" s="108"/>
      <c r="CE57" s="108"/>
      <c r="CF57" s="108">
        <v>318293</v>
      </c>
      <c r="CG57" s="108">
        <v>197409</v>
      </c>
      <c r="CH57" s="108">
        <v>5122</v>
      </c>
      <c r="CI57" s="108">
        <v>1049</v>
      </c>
      <c r="CJ57" s="108">
        <v>199496</v>
      </c>
      <c r="CK57" s="108">
        <v>68499</v>
      </c>
      <c r="CL57" s="108">
        <f t="shared" si="2"/>
        <v>49250.77</v>
      </c>
      <c r="CM57" s="108">
        <f t="shared" si="3"/>
        <v>-1.7699999999967986</v>
      </c>
      <c r="CN57" s="108"/>
      <c r="CO57" s="108">
        <v>13342</v>
      </c>
      <c r="CP57" s="108">
        <v>2739</v>
      </c>
      <c r="CQ57" s="108">
        <v>15514</v>
      </c>
      <c r="CR57" s="108">
        <v>0</v>
      </c>
      <c r="CS57" s="108">
        <v>402</v>
      </c>
      <c r="CT57" s="108">
        <v>2462</v>
      </c>
      <c r="CU57" s="108">
        <v>1428</v>
      </c>
      <c r="CV57" s="108">
        <v>5131.9799999999996</v>
      </c>
      <c r="CW57" s="108">
        <v>0</v>
      </c>
      <c r="CX57" s="108">
        <v>662</v>
      </c>
      <c r="CY57" s="108">
        <v>3610</v>
      </c>
      <c r="CZ57" s="108">
        <v>11.79</v>
      </c>
      <c r="DA57" s="108">
        <v>1842</v>
      </c>
      <c r="DB57" s="108">
        <v>2106</v>
      </c>
      <c r="DC57" s="108"/>
      <c r="DD57" s="108">
        <v>742.61</v>
      </c>
      <c r="DE57" s="108"/>
      <c r="DF57" s="120">
        <f t="shared" si="20"/>
        <v>170740</v>
      </c>
      <c r="DG57" s="120">
        <f t="shared" si="33"/>
        <v>46175</v>
      </c>
      <c r="DH57" s="120">
        <f t="shared" si="21"/>
        <v>203352</v>
      </c>
      <c r="DI57" s="120"/>
      <c r="DJ57" s="120">
        <f t="shared" si="22"/>
        <v>16354</v>
      </c>
      <c r="DK57" s="120">
        <f t="shared" si="23"/>
        <v>24558</v>
      </c>
      <c r="DL57" s="120">
        <f t="shared" si="24"/>
        <v>105828</v>
      </c>
      <c r="DM57" s="120">
        <f t="shared" si="25"/>
        <v>168276.98</v>
      </c>
      <c r="DN57" s="120"/>
      <c r="DO57" s="120">
        <f t="shared" si="26"/>
        <v>34939</v>
      </c>
      <c r="DP57" s="120">
        <f t="shared" si="27"/>
        <v>77474</v>
      </c>
      <c r="DQ57" s="120">
        <f t="shared" si="28"/>
        <v>834.79</v>
      </c>
      <c r="DR57" s="120">
        <f t="shared" si="29"/>
        <v>4808</v>
      </c>
      <c r="DS57" s="120">
        <f t="shared" si="30"/>
        <v>81885</v>
      </c>
      <c r="DT57" s="120">
        <f t="shared" si="1"/>
        <v>835480.6</v>
      </c>
      <c r="DU57" s="120">
        <v>693781</v>
      </c>
      <c r="DV57" s="120"/>
      <c r="DW57" s="120"/>
      <c r="DX57" s="120">
        <f t="shared" si="31"/>
        <v>0.6</v>
      </c>
      <c r="DY57" s="120">
        <v>138847</v>
      </c>
      <c r="DZ57" s="120">
        <v>97319</v>
      </c>
      <c r="EA57" s="287">
        <f t="shared" si="13"/>
        <v>0.8958168497415715</v>
      </c>
    </row>
    <row r="58" spans="1:131" s="107" customFormat="1" ht="13">
      <c r="A58" s="113">
        <v>2000</v>
      </c>
      <c r="B58" s="108">
        <f t="shared" si="5"/>
        <v>3661129</v>
      </c>
      <c r="C58" s="109">
        <v>3693897</v>
      </c>
      <c r="D58" s="108">
        <v>1620943</v>
      </c>
      <c r="E58" s="108">
        <v>2040186</v>
      </c>
      <c r="F58" s="108"/>
      <c r="G58" s="108"/>
      <c r="H58" s="108"/>
      <c r="I58" s="111"/>
      <c r="J58" s="108"/>
      <c r="K58" s="108"/>
      <c r="L58" s="108">
        <f t="shared" si="32"/>
        <v>726107</v>
      </c>
      <c r="M58" s="108">
        <v>87953</v>
      </c>
      <c r="N58" s="108">
        <v>638154</v>
      </c>
      <c r="O58" s="108"/>
      <c r="P58" s="108">
        <v>976359</v>
      </c>
      <c r="Q58" s="108">
        <v>487689</v>
      </c>
      <c r="R58" s="108">
        <v>488670</v>
      </c>
      <c r="S58" s="108">
        <v>1826338</v>
      </c>
      <c r="T58" s="108">
        <v>983808</v>
      </c>
      <c r="U58" s="108">
        <v>842530</v>
      </c>
      <c r="V58" s="108">
        <v>485154</v>
      </c>
      <c r="W58" s="108">
        <v>118981</v>
      </c>
      <c r="X58" s="108">
        <v>366173</v>
      </c>
      <c r="Y58" s="108">
        <f t="shared" si="6"/>
        <v>373278</v>
      </c>
      <c r="Z58" s="108">
        <f t="shared" si="7"/>
        <v>354878</v>
      </c>
      <c r="AA58" s="108">
        <v>18400</v>
      </c>
      <c r="AB58" s="108">
        <f t="shared" si="8"/>
        <v>30465</v>
      </c>
      <c r="AC58" s="108">
        <f t="shared" si="9"/>
        <v>342813</v>
      </c>
      <c r="AD58" s="108">
        <v>101541</v>
      </c>
      <c r="AE58" s="108">
        <v>2688</v>
      </c>
      <c r="AF58" s="108">
        <v>98853</v>
      </c>
      <c r="AG58" s="108">
        <v>77169</v>
      </c>
      <c r="AH58" s="108">
        <v>44930</v>
      </c>
      <c r="AI58" s="108">
        <v>32239</v>
      </c>
      <c r="AJ58" s="108"/>
      <c r="AK58" s="108">
        <v>250144</v>
      </c>
      <c r="AL58" s="108">
        <v>58782</v>
      </c>
      <c r="AM58" s="108">
        <v>176922</v>
      </c>
      <c r="AN58" s="108">
        <v>40460</v>
      </c>
      <c r="AO58" s="108">
        <v>13025</v>
      </c>
      <c r="AP58" s="108">
        <v>15544</v>
      </c>
      <c r="AQ58" s="108">
        <v>107500</v>
      </c>
      <c r="AR58" s="108"/>
      <c r="AS58" s="108">
        <v>127752</v>
      </c>
      <c r="AT58" s="108">
        <v>25870</v>
      </c>
      <c r="AU58" s="108">
        <v>74497</v>
      </c>
      <c r="AV58" s="108">
        <v>766</v>
      </c>
      <c r="AW58" s="108">
        <v>3413</v>
      </c>
      <c r="AX58" s="108">
        <v>81684</v>
      </c>
      <c r="AY58" s="108"/>
      <c r="AZ58" s="108">
        <v>108817</v>
      </c>
      <c r="BA58" s="108">
        <v>31813</v>
      </c>
      <c r="BB58" s="108">
        <v>135296</v>
      </c>
      <c r="BC58" s="108">
        <v>15130</v>
      </c>
      <c r="BD58" s="108">
        <v>10878</v>
      </c>
      <c r="BE58" s="108">
        <v>10969</v>
      </c>
      <c r="BF58" s="108">
        <v>50728</v>
      </c>
      <c r="BG58" s="108"/>
      <c r="BH58" s="108">
        <v>48305</v>
      </c>
      <c r="BI58" s="108">
        <v>15860</v>
      </c>
      <c r="BJ58" s="108">
        <v>16965</v>
      </c>
      <c r="BK58" s="108">
        <v>563</v>
      </c>
      <c r="BL58" s="108">
        <v>493</v>
      </c>
      <c r="BM58" s="108">
        <v>41872</v>
      </c>
      <c r="BN58" s="108"/>
      <c r="BO58" s="108"/>
      <c r="BP58" s="108">
        <f t="shared" si="10"/>
        <v>141327</v>
      </c>
      <c r="BQ58" s="108">
        <f t="shared" si="10"/>
        <v>26969</v>
      </c>
      <c r="BR58" s="108">
        <f t="shared" si="10"/>
        <v>41626</v>
      </c>
      <c r="BS58" s="108">
        <f t="shared" si="10"/>
        <v>25330</v>
      </c>
      <c r="BT58" s="108">
        <f t="shared" si="10"/>
        <v>2147</v>
      </c>
      <c r="BU58" s="108">
        <f t="shared" ref="BU58:BU70" si="34">AP58-BE58</f>
        <v>4575</v>
      </c>
      <c r="BV58" s="108">
        <f t="shared" ref="BV58:CA70" si="35">AQ58-BF58</f>
        <v>56772</v>
      </c>
      <c r="BW58" s="108"/>
      <c r="BX58" s="108">
        <f t="shared" si="35"/>
        <v>79447</v>
      </c>
      <c r="BY58" s="108">
        <f t="shared" si="35"/>
        <v>10010</v>
      </c>
      <c r="BZ58" s="108">
        <f t="shared" si="35"/>
        <v>57532</v>
      </c>
      <c r="CA58" s="108">
        <f t="shared" si="35"/>
        <v>203</v>
      </c>
      <c r="CB58" s="108">
        <f t="shared" si="18"/>
        <v>2920</v>
      </c>
      <c r="CC58" s="108">
        <f t="shared" si="19"/>
        <v>39812</v>
      </c>
      <c r="CD58" s="108"/>
      <c r="CE58" s="108"/>
      <c r="CF58" s="108">
        <v>323686</v>
      </c>
      <c r="CG58" s="108">
        <v>200614</v>
      </c>
      <c r="CH58" s="108">
        <v>5553</v>
      </c>
      <c r="CI58" s="108">
        <v>585</v>
      </c>
      <c r="CJ58" s="108">
        <v>200830</v>
      </c>
      <c r="CK58" s="108">
        <v>81717</v>
      </c>
      <c r="CL58" s="108">
        <f t="shared" si="2"/>
        <v>40555.040000000001</v>
      </c>
      <c r="CM58" s="108">
        <f t="shared" si="3"/>
        <v>-1.0400000000008731</v>
      </c>
      <c r="CN58" s="108"/>
      <c r="CO58" s="108">
        <v>15322</v>
      </c>
      <c r="CP58" s="108">
        <v>2143</v>
      </c>
      <c r="CQ58" s="108">
        <v>7128</v>
      </c>
      <c r="CR58" s="108">
        <v>0</v>
      </c>
      <c r="CS58" s="108">
        <v>496</v>
      </c>
      <c r="CT58" s="108">
        <v>2337</v>
      </c>
      <c r="CU58" s="108">
        <v>1107</v>
      </c>
      <c r="CV58" s="108">
        <v>8874.2999999999993</v>
      </c>
      <c r="CW58" s="108">
        <v>0</v>
      </c>
      <c r="CX58" s="108">
        <v>150</v>
      </c>
      <c r="CY58" s="108">
        <v>1151</v>
      </c>
      <c r="CZ58" s="108">
        <v>13.74</v>
      </c>
      <c r="DA58" s="108">
        <v>832</v>
      </c>
      <c r="DB58" s="108">
        <v>1001</v>
      </c>
      <c r="DC58" s="108"/>
      <c r="DD58" s="108">
        <v>1486.68</v>
      </c>
      <c r="DE58" s="108"/>
      <c r="DF58" s="120">
        <f t="shared" si="20"/>
        <v>265466</v>
      </c>
      <c r="DG58" s="120">
        <f t="shared" si="33"/>
        <v>60925</v>
      </c>
      <c r="DH58" s="120">
        <f t="shared" si="21"/>
        <v>184050</v>
      </c>
      <c r="DI58" s="120">
        <f t="shared" ref="DI58:DI68" si="36">AN58+CR58</f>
        <v>40460</v>
      </c>
      <c r="DJ58" s="120">
        <f t="shared" si="22"/>
        <v>13521</v>
      </c>
      <c r="DK58" s="120">
        <f t="shared" si="23"/>
        <v>17881</v>
      </c>
      <c r="DL58" s="120">
        <f t="shared" si="24"/>
        <v>108607</v>
      </c>
      <c r="DM58" s="120"/>
      <c r="DN58" s="120">
        <f t="shared" ref="DN58:DN68" si="37">AS58+CW58</f>
        <v>127752</v>
      </c>
      <c r="DO58" s="120">
        <f t="shared" si="26"/>
        <v>26020</v>
      </c>
      <c r="DP58" s="120">
        <f t="shared" si="27"/>
        <v>75648</v>
      </c>
      <c r="DQ58" s="120">
        <f t="shared" si="28"/>
        <v>779.74</v>
      </c>
      <c r="DR58" s="120">
        <f t="shared" si="29"/>
        <v>4245</v>
      </c>
      <c r="DS58" s="120">
        <f t="shared" si="30"/>
        <v>82685</v>
      </c>
      <c r="DT58" s="120">
        <f t="shared" si="1"/>
        <v>909297.2</v>
      </c>
      <c r="DU58" s="120">
        <v>756155</v>
      </c>
      <c r="DV58" s="120"/>
      <c r="DW58" s="120"/>
      <c r="DX58" s="120">
        <f t="shared" si="31"/>
        <v>0.6</v>
      </c>
      <c r="DY58" s="120">
        <v>153403</v>
      </c>
      <c r="DZ58" s="120">
        <v>101834</v>
      </c>
      <c r="EA58" s="287">
        <f t="shared" si="13"/>
        <v>0.86368992674352374</v>
      </c>
    </row>
    <row r="59" spans="1:131" s="107" customFormat="1" ht="13">
      <c r="A59" s="113">
        <v>2001</v>
      </c>
      <c r="B59" s="108">
        <f t="shared" si="5"/>
        <v>3934154</v>
      </c>
      <c r="C59" s="109">
        <v>3939419</v>
      </c>
      <c r="D59" s="108">
        <v>1573079</v>
      </c>
      <c r="E59" s="108">
        <v>2361075</v>
      </c>
      <c r="F59" s="108"/>
      <c r="G59" s="108"/>
      <c r="H59" s="108"/>
      <c r="I59" s="111"/>
      <c r="J59" s="108"/>
      <c r="K59" s="108"/>
      <c r="L59" s="108">
        <f t="shared" si="32"/>
        <v>767324</v>
      </c>
      <c r="M59" s="108">
        <v>93204</v>
      </c>
      <c r="N59" s="108">
        <v>674120</v>
      </c>
      <c r="O59" s="108"/>
      <c r="P59" s="108">
        <v>1128740</v>
      </c>
      <c r="Q59" s="108">
        <v>496427</v>
      </c>
      <c r="R59" s="108">
        <v>632313</v>
      </c>
      <c r="S59" s="108">
        <v>1795545</v>
      </c>
      <c r="T59" s="108">
        <v>934057</v>
      </c>
      <c r="U59" s="108">
        <v>861488</v>
      </c>
      <c r="V59" s="108">
        <v>542018</v>
      </c>
      <c r="W59" s="108">
        <v>115487</v>
      </c>
      <c r="X59" s="108">
        <v>426531</v>
      </c>
      <c r="Y59" s="108">
        <f t="shared" si="6"/>
        <v>467851</v>
      </c>
      <c r="Z59" s="108">
        <f t="shared" si="7"/>
        <v>457116</v>
      </c>
      <c r="AA59" s="108">
        <v>10735</v>
      </c>
      <c r="AB59" s="108">
        <f t="shared" si="8"/>
        <v>27108</v>
      </c>
      <c r="AC59" s="108">
        <f t="shared" si="9"/>
        <v>440743</v>
      </c>
      <c r="AD59" s="108">
        <v>151769</v>
      </c>
      <c r="AE59" s="108">
        <v>3906</v>
      </c>
      <c r="AF59" s="108">
        <v>147863</v>
      </c>
      <c r="AG59" s="108">
        <v>81560</v>
      </c>
      <c r="AH59" s="108">
        <v>45185</v>
      </c>
      <c r="AI59" s="108">
        <v>36375</v>
      </c>
      <c r="AJ59" s="108"/>
      <c r="AK59" s="108">
        <v>352895</v>
      </c>
      <c r="AL59" s="108">
        <v>68786</v>
      </c>
      <c r="AM59" s="108">
        <v>172667</v>
      </c>
      <c r="AN59" s="108">
        <v>47872</v>
      </c>
      <c r="AO59" s="108">
        <v>10159</v>
      </c>
      <c r="AP59" s="108">
        <v>16375</v>
      </c>
      <c r="AQ59" s="108">
        <v>112954</v>
      </c>
      <c r="AR59" s="108"/>
      <c r="AS59" s="108">
        <v>149070</v>
      </c>
      <c r="AT59" s="108">
        <v>19685</v>
      </c>
      <c r="AU59" s="108">
        <v>83531</v>
      </c>
      <c r="AV59" s="108">
        <v>526</v>
      </c>
      <c r="AW59" s="108">
        <v>5883</v>
      </c>
      <c r="AX59" s="108">
        <v>88337</v>
      </c>
      <c r="AY59" s="108"/>
      <c r="AZ59" s="108">
        <v>118079</v>
      </c>
      <c r="BA59" s="108">
        <v>34860</v>
      </c>
      <c r="BB59" s="108">
        <v>121658</v>
      </c>
      <c r="BC59" s="108">
        <v>15223</v>
      </c>
      <c r="BD59" s="108">
        <v>7604</v>
      </c>
      <c r="BE59" s="108">
        <v>11276</v>
      </c>
      <c r="BF59" s="108">
        <v>46814</v>
      </c>
      <c r="BG59" s="108"/>
      <c r="BH59" s="108">
        <v>57128</v>
      </c>
      <c r="BI59" s="108">
        <v>15973</v>
      </c>
      <c r="BJ59" s="108">
        <v>16458</v>
      </c>
      <c r="BK59" s="108">
        <v>390</v>
      </c>
      <c r="BL59" s="108">
        <v>431</v>
      </c>
      <c r="BM59" s="108">
        <v>50533</v>
      </c>
      <c r="BN59" s="108"/>
      <c r="BO59" s="108"/>
      <c r="BP59" s="108">
        <f t="shared" si="10"/>
        <v>234816</v>
      </c>
      <c r="BQ59" s="108">
        <f t="shared" si="10"/>
        <v>33926</v>
      </c>
      <c r="BR59" s="108">
        <f t="shared" si="10"/>
        <v>51009</v>
      </c>
      <c r="BS59" s="108">
        <f t="shared" si="10"/>
        <v>32649</v>
      </c>
      <c r="BT59" s="108">
        <f t="shared" si="10"/>
        <v>2555</v>
      </c>
      <c r="BU59" s="108">
        <f t="shared" si="34"/>
        <v>5099</v>
      </c>
      <c r="BV59" s="108">
        <f t="shared" si="35"/>
        <v>66140</v>
      </c>
      <c r="BW59" s="108"/>
      <c r="BX59" s="108">
        <f t="shared" si="35"/>
        <v>91942</v>
      </c>
      <c r="BY59" s="108">
        <f t="shared" si="35"/>
        <v>3712</v>
      </c>
      <c r="BZ59" s="108">
        <f t="shared" si="35"/>
        <v>67073</v>
      </c>
      <c r="CA59" s="108">
        <f t="shared" si="35"/>
        <v>136</v>
      </c>
      <c r="CB59" s="108">
        <f t="shared" si="18"/>
        <v>5452</v>
      </c>
      <c r="CC59" s="108">
        <f t="shared" si="19"/>
        <v>37804</v>
      </c>
      <c r="CD59" s="108"/>
      <c r="CE59" s="108"/>
      <c r="CF59" s="108">
        <v>325922</v>
      </c>
      <c r="CG59" s="108">
        <v>201320</v>
      </c>
      <c r="CH59" s="108">
        <v>7170</v>
      </c>
      <c r="CI59" s="108">
        <v>978</v>
      </c>
      <c r="CJ59" s="108">
        <v>182876</v>
      </c>
      <c r="CK59" s="108">
        <v>110356</v>
      </c>
      <c r="CL59" s="108">
        <f t="shared" si="2"/>
        <v>31710.93</v>
      </c>
      <c r="CM59" s="108">
        <f t="shared" si="3"/>
        <v>1.069999999999709</v>
      </c>
      <c r="CN59" s="108"/>
      <c r="CO59" s="108">
        <v>4710</v>
      </c>
      <c r="CP59" s="108">
        <v>4153</v>
      </c>
      <c r="CQ59" s="108">
        <v>8508</v>
      </c>
      <c r="CR59" s="108">
        <v>103</v>
      </c>
      <c r="CS59" s="108">
        <v>388</v>
      </c>
      <c r="CT59" s="108">
        <v>2151</v>
      </c>
      <c r="CU59" s="108">
        <v>1453</v>
      </c>
      <c r="CV59" s="108">
        <v>0</v>
      </c>
      <c r="CW59" s="108">
        <v>4712</v>
      </c>
      <c r="CX59" s="108">
        <v>234</v>
      </c>
      <c r="CY59" s="108">
        <v>4181</v>
      </c>
      <c r="CZ59" s="108">
        <v>18.93</v>
      </c>
      <c r="DA59" s="108">
        <v>342</v>
      </c>
      <c r="DB59" s="108">
        <v>757</v>
      </c>
      <c r="DC59" s="108"/>
      <c r="DD59" s="108">
        <v>138.85</v>
      </c>
      <c r="DE59" s="108"/>
      <c r="DF59" s="120">
        <f t="shared" si="20"/>
        <v>357605</v>
      </c>
      <c r="DG59" s="120">
        <f t="shared" si="33"/>
        <v>72939</v>
      </c>
      <c r="DH59" s="120">
        <f t="shared" si="21"/>
        <v>181175</v>
      </c>
      <c r="DI59" s="120">
        <f t="shared" si="36"/>
        <v>47975</v>
      </c>
      <c r="DJ59" s="120">
        <f t="shared" si="22"/>
        <v>10547</v>
      </c>
      <c r="DK59" s="120">
        <f t="shared" si="23"/>
        <v>18526</v>
      </c>
      <c r="DL59" s="120">
        <f t="shared" si="24"/>
        <v>114407</v>
      </c>
      <c r="DM59" s="120"/>
      <c r="DN59" s="120">
        <f t="shared" si="37"/>
        <v>153782</v>
      </c>
      <c r="DO59" s="120">
        <f t="shared" si="26"/>
        <v>19919</v>
      </c>
      <c r="DP59" s="120">
        <f t="shared" si="27"/>
        <v>87712</v>
      </c>
      <c r="DQ59" s="120">
        <f t="shared" si="28"/>
        <v>544.92999999999995</v>
      </c>
      <c r="DR59" s="120">
        <f t="shared" si="29"/>
        <v>6225</v>
      </c>
      <c r="DS59" s="120">
        <f t="shared" si="30"/>
        <v>89094</v>
      </c>
      <c r="DT59" s="120">
        <f t="shared" si="1"/>
        <v>994041</v>
      </c>
      <c r="DU59" s="120">
        <v>847005</v>
      </c>
      <c r="DV59" s="120"/>
      <c r="DW59" s="120"/>
      <c r="DX59" s="120">
        <f t="shared" si="31"/>
        <v>0.6</v>
      </c>
      <c r="DY59" s="120">
        <v>134655</v>
      </c>
      <c r="DZ59" s="120">
        <v>110405</v>
      </c>
      <c r="EA59" s="287">
        <f t="shared" si="13"/>
        <v>0.84420089669851905</v>
      </c>
    </row>
    <row r="60" spans="1:131" s="107" customFormat="1" ht="13">
      <c r="A60" s="113">
        <v>2002</v>
      </c>
      <c r="B60" s="108">
        <f t="shared" si="5"/>
        <v>4049188</v>
      </c>
      <c r="C60" s="109">
        <v>4061095</v>
      </c>
      <c r="D60" s="108">
        <v>1328771</v>
      </c>
      <c r="E60" s="108">
        <v>2720417</v>
      </c>
      <c r="F60" s="108"/>
      <c r="G60" s="108"/>
      <c r="H60" s="108"/>
      <c r="I60" s="111"/>
      <c r="J60" s="108"/>
      <c r="K60" s="108"/>
      <c r="L60" s="108">
        <f t="shared" si="32"/>
        <v>865742</v>
      </c>
      <c r="M60" s="108">
        <v>85039</v>
      </c>
      <c r="N60" s="108">
        <v>780703</v>
      </c>
      <c r="O60" s="108"/>
      <c r="P60" s="108">
        <v>1229676</v>
      </c>
      <c r="Q60" s="108">
        <v>444211</v>
      </c>
      <c r="R60" s="108">
        <v>785465</v>
      </c>
      <c r="S60" s="108">
        <v>1726351</v>
      </c>
      <c r="T60" s="108">
        <v>772393</v>
      </c>
      <c r="U60" s="108">
        <v>953958</v>
      </c>
      <c r="V60" s="108">
        <v>647615</v>
      </c>
      <c r="W60" s="108">
        <v>101244</v>
      </c>
      <c r="X60" s="108">
        <v>546371</v>
      </c>
      <c r="Y60" s="108">
        <f t="shared" si="6"/>
        <v>445546</v>
      </c>
      <c r="Z60" s="108">
        <f t="shared" si="7"/>
        <v>435591</v>
      </c>
      <c r="AA60" s="108">
        <v>9955</v>
      </c>
      <c r="AB60" s="108">
        <f t="shared" si="8"/>
        <v>10923</v>
      </c>
      <c r="AC60" s="108">
        <f t="shared" si="9"/>
        <v>434623</v>
      </c>
      <c r="AD60" s="108">
        <v>212628</v>
      </c>
      <c r="AE60" s="108">
        <v>2685</v>
      </c>
      <c r="AF60" s="108">
        <v>209943</v>
      </c>
      <c r="AG60" s="108">
        <v>72752</v>
      </c>
      <c r="AH60" s="108">
        <v>37867</v>
      </c>
      <c r="AI60" s="108">
        <v>34885</v>
      </c>
      <c r="AJ60" s="108"/>
      <c r="AK60" s="108">
        <v>444601</v>
      </c>
      <c r="AL60" s="108">
        <v>74532</v>
      </c>
      <c r="AM60" s="108">
        <v>157493</v>
      </c>
      <c r="AN60" s="108">
        <v>41296</v>
      </c>
      <c r="AO60" s="108">
        <v>8753</v>
      </c>
      <c r="AP60" s="108">
        <v>24829</v>
      </c>
      <c r="AQ60" s="108">
        <v>109324</v>
      </c>
      <c r="AR60" s="108"/>
      <c r="AS60" s="108">
        <v>180315</v>
      </c>
      <c r="AT60" s="108">
        <v>24288</v>
      </c>
      <c r="AU60" s="108">
        <v>65657</v>
      </c>
      <c r="AV60" s="108">
        <v>337</v>
      </c>
      <c r="AW60" s="108">
        <v>8738</v>
      </c>
      <c r="AX60" s="108">
        <v>89513</v>
      </c>
      <c r="AY60" s="108"/>
      <c r="AZ60" s="108">
        <v>102774</v>
      </c>
      <c r="BA60" s="108">
        <v>30848</v>
      </c>
      <c r="BB60" s="108">
        <v>96528</v>
      </c>
      <c r="BC60" s="108">
        <v>13238</v>
      </c>
      <c r="BD60" s="108">
        <v>4782</v>
      </c>
      <c r="BE60" s="108">
        <v>9634</v>
      </c>
      <c r="BF60" s="108">
        <v>39301</v>
      </c>
      <c r="BG60" s="108"/>
      <c r="BH60" s="108">
        <v>65171</v>
      </c>
      <c r="BI60" s="108">
        <v>14908</v>
      </c>
      <c r="BJ60" s="108">
        <v>14586</v>
      </c>
      <c r="BK60" s="108">
        <v>264</v>
      </c>
      <c r="BL60" s="108">
        <v>295</v>
      </c>
      <c r="BM60" s="108">
        <v>51882</v>
      </c>
      <c r="BN60" s="108"/>
      <c r="BO60" s="108"/>
      <c r="BP60" s="108">
        <f t="shared" si="10"/>
        <v>341827</v>
      </c>
      <c r="BQ60" s="108">
        <f t="shared" si="10"/>
        <v>43684</v>
      </c>
      <c r="BR60" s="108">
        <f t="shared" si="10"/>
        <v>60965</v>
      </c>
      <c r="BS60" s="108">
        <f t="shared" si="10"/>
        <v>28058</v>
      </c>
      <c r="BT60" s="108">
        <f t="shared" si="10"/>
        <v>3971</v>
      </c>
      <c r="BU60" s="108">
        <f t="shared" si="34"/>
        <v>15195</v>
      </c>
      <c r="BV60" s="108">
        <f t="shared" si="35"/>
        <v>70023</v>
      </c>
      <c r="BW60" s="108"/>
      <c r="BX60" s="108">
        <f t="shared" si="35"/>
        <v>115144</v>
      </c>
      <c r="BY60" s="108">
        <f t="shared" si="35"/>
        <v>9380</v>
      </c>
      <c r="BZ60" s="108">
        <f t="shared" si="35"/>
        <v>51071</v>
      </c>
      <c r="CA60" s="108">
        <f t="shared" si="35"/>
        <v>73</v>
      </c>
      <c r="CB60" s="108">
        <f t="shared" si="18"/>
        <v>8443</v>
      </c>
      <c r="CC60" s="108">
        <f t="shared" si="19"/>
        <v>37631</v>
      </c>
      <c r="CD60" s="108"/>
      <c r="CE60" s="108"/>
      <c r="CF60" s="108">
        <v>423977</v>
      </c>
      <c r="CG60" s="108">
        <v>241206</v>
      </c>
      <c r="CH60" s="108">
        <v>8676</v>
      </c>
      <c r="CI60" s="108">
        <v>1716</v>
      </c>
      <c r="CJ60" s="108">
        <v>221234</v>
      </c>
      <c r="CK60" s="108">
        <v>127269</v>
      </c>
      <c r="CL60" s="108">
        <f t="shared" si="2"/>
        <v>73757.95</v>
      </c>
      <c r="CM60" s="108">
        <f t="shared" si="3"/>
        <v>5.0000000002910383E-2</v>
      </c>
      <c r="CN60" s="108"/>
      <c r="CO60" s="108">
        <v>10906</v>
      </c>
      <c r="CP60" s="108">
        <v>10627</v>
      </c>
      <c r="CQ60" s="108">
        <v>12088</v>
      </c>
      <c r="CR60" s="108">
        <v>3017</v>
      </c>
      <c r="CS60" s="108">
        <v>467</v>
      </c>
      <c r="CT60" s="108">
        <v>2017</v>
      </c>
      <c r="CU60" s="108">
        <v>2081</v>
      </c>
      <c r="CV60" s="108">
        <v>0</v>
      </c>
      <c r="CW60" s="108">
        <v>11018</v>
      </c>
      <c r="CX60" s="108">
        <v>151</v>
      </c>
      <c r="CY60" s="108">
        <v>19042</v>
      </c>
      <c r="CZ60" s="108">
        <v>27.95</v>
      </c>
      <c r="DA60" s="108">
        <v>339</v>
      </c>
      <c r="DB60" s="108">
        <v>1977</v>
      </c>
      <c r="DC60" s="108"/>
      <c r="DD60" s="108">
        <v>520.23</v>
      </c>
      <c r="DE60" s="108"/>
      <c r="DF60" s="120">
        <f t="shared" si="20"/>
        <v>455507</v>
      </c>
      <c r="DG60" s="120">
        <f t="shared" si="33"/>
        <v>85159</v>
      </c>
      <c r="DH60" s="120">
        <f t="shared" si="21"/>
        <v>169581</v>
      </c>
      <c r="DI60" s="120">
        <f t="shared" si="36"/>
        <v>44313</v>
      </c>
      <c r="DJ60" s="120">
        <f t="shared" si="22"/>
        <v>9220</v>
      </c>
      <c r="DK60" s="120">
        <f t="shared" si="23"/>
        <v>26846</v>
      </c>
      <c r="DL60" s="120">
        <f t="shared" si="24"/>
        <v>111405</v>
      </c>
      <c r="DM60" s="120"/>
      <c r="DN60" s="120">
        <f t="shared" si="37"/>
        <v>191333</v>
      </c>
      <c r="DO60" s="120">
        <f t="shared" si="26"/>
        <v>24439</v>
      </c>
      <c r="DP60" s="120">
        <f t="shared" si="27"/>
        <v>84699</v>
      </c>
      <c r="DQ60" s="120">
        <f t="shared" si="28"/>
        <v>364.95</v>
      </c>
      <c r="DR60" s="120">
        <f t="shared" si="29"/>
        <v>9077</v>
      </c>
      <c r="DS60" s="120">
        <f t="shared" si="30"/>
        <v>91490</v>
      </c>
      <c r="DT60" s="120">
        <f t="shared" si="1"/>
        <v>1128443.3999999999</v>
      </c>
      <c r="DU60" s="120">
        <v>970359</v>
      </c>
      <c r="DV60" s="120"/>
      <c r="DW60" s="120"/>
      <c r="DX60" s="120">
        <f t="shared" si="31"/>
        <v>0.6</v>
      </c>
      <c r="DY60" s="120">
        <v>155876</v>
      </c>
      <c r="DZ60" s="120">
        <v>107598</v>
      </c>
      <c r="EA60" s="287">
        <f t="shared" si="13"/>
        <v>0.79033996914440785</v>
      </c>
    </row>
    <row r="61" spans="1:131" s="107" customFormat="1" ht="13">
      <c r="A61" s="113">
        <v>2003</v>
      </c>
      <c r="B61" s="108">
        <f t="shared" si="5"/>
        <v>4980769</v>
      </c>
      <c r="C61" s="109">
        <v>4990084</v>
      </c>
      <c r="D61" s="108">
        <v>1838879</v>
      </c>
      <c r="E61" s="108">
        <v>3141890</v>
      </c>
      <c r="F61" s="108"/>
      <c r="G61" s="108"/>
      <c r="H61" s="108"/>
      <c r="I61" s="111"/>
      <c r="J61" s="108"/>
      <c r="K61" s="108"/>
      <c r="L61" s="108">
        <f t="shared" si="32"/>
        <v>1112375</v>
      </c>
      <c r="M61" s="108">
        <v>124345</v>
      </c>
      <c r="N61" s="108">
        <v>988030</v>
      </c>
      <c r="O61" s="108"/>
      <c r="P61" s="108">
        <v>1620969</v>
      </c>
      <c r="Q61" s="108">
        <v>636168</v>
      </c>
      <c r="R61" s="108">
        <v>984801</v>
      </c>
      <c r="S61" s="108">
        <v>2228963</v>
      </c>
      <c r="T61" s="108">
        <v>1049518</v>
      </c>
      <c r="U61" s="108">
        <v>1179445</v>
      </c>
      <c r="V61" s="108">
        <v>824444</v>
      </c>
      <c r="W61" s="108">
        <v>149516</v>
      </c>
      <c r="X61" s="108">
        <v>674928</v>
      </c>
      <c r="Y61" s="108">
        <f t="shared" si="6"/>
        <v>306393</v>
      </c>
      <c r="Z61" s="108">
        <f t="shared" si="7"/>
        <v>289865</v>
      </c>
      <c r="AA61" s="108">
        <v>16528</v>
      </c>
      <c r="AB61" s="108">
        <f t="shared" si="8"/>
        <v>3677</v>
      </c>
      <c r="AC61" s="108">
        <f t="shared" si="9"/>
        <v>302716</v>
      </c>
      <c r="AD61" s="108">
        <v>294398</v>
      </c>
      <c r="AE61" s="108">
        <v>2419</v>
      </c>
      <c r="AF61" s="108">
        <v>291979</v>
      </c>
      <c r="AG61" s="108">
        <v>87464</v>
      </c>
      <c r="AH61" s="108">
        <v>57596</v>
      </c>
      <c r="AI61" s="108">
        <v>29868</v>
      </c>
      <c r="AJ61" s="108"/>
      <c r="AK61" s="108">
        <v>597929</v>
      </c>
      <c r="AL61" s="108">
        <v>110293</v>
      </c>
      <c r="AM61" s="108">
        <v>202698</v>
      </c>
      <c r="AN61" s="108">
        <v>41583</v>
      </c>
      <c r="AO61" s="108">
        <v>10510</v>
      </c>
      <c r="AP61" s="108">
        <v>19477</v>
      </c>
      <c r="AQ61" s="108">
        <v>160299</v>
      </c>
      <c r="AR61" s="108"/>
      <c r="AS61" s="108">
        <v>260092</v>
      </c>
      <c r="AT61" s="108">
        <v>29155</v>
      </c>
      <c r="AU61" s="108">
        <v>68722</v>
      </c>
      <c r="AV61" s="108">
        <v>398</v>
      </c>
      <c r="AW61" s="108">
        <v>7800</v>
      </c>
      <c r="AX61" s="108">
        <v>112013</v>
      </c>
      <c r="AY61" s="108"/>
      <c r="AZ61" s="108">
        <v>140251</v>
      </c>
      <c r="BA61" s="108">
        <v>49603</v>
      </c>
      <c r="BB61" s="108">
        <v>123498</v>
      </c>
      <c r="BC61" s="108">
        <v>17144</v>
      </c>
      <c r="BD61" s="108">
        <v>5844</v>
      </c>
      <c r="BE61" s="108">
        <v>12208</v>
      </c>
      <c r="BF61" s="108">
        <v>52386</v>
      </c>
      <c r="BG61" s="108"/>
      <c r="BH61" s="108">
        <v>116663</v>
      </c>
      <c r="BI61" s="108">
        <v>22007</v>
      </c>
      <c r="BJ61" s="108">
        <v>20808</v>
      </c>
      <c r="BK61" s="108">
        <v>309</v>
      </c>
      <c r="BL61" s="108">
        <v>931</v>
      </c>
      <c r="BM61" s="108">
        <v>74516</v>
      </c>
      <c r="BN61" s="108"/>
      <c r="BO61" s="108"/>
      <c r="BP61" s="108">
        <f t="shared" si="10"/>
        <v>457678</v>
      </c>
      <c r="BQ61" s="108">
        <f t="shared" si="10"/>
        <v>60690</v>
      </c>
      <c r="BR61" s="108">
        <f t="shared" si="10"/>
        <v>79200</v>
      </c>
      <c r="BS61" s="108">
        <f t="shared" si="10"/>
        <v>24439</v>
      </c>
      <c r="BT61" s="108">
        <f t="shared" si="10"/>
        <v>4666</v>
      </c>
      <c r="BU61" s="108">
        <f t="shared" si="34"/>
        <v>7269</v>
      </c>
      <c r="BV61" s="108">
        <f t="shared" si="35"/>
        <v>107913</v>
      </c>
      <c r="BW61" s="108"/>
      <c r="BX61" s="108">
        <f t="shared" si="35"/>
        <v>143429</v>
      </c>
      <c r="BY61" s="108">
        <f t="shared" si="35"/>
        <v>7148</v>
      </c>
      <c r="BZ61" s="108">
        <f t="shared" si="35"/>
        <v>47914</v>
      </c>
      <c r="CA61" s="108">
        <f t="shared" si="35"/>
        <v>89</v>
      </c>
      <c r="CB61" s="108">
        <f t="shared" si="18"/>
        <v>6869</v>
      </c>
      <c r="CC61" s="108">
        <f t="shared" si="19"/>
        <v>37497</v>
      </c>
      <c r="CD61" s="108"/>
      <c r="CE61" s="108"/>
      <c r="CF61" s="108">
        <v>461571</v>
      </c>
      <c r="CG61" s="108">
        <v>284119</v>
      </c>
      <c r="CH61" s="108">
        <v>0</v>
      </c>
      <c r="CI61" s="108">
        <v>1572</v>
      </c>
      <c r="CJ61" s="108">
        <v>175899</v>
      </c>
      <c r="CK61" s="108">
        <v>130735</v>
      </c>
      <c r="CL61" s="108">
        <f t="shared" si="2"/>
        <v>120870</v>
      </c>
      <c r="CM61" s="108">
        <f t="shared" si="3"/>
        <v>32495</v>
      </c>
      <c r="CN61" s="108"/>
      <c r="CO61" s="108">
        <v>17376</v>
      </c>
      <c r="CP61" s="108">
        <v>25336</v>
      </c>
      <c r="CQ61" s="108">
        <v>11198</v>
      </c>
      <c r="CR61" s="108">
        <v>621</v>
      </c>
      <c r="CS61" s="108">
        <v>638</v>
      </c>
      <c r="CT61" s="108">
        <v>1802</v>
      </c>
      <c r="CU61" s="108">
        <v>17204</v>
      </c>
      <c r="CV61" s="108"/>
      <c r="CW61" s="108">
        <v>16419</v>
      </c>
      <c r="CX61" s="108">
        <v>582</v>
      </c>
      <c r="CY61" s="108">
        <v>25090</v>
      </c>
      <c r="CZ61" s="108">
        <v>0</v>
      </c>
      <c r="DA61" s="108">
        <v>329</v>
      </c>
      <c r="DB61" s="108">
        <v>4275</v>
      </c>
      <c r="DC61" s="108">
        <v>0</v>
      </c>
      <c r="DD61" s="108">
        <v>1979</v>
      </c>
      <c r="DE61" s="108"/>
      <c r="DF61" s="120">
        <f t="shared" si="20"/>
        <v>615305</v>
      </c>
      <c r="DG61" s="120">
        <f t="shared" si="33"/>
        <v>135629</v>
      </c>
      <c r="DH61" s="120">
        <f t="shared" si="21"/>
        <v>213896</v>
      </c>
      <c r="DI61" s="120">
        <f t="shared" si="36"/>
        <v>42204</v>
      </c>
      <c r="DJ61" s="120">
        <f t="shared" si="22"/>
        <v>11148</v>
      </c>
      <c r="DK61" s="120">
        <f t="shared" si="23"/>
        <v>21279</v>
      </c>
      <c r="DL61" s="120">
        <f t="shared" si="24"/>
        <v>177503</v>
      </c>
      <c r="DM61" s="120"/>
      <c r="DN61" s="120">
        <f t="shared" si="37"/>
        <v>276511</v>
      </c>
      <c r="DO61" s="120">
        <f t="shared" si="26"/>
        <v>29737</v>
      </c>
      <c r="DP61" s="120">
        <f t="shared" si="27"/>
        <v>93812</v>
      </c>
      <c r="DQ61" s="120">
        <f t="shared" si="28"/>
        <v>398</v>
      </c>
      <c r="DR61" s="120">
        <f t="shared" si="29"/>
        <v>8129</v>
      </c>
      <c r="DS61" s="120">
        <f t="shared" si="30"/>
        <v>116288</v>
      </c>
      <c r="DT61" s="120">
        <f t="shared" si="1"/>
        <v>1402285.8</v>
      </c>
      <c r="DU61" s="120">
        <v>1186500</v>
      </c>
      <c r="DV61" s="120"/>
      <c r="DW61" s="120"/>
      <c r="DX61" s="120">
        <f t="shared" si="31"/>
        <v>0.6</v>
      </c>
      <c r="DY61" s="120">
        <v>201054</v>
      </c>
      <c r="DZ61" s="120">
        <v>158589</v>
      </c>
      <c r="EA61" s="287">
        <f t="shared" si="13"/>
        <v>0.78407077413944226</v>
      </c>
    </row>
    <row r="62" spans="1:131" s="107" customFormat="1" ht="13">
      <c r="A62" s="113">
        <v>2004</v>
      </c>
      <c r="B62" s="108">
        <f t="shared" si="5"/>
        <v>5971914</v>
      </c>
      <c r="C62" s="109">
        <v>5989858</v>
      </c>
      <c r="D62" s="108">
        <v>2124358</v>
      </c>
      <c r="E62" s="108">
        <v>3847556</v>
      </c>
      <c r="F62" s="108"/>
      <c r="G62" s="108"/>
      <c r="H62" s="108"/>
      <c r="I62" s="111"/>
      <c r="J62" s="108"/>
      <c r="K62" s="108"/>
      <c r="L62" s="108">
        <f t="shared" si="32"/>
        <v>1474080</v>
      </c>
      <c r="M62" s="108">
        <v>161671</v>
      </c>
      <c r="N62" s="108">
        <v>1312409</v>
      </c>
      <c r="O62" s="108"/>
      <c r="P62" s="108">
        <v>1927576</v>
      </c>
      <c r="Q62" s="108">
        <v>718875</v>
      </c>
      <c r="R62" s="108">
        <v>1208701</v>
      </c>
      <c r="S62" s="108">
        <v>2759035</v>
      </c>
      <c r="T62" s="108">
        <v>1217767</v>
      </c>
      <c r="U62" s="108">
        <v>1541268</v>
      </c>
      <c r="V62" s="108">
        <v>1068517</v>
      </c>
      <c r="W62" s="108">
        <v>184802</v>
      </c>
      <c r="X62" s="108">
        <v>883715</v>
      </c>
      <c r="Y62" s="108">
        <f t="shared" si="6"/>
        <v>216786</v>
      </c>
      <c r="Z62" s="108">
        <f t="shared" ref="Z62:Z70" si="38">Y62-AA62</f>
        <v>183605</v>
      </c>
      <c r="AA62" s="108">
        <v>33181</v>
      </c>
      <c r="AB62" s="108">
        <f t="shared" si="8"/>
        <v>2914</v>
      </c>
      <c r="AC62" s="108">
        <f t="shared" si="9"/>
        <v>213872</v>
      </c>
      <c r="AD62" s="108">
        <v>405005</v>
      </c>
      <c r="AE62" s="108">
        <v>2763</v>
      </c>
      <c r="AF62" s="108">
        <v>402242</v>
      </c>
      <c r="AG62" s="108">
        <v>127102</v>
      </c>
      <c r="AH62" s="108">
        <v>78807</v>
      </c>
      <c r="AI62" s="108">
        <v>48295</v>
      </c>
      <c r="AJ62" s="108"/>
      <c r="AK62" s="108">
        <v>724244</v>
      </c>
      <c r="AL62" s="108">
        <v>131079</v>
      </c>
      <c r="AM62" s="108">
        <v>232900</v>
      </c>
      <c r="AN62" s="108">
        <v>51742</v>
      </c>
      <c r="AO62" s="108">
        <v>11090</v>
      </c>
      <c r="AP62" s="108">
        <v>21586</v>
      </c>
      <c r="AQ62" s="108">
        <v>153103</v>
      </c>
      <c r="AR62" s="108"/>
      <c r="AS62" s="108">
        <v>367293</v>
      </c>
      <c r="AT62" s="108">
        <v>28083</v>
      </c>
      <c r="AU62" s="108">
        <v>67742</v>
      </c>
      <c r="AV62" s="108">
        <v>384</v>
      </c>
      <c r="AW62" s="108">
        <v>10221</v>
      </c>
      <c r="AX62" s="108">
        <v>128109</v>
      </c>
      <c r="AY62" s="108"/>
      <c r="AZ62" s="108">
        <v>162357</v>
      </c>
      <c r="BA62" s="108">
        <v>57190</v>
      </c>
      <c r="BB62" s="108">
        <v>134546</v>
      </c>
      <c r="BC62" s="108">
        <v>19289</v>
      </c>
      <c r="BD62" s="108">
        <v>6167</v>
      </c>
      <c r="BE62" s="108">
        <v>13242</v>
      </c>
      <c r="BF62" s="108">
        <v>57088</v>
      </c>
      <c r="BG62" s="108"/>
      <c r="BH62" s="108">
        <v>139966</v>
      </c>
      <c r="BI62" s="108">
        <v>23294</v>
      </c>
      <c r="BJ62" s="108">
        <v>23013</v>
      </c>
      <c r="BK62" s="108">
        <v>293</v>
      </c>
      <c r="BL62" s="108">
        <v>1148</v>
      </c>
      <c r="BM62" s="108">
        <v>81282</v>
      </c>
      <c r="BN62" s="108"/>
      <c r="BO62" s="108"/>
      <c r="BP62" s="108">
        <f t="shared" si="10"/>
        <v>561887</v>
      </c>
      <c r="BQ62" s="108">
        <f t="shared" si="10"/>
        <v>73889</v>
      </c>
      <c r="BR62" s="108">
        <f t="shared" si="10"/>
        <v>98354</v>
      </c>
      <c r="BS62" s="108">
        <f t="shared" si="10"/>
        <v>32453</v>
      </c>
      <c r="BT62" s="108">
        <f t="shared" si="10"/>
        <v>4923</v>
      </c>
      <c r="BU62" s="108">
        <f t="shared" si="34"/>
        <v>8344</v>
      </c>
      <c r="BV62" s="108">
        <f t="shared" si="35"/>
        <v>96015</v>
      </c>
      <c r="BW62" s="108"/>
      <c r="BX62" s="108">
        <f t="shared" si="35"/>
        <v>227327</v>
      </c>
      <c r="BY62" s="108">
        <f t="shared" si="35"/>
        <v>4789</v>
      </c>
      <c r="BZ62" s="108">
        <f t="shared" si="35"/>
        <v>44729</v>
      </c>
      <c r="CA62" s="108">
        <f t="shared" si="35"/>
        <v>91</v>
      </c>
      <c r="CB62" s="108">
        <f t="shared" si="18"/>
        <v>9073</v>
      </c>
      <c r="CC62" s="108">
        <f t="shared" si="19"/>
        <v>46827</v>
      </c>
      <c r="CD62" s="108"/>
      <c r="CE62" s="108"/>
      <c r="CF62" s="108">
        <v>633952</v>
      </c>
      <c r="CG62" s="108">
        <v>370070</v>
      </c>
      <c r="CH62" s="108">
        <v>0</v>
      </c>
      <c r="CI62" s="108">
        <v>5291</v>
      </c>
      <c r="CJ62" s="108">
        <v>191922</v>
      </c>
      <c r="CK62" s="108">
        <v>193826</v>
      </c>
      <c r="CL62" s="108">
        <f t="shared" si="2"/>
        <v>190048</v>
      </c>
      <c r="CM62" s="108">
        <f t="shared" si="3"/>
        <v>52865</v>
      </c>
      <c r="CN62" s="108"/>
      <c r="CO62" s="108">
        <v>32863</v>
      </c>
      <c r="CP62" s="108">
        <v>53332</v>
      </c>
      <c r="CQ62" s="108">
        <v>9253</v>
      </c>
      <c r="CR62" s="108">
        <v>1239</v>
      </c>
      <c r="CS62" s="108">
        <v>886</v>
      </c>
      <c r="CT62" s="108">
        <v>2199</v>
      </c>
      <c r="CU62" s="108">
        <v>19339</v>
      </c>
      <c r="CV62" s="108"/>
      <c r="CW62" s="108">
        <v>34008</v>
      </c>
      <c r="CX62" s="108">
        <v>2478</v>
      </c>
      <c r="CY62" s="108">
        <v>25341</v>
      </c>
      <c r="CZ62" s="108">
        <v>0</v>
      </c>
      <c r="DA62" s="108">
        <v>1333</v>
      </c>
      <c r="DB62" s="108">
        <v>7777</v>
      </c>
      <c r="DC62" s="108">
        <v>0</v>
      </c>
      <c r="DD62" s="108">
        <v>38178</v>
      </c>
      <c r="DE62" s="108"/>
      <c r="DF62" s="120">
        <f t="shared" si="20"/>
        <v>757107</v>
      </c>
      <c r="DG62" s="120">
        <f t="shared" si="33"/>
        <v>184411</v>
      </c>
      <c r="DH62" s="120">
        <f t="shared" si="21"/>
        <v>242153</v>
      </c>
      <c r="DI62" s="120">
        <f t="shared" si="36"/>
        <v>52981</v>
      </c>
      <c r="DJ62" s="120">
        <f t="shared" si="22"/>
        <v>11976</v>
      </c>
      <c r="DK62" s="120">
        <f t="shared" si="23"/>
        <v>23785</v>
      </c>
      <c r="DL62" s="120">
        <f t="shared" si="24"/>
        <v>172442</v>
      </c>
      <c r="DM62" s="120"/>
      <c r="DN62" s="120">
        <f t="shared" si="37"/>
        <v>401301</v>
      </c>
      <c r="DO62" s="120">
        <f t="shared" si="26"/>
        <v>30561</v>
      </c>
      <c r="DP62" s="120">
        <f t="shared" si="27"/>
        <v>93083</v>
      </c>
      <c r="DQ62" s="120">
        <f t="shared" si="28"/>
        <v>384</v>
      </c>
      <c r="DR62" s="120">
        <f t="shared" si="29"/>
        <v>11554</v>
      </c>
      <c r="DS62" s="120">
        <f t="shared" si="30"/>
        <v>135886</v>
      </c>
      <c r="DT62" s="120">
        <f t="shared" si="1"/>
        <v>1801361.6</v>
      </c>
      <c r="DU62" s="120">
        <v>1509986</v>
      </c>
      <c r="DV62" s="120"/>
      <c r="DW62" s="120"/>
      <c r="DX62" s="120">
        <f t="shared" si="31"/>
        <v>0.6</v>
      </c>
      <c r="DY62" s="120">
        <v>270387</v>
      </c>
      <c r="DZ62" s="120">
        <v>215239</v>
      </c>
      <c r="EA62" s="287">
        <f t="shared" si="13"/>
        <v>0.75112317005747098</v>
      </c>
    </row>
    <row r="63" spans="1:131" s="107" customFormat="1" ht="13">
      <c r="A63" s="113">
        <v>2005</v>
      </c>
      <c r="B63" s="108">
        <f t="shared" si="5"/>
        <v>6733316</v>
      </c>
      <c r="C63" s="109">
        <v>6815895</v>
      </c>
      <c r="D63" s="108">
        <v>2308934</v>
      </c>
      <c r="E63" s="108">
        <v>4424382</v>
      </c>
      <c r="F63" s="108"/>
      <c r="G63" s="108"/>
      <c r="H63" s="108"/>
      <c r="I63" s="111"/>
      <c r="J63" s="108"/>
      <c r="K63" s="108"/>
      <c r="L63" s="108">
        <f t="shared" si="32"/>
        <v>1799772</v>
      </c>
      <c r="M63" s="108">
        <v>196147</v>
      </c>
      <c r="N63" s="108">
        <v>1603625</v>
      </c>
      <c r="O63" s="108"/>
      <c r="P63" s="108">
        <v>2168856</v>
      </c>
      <c r="Q63" s="108">
        <v>811401</v>
      </c>
      <c r="R63" s="108">
        <v>1357455</v>
      </c>
      <c r="S63" s="108">
        <v>2986688</v>
      </c>
      <c r="T63" s="108">
        <v>1283730</v>
      </c>
      <c r="U63" s="108">
        <v>1702958</v>
      </c>
      <c r="V63" s="108">
        <v>1374020</v>
      </c>
      <c r="W63" s="108">
        <v>209927</v>
      </c>
      <c r="X63" s="108">
        <v>1164093</v>
      </c>
      <c r="Y63" s="108">
        <f t="shared" si="6"/>
        <v>203752</v>
      </c>
      <c r="Z63" s="108">
        <f t="shared" si="38"/>
        <v>160812</v>
      </c>
      <c r="AA63" s="108">
        <v>42940</v>
      </c>
      <c r="AB63" s="108">
        <f t="shared" si="8"/>
        <v>3876</v>
      </c>
      <c r="AC63" s="108">
        <f t="shared" si="9"/>
        <v>199876</v>
      </c>
      <c r="AD63" s="108">
        <v>578666</v>
      </c>
      <c r="AE63" s="108">
        <v>3268</v>
      </c>
      <c r="AF63" s="108">
        <v>575398</v>
      </c>
      <c r="AG63" s="108">
        <v>162564</v>
      </c>
      <c r="AH63" s="108">
        <v>94874</v>
      </c>
      <c r="AI63" s="108">
        <v>67690</v>
      </c>
      <c r="AJ63" s="108"/>
      <c r="AK63" s="108">
        <v>794031</v>
      </c>
      <c r="AL63" s="108">
        <v>152632</v>
      </c>
      <c r="AM63" s="108">
        <v>240867</v>
      </c>
      <c r="AN63" s="108">
        <v>59347</v>
      </c>
      <c r="AO63" s="108">
        <v>10184</v>
      </c>
      <c r="AP63" s="108">
        <v>39764</v>
      </c>
      <c r="AQ63" s="108">
        <v>178769</v>
      </c>
      <c r="AR63" s="108"/>
      <c r="AS63" s="108">
        <v>416308</v>
      </c>
      <c r="AT63" s="108">
        <v>29482</v>
      </c>
      <c r="AU63" s="108">
        <v>82389</v>
      </c>
      <c r="AV63" s="108">
        <v>383</v>
      </c>
      <c r="AW63" s="108">
        <v>15173</v>
      </c>
      <c r="AX63" s="108">
        <v>149527</v>
      </c>
      <c r="AY63" s="108"/>
      <c r="AZ63" s="108">
        <v>192951</v>
      </c>
      <c r="BA63" s="108">
        <v>64054</v>
      </c>
      <c r="BB63" s="108">
        <v>142574</v>
      </c>
      <c r="BC63" s="108">
        <v>19939</v>
      </c>
      <c r="BD63" s="108">
        <v>4919</v>
      </c>
      <c r="BE63" s="108">
        <v>14391</v>
      </c>
      <c r="BF63" s="108">
        <v>59765</v>
      </c>
      <c r="BG63" s="108"/>
      <c r="BH63" s="108">
        <v>165426</v>
      </c>
      <c r="BI63" s="108">
        <v>26608</v>
      </c>
      <c r="BJ63" s="108">
        <v>23198</v>
      </c>
      <c r="BK63" s="108">
        <v>299</v>
      </c>
      <c r="BL63" s="108">
        <v>667</v>
      </c>
      <c r="BM63" s="108">
        <v>96610</v>
      </c>
      <c r="BN63" s="108"/>
      <c r="BO63" s="108"/>
      <c r="BP63" s="108">
        <f t="shared" si="10"/>
        <v>601080</v>
      </c>
      <c r="BQ63" s="108">
        <f t="shared" si="10"/>
        <v>88578</v>
      </c>
      <c r="BR63" s="108">
        <f t="shared" si="10"/>
        <v>98293</v>
      </c>
      <c r="BS63" s="108">
        <f t="shared" si="10"/>
        <v>39408</v>
      </c>
      <c r="BT63" s="108">
        <f t="shared" si="10"/>
        <v>5265</v>
      </c>
      <c r="BU63" s="108">
        <f t="shared" si="34"/>
        <v>25373</v>
      </c>
      <c r="BV63" s="108">
        <f t="shared" si="35"/>
        <v>119004</v>
      </c>
      <c r="BW63" s="108"/>
      <c r="BX63" s="108">
        <f t="shared" si="35"/>
        <v>250882</v>
      </c>
      <c r="BY63" s="108">
        <f t="shared" si="35"/>
        <v>2874</v>
      </c>
      <c r="BZ63" s="108">
        <f t="shared" si="35"/>
        <v>59191</v>
      </c>
      <c r="CA63" s="108">
        <f t="shared" si="35"/>
        <v>84</v>
      </c>
      <c r="CB63" s="108">
        <f t="shared" si="18"/>
        <v>14506</v>
      </c>
      <c r="CC63" s="108">
        <f t="shared" si="19"/>
        <v>52917</v>
      </c>
      <c r="CD63" s="108"/>
      <c r="CE63" s="108"/>
      <c r="CF63" s="108">
        <v>579441</v>
      </c>
      <c r="CG63" s="108">
        <v>327526</v>
      </c>
      <c r="CH63" s="108">
        <v>0</v>
      </c>
      <c r="CI63" s="108">
        <v>5181</v>
      </c>
      <c r="CJ63" s="108">
        <v>164351</v>
      </c>
      <c r="CK63" s="108">
        <v>184931</v>
      </c>
      <c r="CL63" s="108">
        <f t="shared" si="2"/>
        <v>165819</v>
      </c>
      <c r="CM63" s="108">
        <f t="shared" si="3"/>
        <v>59159</v>
      </c>
      <c r="CN63" s="108"/>
      <c r="CO63" s="108">
        <v>33495</v>
      </c>
      <c r="CP63" s="108">
        <v>53277</v>
      </c>
      <c r="CQ63" s="108">
        <v>9306</v>
      </c>
      <c r="CR63" s="108">
        <v>2280</v>
      </c>
      <c r="CS63" s="108">
        <v>1398</v>
      </c>
      <c r="CT63" s="108">
        <v>2066</v>
      </c>
      <c r="CU63" s="108">
        <v>16431</v>
      </c>
      <c r="CV63" s="108"/>
      <c r="CW63" s="108">
        <v>24630</v>
      </c>
      <c r="CX63" s="108">
        <v>2601</v>
      </c>
      <c r="CY63" s="108">
        <v>16216</v>
      </c>
      <c r="CZ63" s="108">
        <v>0</v>
      </c>
      <c r="DA63" s="108">
        <v>700</v>
      </c>
      <c r="DB63" s="108">
        <v>3419</v>
      </c>
      <c r="DC63" s="108">
        <v>0</v>
      </c>
      <c r="DD63" s="108">
        <v>28447</v>
      </c>
      <c r="DE63" s="108"/>
      <c r="DF63" s="120">
        <f t="shared" si="20"/>
        <v>827526</v>
      </c>
      <c r="DG63" s="120">
        <f t="shared" si="33"/>
        <v>205909</v>
      </c>
      <c r="DH63" s="120">
        <f t="shared" si="21"/>
        <v>250173</v>
      </c>
      <c r="DI63" s="120">
        <f t="shared" si="36"/>
        <v>61627</v>
      </c>
      <c r="DJ63" s="120">
        <f t="shared" si="22"/>
        <v>11582</v>
      </c>
      <c r="DK63" s="120">
        <f t="shared" si="23"/>
        <v>41830</v>
      </c>
      <c r="DL63" s="120">
        <f t="shared" si="24"/>
        <v>195200</v>
      </c>
      <c r="DM63" s="120"/>
      <c r="DN63" s="120">
        <f t="shared" si="37"/>
        <v>440938</v>
      </c>
      <c r="DO63" s="120">
        <f t="shared" si="26"/>
        <v>32083</v>
      </c>
      <c r="DP63" s="120">
        <f t="shared" si="27"/>
        <v>98605</v>
      </c>
      <c r="DQ63" s="120">
        <f t="shared" si="28"/>
        <v>383</v>
      </c>
      <c r="DR63" s="120">
        <f t="shared" si="29"/>
        <v>15873</v>
      </c>
      <c r="DS63" s="120">
        <f t="shared" si="30"/>
        <v>152946</v>
      </c>
      <c r="DT63" s="120">
        <f t="shared" si="1"/>
        <v>2064332.8</v>
      </c>
      <c r="DU63" s="120">
        <v>1725193</v>
      </c>
      <c r="DV63" s="120"/>
      <c r="DW63" s="120"/>
      <c r="DX63" s="120">
        <f t="shared" si="31"/>
        <v>0.6</v>
      </c>
      <c r="DY63" s="120">
        <v>296647</v>
      </c>
      <c r="DZ63" s="120">
        <v>268586</v>
      </c>
      <c r="EA63" s="287">
        <f t="shared" si="13"/>
        <v>0.73029495208238704</v>
      </c>
    </row>
    <row r="64" spans="1:131" s="107" customFormat="1" ht="13">
      <c r="A64" s="113">
        <v>2006</v>
      </c>
      <c r="B64" s="108">
        <f t="shared" si="5"/>
        <v>8221738</v>
      </c>
      <c r="C64" s="109">
        <v>8293116</v>
      </c>
      <c r="D64" s="108">
        <v>2787343</v>
      </c>
      <c r="E64" s="108">
        <v>5434395</v>
      </c>
      <c r="F64" s="108"/>
      <c r="G64" s="108"/>
      <c r="H64" s="108"/>
      <c r="I64" s="111"/>
      <c r="J64" s="108"/>
      <c r="K64" s="108"/>
      <c r="L64" s="108">
        <f t="shared" si="32"/>
        <v>2326348</v>
      </c>
      <c r="M64" s="108">
        <v>240103</v>
      </c>
      <c r="N64" s="108">
        <v>2086245</v>
      </c>
      <c r="O64" s="108"/>
      <c r="P64" s="108">
        <v>2725488</v>
      </c>
      <c r="Q64" s="108">
        <v>972274</v>
      </c>
      <c r="R64" s="108">
        <v>1753214</v>
      </c>
      <c r="S64" s="108">
        <v>3492571</v>
      </c>
      <c r="T64" s="108">
        <v>1534507</v>
      </c>
      <c r="U64" s="108">
        <v>1958064</v>
      </c>
      <c r="V64" s="108">
        <v>1802200</v>
      </c>
      <c r="W64" s="108">
        <v>277914</v>
      </c>
      <c r="X64" s="108">
        <v>1524286</v>
      </c>
      <c r="Y64" s="108">
        <f t="shared" si="6"/>
        <v>201479</v>
      </c>
      <c r="Z64" s="108">
        <f t="shared" si="38"/>
        <v>160457</v>
      </c>
      <c r="AA64" s="108">
        <v>41022</v>
      </c>
      <c r="AB64" s="108">
        <f t="shared" si="8"/>
        <v>2648</v>
      </c>
      <c r="AC64" s="108">
        <f t="shared" si="9"/>
        <v>198831</v>
      </c>
      <c r="AD64" s="108">
        <v>786415</v>
      </c>
      <c r="AE64" s="108">
        <v>14117</v>
      </c>
      <c r="AF64" s="108">
        <v>772298</v>
      </c>
      <c r="AG64" s="108">
        <v>230462</v>
      </c>
      <c r="AH64" s="108">
        <v>127899</v>
      </c>
      <c r="AI64" s="108">
        <v>102563</v>
      </c>
      <c r="AJ64" s="108"/>
      <c r="AK64" s="108">
        <v>971096</v>
      </c>
      <c r="AL64" s="108">
        <v>215470</v>
      </c>
      <c r="AM64" s="108">
        <v>296029</v>
      </c>
      <c r="AN64" s="108">
        <v>66902</v>
      </c>
      <c r="AO64" s="108">
        <v>10010</v>
      </c>
      <c r="AP64" s="108">
        <v>30144</v>
      </c>
      <c r="AQ64" s="108">
        <v>204512</v>
      </c>
      <c r="AR64" s="108"/>
      <c r="AS64" s="108">
        <v>604505</v>
      </c>
      <c r="AT64" s="108">
        <v>32821</v>
      </c>
      <c r="AU64" s="108">
        <v>110138</v>
      </c>
      <c r="AV64" s="108">
        <v>429</v>
      </c>
      <c r="AW64" s="108">
        <v>18214</v>
      </c>
      <c r="AX64" s="108">
        <v>165218</v>
      </c>
      <c r="AY64" s="108"/>
      <c r="AZ64" s="108">
        <v>243310</v>
      </c>
      <c r="BA64" s="108">
        <v>75217</v>
      </c>
      <c r="BB64" s="108">
        <v>166745</v>
      </c>
      <c r="BC64" s="108">
        <v>20406</v>
      </c>
      <c r="BD64" s="108">
        <v>4638</v>
      </c>
      <c r="BE64" s="108">
        <v>14756</v>
      </c>
      <c r="BF64" s="108">
        <v>72932</v>
      </c>
      <c r="BG64" s="108"/>
      <c r="BH64" s="108">
        <v>220741</v>
      </c>
      <c r="BI64" s="108">
        <v>25669</v>
      </c>
      <c r="BJ64" s="108">
        <v>20827</v>
      </c>
      <c r="BK64" s="108">
        <v>368</v>
      </c>
      <c r="BL64" s="108">
        <v>779</v>
      </c>
      <c r="BM64" s="108">
        <v>105886</v>
      </c>
      <c r="BN64" s="108"/>
      <c r="BO64" s="108"/>
      <c r="BP64" s="108">
        <f t="shared" si="10"/>
        <v>727786</v>
      </c>
      <c r="BQ64" s="108">
        <f t="shared" si="10"/>
        <v>140253</v>
      </c>
      <c r="BR64" s="108">
        <f t="shared" si="10"/>
        <v>129284</v>
      </c>
      <c r="BS64" s="108">
        <f t="shared" si="10"/>
        <v>46496</v>
      </c>
      <c r="BT64" s="108">
        <f t="shared" si="10"/>
        <v>5372</v>
      </c>
      <c r="BU64" s="108">
        <f t="shared" si="34"/>
        <v>15388</v>
      </c>
      <c r="BV64" s="108">
        <f t="shared" si="35"/>
        <v>131580</v>
      </c>
      <c r="BW64" s="108"/>
      <c r="BX64" s="108">
        <f t="shared" si="35"/>
        <v>383764</v>
      </c>
      <c r="BY64" s="108">
        <f t="shared" si="35"/>
        <v>7152</v>
      </c>
      <c r="BZ64" s="108">
        <f t="shared" si="35"/>
        <v>89311</v>
      </c>
      <c r="CA64" s="108">
        <f t="shared" si="35"/>
        <v>61</v>
      </c>
      <c r="CB64" s="108">
        <f t="shared" si="18"/>
        <v>17435</v>
      </c>
      <c r="CC64" s="108">
        <f t="shared" si="19"/>
        <v>59332</v>
      </c>
      <c r="CD64" s="108"/>
      <c r="CE64" s="108"/>
      <c r="CF64" s="108">
        <v>622618</v>
      </c>
      <c r="CG64" s="108">
        <v>282702</v>
      </c>
      <c r="CH64" s="108">
        <v>0</v>
      </c>
      <c r="CI64" s="108">
        <v>3655</v>
      </c>
      <c r="CJ64" s="108">
        <v>165287</v>
      </c>
      <c r="CK64" s="108">
        <v>167291</v>
      </c>
      <c r="CL64" s="108">
        <f t="shared" si="2"/>
        <v>203604</v>
      </c>
      <c r="CM64" s="108">
        <f t="shared" si="3"/>
        <v>82781</v>
      </c>
      <c r="CN64" s="108"/>
      <c r="CO64" s="108">
        <v>36359</v>
      </c>
      <c r="CP64" s="108">
        <v>71102</v>
      </c>
      <c r="CQ64" s="108">
        <v>9641</v>
      </c>
      <c r="CR64" s="108">
        <v>1992</v>
      </c>
      <c r="CS64" s="108">
        <v>1362</v>
      </c>
      <c r="CT64" s="108">
        <v>2490</v>
      </c>
      <c r="CU64" s="108">
        <v>16192</v>
      </c>
      <c r="CV64" s="108"/>
      <c r="CW64" s="108">
        <v>39624</v>
      </c>
      <c r="CX64" s="108">
        <v>5251</v>
      </c>
      <c r="CY64" s="108">
        <v>15802</v>
      </c>
      <c r="CZ64" s="108">
        <v>0</v>
      </c>
      <c r="DA64" s="108">
        <v>922</v>
      </c>
      <c r="DB64" s="108">
        <v>2867</v>
      </c>
      <c r="DC64" s="108">
        <v>6991</v>
      </c>
      <c r="DD64" s="108">
        <v>25190</v>
      </c>
      <c r="DE64" s="108"/>
      <c r="DF64" s="120">
        <f t="shared" si="20"/>
        <v>1007455</v>
      </c>
      <c r="DG64" s="120">
        <f t="shared" si="33"/>
        <v>286572</v>
      </c>
      <c r="DH64" s="120">
        <f t="shared" si="21"/>
        <v>305670</v>
      </c>
      <c r="DI64" s="120">
        <f t="shared" si="36"/>
        <v>68894</v>
      </c>
      <c r="DJ64" s="120">
        <f t="shared" si="22"/>
        <v>11372</v>
      </c>
      <c r="DK64" s="120">
        <f t="shared" si="23"/>
        <v>32634</v>
      </c>
      <c r="DL64" s="120">
        <f t="shared" si="24"/>
        <v>220704</v>
      </c>
      <c r="DM64" s="120"/>
      <c r="DN64" s="120">
        <f t="shared" si="37"/>
        <v>644129</v>
      </c>
      <c r="DO64" s="120">
        <f t="shared" si="26"/>
        <v>38072</v>
      </c>
      <c r="DP64" s="120">
        <f t="shared" si="27"/>
        <v>125940</v>
      </c>
      <c r="DQ64" s="120">
        <f t="shared" si="28"/>
        <v>429</v>
      </c>
      <c r="DR64" s="120">
        <f t="shared" si="29"/>
        <v>19136</v>
      </c>
      <c r="DS64" s="120">
        <f t="shared" si="30"/>
        <v>168085</v>
      </c>
    </row>
    <row r="65" spans="1:123" s="107" customFormat="1" ht="13">
      <c r="A65" s="113">
        <v>2007</v>
      </c>
      <c r="B65" s="108">
        <f t="shared" si="5"/>
        <v>9484676</v>
      </c>
      <c r="C65" s="109">
        <v>9602422</v>
      </c>
      <c r="D65" s="108">
        <v>3231832</v>
      </c>
      <c r="E65" s="108">
        <v>6252844</v>
      </c>
      <c r="F65" s="108"/>
      <c r="G65" s="108"/>
      <c r="H65" s="108"/>
      <c r="I65" s="111"/>
      <c r="J65" s="108"/>
      <c r="K65" s="108"/>
      <c r="L65" s="108">
        <f t="shared" si="32"/>
        <v>2804179</v>
      </c>
      <c r="M65" s="108">
        <v>334538</v>
      </c>
      <c r="N65" s="108">
        <v>2469641</v>
      </c>
      <c r="O65" s="108"/>
      <c r="P65" s="108">
        <v>3128448</v>
      </c>
      <c r="Q65" s="108">
        <v>1111716</v>
      </c>
      <c r="R65" s="108">
        <v>2016732</v>
      </c>
      <c r="S65" s="108">
        <v>3870357</v>
      </c>
      <c r="T65" s="108">
        <v>1740393</v>
      </c>
      <c r="U65" s="108">
        <v>2129964</v>
      </c>
      <c r="V65" s="108">
        <v>2332894</v>
      </c>
      <c r="W65" s="108">
        <v>380900</v>
      </c>
      <c r="X65" s="108">
        <v>1951994</v>
      </c>
      <c r="Y65" s="108">
        <f t="shared" si="6"/>
        <v>152977</v>
      </c>
      <c r="Z65" s="108">
        <f t="shared" si="38"/>
        <v>111856</v>
      </c>
      <c r="AA65" s="108">
        <v>41121</v>
      </c>
      <c r="AB65" s="108">
        <f t="shared" si="8"/>
        <v>-1177</v>
      </c>
      <c r="AC65" s="108">
        <f t="shared" si="9"/>
        <v>154154</v>
      </c>
      <c r="AD65" s="108">
        <v>1028238</v>
      </c>
      <c r="AE65" s="108">
        <v>72075</v>
      </c>
      <c r="AF65" s="108">
        <v>956163</v>
      </c>
      <c r="AG65" s="108">
        <v>301732</v>
      </c>
      <c r="AH65" s="108">
        <v>150063</v>
      </c>
      <c r="AI65" s="108">
        <v>151669</v>
      </c>
      <c r="AJ65" s="108"/>
      <c r="AK65" s="108">
        <v>1067252</v>
      </c>
      <c r="AL65" s="108">
        <v>274384</v>
      </c>
      <c r="AM65" s="108">
        <v>315569</v>
      </c>
      <c r="AN65" s="108">
        <v>63207</v>
      </c>
      <c r="AO65" s="108">
        <v>13018</v>
      </c>
      <c r="AP65" s="108">
        <v>38909</v>
      </c>
      <c r="AQ65" s="108">
        <v>216572</v>
      </c>
      <c r="AR65" s="108"/>
      <c r="AS65" s="108">
        <v>794351</v>
      </c>
      <c r="AT65" s="108">
        <v>15484</v>
      </c>
      <c r="AU65" s="108">
        <v>130518</v>
      </c>
      <c r="AV65" s="108">
        <v>480</v>
      </c>
      <c r="AW65" s="108">
        <v>26891</v>
      </c>
      <c r="AX65" s="108">
        <v>171813</v>
      </c>
      <c r="AY65" s="108"/>
      <c r="AZ65" s="108">
        <v>245578</v>
      </c>
      <c r="BA65" s="108">
        <v>82277</v>
      </c>
      <c r="BB65" s="108">
        <v>178504</v>
      </c>
      <c r="BC65" s="108">
        <v>19938</v>
      </c>
      <c r="BD65" s="108">
        <v>7900</v>
      </c>
      <c r="BE65" s="108">
        <v>19090</v>
      </c>
      <c r="BF65" s="108">
        <v>75330</v>
      </c>
      <c r="BG65" s="108"/>
      <c r="BH65" s="108">
        <v>329205</v>
      </c>
      <c r="BI65" s="108">
        <v>14263</v>
      </c>
      <c r="BJ65" s="108">
        <v>35256</v>
      </c>
      <c r="BK65" s="108">
        <v>374</v>
      </c>
      <c r="BL65" s="108">
        <v>1654</v>
      </c>
      <c r="BM65" s="108">
        <v>102347</v>
      </c>
      <c r="BN65" s="108"/>
      <c r="BO65" s="108"/>
      <c r="BP65" s="108">
        <f t="shared" si="10"/>
        <v>821674</v>
      </c>
      <c r="BQ65" s="108">
        <f t="shared" si="10"/>
        <v>192107</v>
      </c>
      <c r="BR65" s="108">
        <f t="shared" si="10"/>
        <v>137065</v>
      </c>
      <c r="BS65" s="108">
        <f t="shared" si="10"/>
        <v>43269</v>
      </c>
      <c r="BT65" s="108">
        <f t="shared" si="10"/>
        <v>5118</v>
      </c>
      <c r="BU65" s="108">
        <f t="shared" si="34"/>
        <v>19819</v>
      </c>
      <c r="BV65" s="108">
        <f t="shared" si="35"/>
        <v>141242</v>
      </c>
      <c r="BW65" s="108"/>
      <c r="BX65" s="108">
        <f t="shared" si="35"/>
        <v>465146</v>
      </c>
      <c r="BY65" s="108">
        <f t="shared" si="35"/>
        <v>1221</v>
      </c>
      <c r="BZ65" s="108">
        <f t="shared" si="35"/>
        <v>95262</v>
      </c>
      <c r="CA65" s="108">
        <f t="shared" si="35"/>
        <v>106</v>
      </c>
      <c r="CB65" s="108">
        <f t="shared" si="18"/>
        <v>25237</v>
      </c>
      <c r="CC65" s="108">
        <f t="shared" si="19"/>
        <v>69466</v>
      </c>
      <c r="CD65" s="108"/>
      <c r="CE65" s="108"/>
      <c r="CF65" s="108">
        <v>804476</v>
      </c>
      <c r="CG65" s="108">
        <v>380439</v>
      </c>
      <c r="CH65" s="108">
        <v>0</v>
      </c>
      <c r="CI65" s="108">
        <v>4311</v>
      </c>
      <c r="CJ65" s="108">
        <v>168164</v>
      </c>
      <c r="CK65" s="108">
        <v>258935</v>
      </c>
      <c r="CL65" s="108">
        <f t="shared" si="2"/>
        <v>280480</v>
      </c>
      <c r="CM65" s="108">
        <f t="shared" si="3"/>
        <v>92586</v>
      </c>
      <c r="CN65" s="108"/>
      <c r="CO65" s="108">
        <v>58657</v>
      </c>
      <c r="CP65" s="108">
        <v>106907</v>
      </c>
      <c r="CQ65" s="108">
        <v>12924</v>
      </c>
      <c r="CR65" s="108">
        <v>3190</v>
      </c>
      <c r="CS65" s="108">
        <v>1565</v>
      </c>
      <c r="CT65" s="108">
        <v>2973</v>
      </c>
      <c r="CU65" s="108">
        <v>20622</v>
      </c>
      <c r="CV65" s="108"/>
      <c r="CW65" s="108">
        <v>53528</v>
      </c>
      <c r="CX65" s="108">
        <v>1151</v>
      </c>
      <c r="CY65" s="108">
        <v>11821</v>
      </c>
      <c r="CZ65" s="108">
        <v>0</v>
      </c>
      <c r="DA65" s="108">
        <v>921</v>
      </c>
      <c r="DB65" s="108">
        <v>6221</v>
      </c>
      <c r="DC65" s="108">
        <v>14028</v>
      </c>
      <c r="DD65" s="108">
        <v>66426</v>
      </c>
      <c r="DE65" s="108"/>
      <c r="DF65" s="120">
        <f t="shared" si="20"/>
        <v>1125909</v>
      </c>
      <c r="DG65" s="120">
        <f t="shared" si="33"/>
        <v>381291</v>
      </c>
      <c r="DH65" s="120">
        <f t="shared" si="21"/>
        <v>328493</v>
      </c>
      <c r="DI65" s="120">
        <f t="shared" si="36"/>
        <v>66397</v>
      </c>
      <c r="DJ65" s="120">
        <f t="shared" si="22"/>
        <v>14583</v>
      </c>
      <c r="DK65" s="120">
        <f t="shared" si="23"/>
        <v>41882</v>
      </c>
      <c r="DL65" s="120">
        <f t="shared" si="24"/>
        <v>237194</v>
      </c>
      <c r="DM65" s="120"/>
      <c r="DN65" s="120">
        <f t="shared" si="37"/>
        <v>847879</v>
      </c>
      <c r="DO65" s="120">
        <f t="shared" si="26"/>
        <v>16635</v>
      </c>
      <c r="DP65" s="120">
        <f t="shared" si="27"/>
        <v>142339</v>
      </c>
      <c r="DQ65" s="120">
        <f t="shared" si="28"/>
        <v>480</v>
      </c>
      <c r="DR65" s="120">
        <f t="shared" si="29"/>
        <v>27812</v>
      </c>
      <c r="DS65" s="120">
        <f t="shared" si="30"/>
        <v>178034</v>
      </c>
    </row>
    <row r="66" spans="1:123" s="112" customFormat="1" ht="13">
      <c r="A66" s="114">
        <v>2008</v>
      </c>
      <c r="B66" s="108">
        <f>E66+D66</f>
        <v>8276222</v>
      </c>
      <c r="C66" s="109">
        <v>8450567</v>
      </c>
      <c r="D66" s="108">
        <v>2115348</v>
      </c>
      <c r="E66" s="108">
        <v>6160874</v>
      </c>
      <c r="F66" s="110"/>
      <c r="G66" s="110"/>
      <c r="H66" s="110"/>
      <c r="I66" s="111"/>
      <c r="J66" s="110"/>
      <c r="K66" s="110"/>
      <c r="L66" s="108">
        <f t="shared" si="32"/>
        <v>3188034</v>
      </c>
      <c r="M66" s="108">
        <v>277691</v>
      </c>
      <c r="N66" s="108">
        <v>2910343</v>
      </c>
      <c r="O66" s="108"/>
      <c r="P66" s="108">
        <v>2511763</v>
      </c>
      <c r="Q66" s="108">
        <v>700971</v>
      </c>
      <c r="R66" s="108">
        <v>1810792</v>
      </c>
      <c r="S66" s="108">
        <v>3094179</v>
      </c>
      <c r="T66" s="108">
        <v>1127895</v>
      </c>
      <c r="U66" s="108">
        <v>1966284</v>
      </c>
      <c r="V66" s="108">
        <v>2528492</v>
      </c>
      <c r="W66" s="108">
        <v>281597</v>
      </c>
      <c r="X66" s="108">
        <v>2246895</v>
      </c>
      <c r="Y66" s="108">
        <f t="shared" si="6"/>
        <v>141788</v>
      </c>
      <c r="Z66" s="108">
        <f t="shared" si="38"/>
        <v>88193</v>
      </c>
      <c r="AA66" s="108">
        <v>53595</v>
      </c>
      <c r="AB66" s="108">
        <f t="shared" si="8"/>
        <v>4885</v>
      </c>
      <c r="AC66" s="108">
        <f t="shared" si="9"/>
        <v>136903</v>
      </c>
      <c r="AD66" s="108">
        <v>1265523</v>
      </c>
      <c r="AE66" s="108">
        <v>72374</v>
      </c>
      <c r="AF66" s="108">
        <v>1193149</v>
      </c>
      <c r="AG66" s="108">
        <v>280653</v>
      </c>
      <c r="AH66" s="108">
        <v>102332</v>
      </c>
      <c r="AI66" s="108">
        <v>178321</v>
      </c>
      <c r="AJ66" s="110"/>
      <c r="AK66" s="108">
        <v>860615</v>
      </c>
      <c r="AL66" s="108">
        <v>224069</v>
      </c>
      <c r="AM66" s="108">
        <v>263359</v>
      </c>
      <c r="AN66" s="108">
        <v>39840</v>
      </c>
      <c r="AO66" s="108">
        <v>12671</v>
      </c>
      <c r="AP66" s="108">
        <v>21493</v>
      </c>
      <c r="AQ66" s="108">
        <v>165431</v>
      </c>
      <c r="AR66" s="108"/>
      <c r="AS66" s="108">
        <v>614590</v>
      </c>
      <c r="AT66" s="108">
        <v>5970</v>
      </c>
      <c r="AU66" s="108">
        <v>146885</v>
      </c>
      <c r="AV66" s="108">
        <v>335</v>
      </c>
      <c r="AW66" s="108">
        <v>30392</v>
      </c>
      <c r="AX66" s="108">
        <v>126113</v>
      </c>
      <c r="AY66" s="110"/>
      <c r="AZ66" s="108">
        <v>145983</v>
      </c>
      <c r="BA66" s="108">
        <v>55273</v>
      </c>
      <c r="BB66" s="108">
        <v>119742</v>
      </c>
      <c r="BC66" s="108">
        <v>11240</v>
      </c>
      <c r="BD66" s="108">
        <v>7405</v>
      </c>
      <c r="BE66" s="108">
        <v>12794</v>
      </c>
      <c r="BF66" s="108">
        <v>38838</v>
      </c>
      <c r="BG66" s="108"/>
      <c r="BH66" s="108">
        <v>213768</v>
      </c>
      <c r="BI66" s="108">
        <v>3059</v>
      </c>
      <c r="BJ66" s="108">
        <v>25495</v>
      </c>
      <c r="BK66" s="108">
        <v>320</v>
      </c>
      <c r="BL66" s="108">
        <v>1245</v>
      </c>
      <c r="BM66" s="108">
        <v>65809</v>
      </c>
      <c r="BN66" s="110"/>
      <c r="BO66" s="110"/>
      <c r="BP66" s="108">
        <f t="shared" si="10"/>
        <v>714632</v>
      </c>
      <c r="BQ66" s="108">
        <f t="shared" si="10"/>
        <v>168796</v>
      </c>
      <c r="BR66" s="108">
        <f t="shared" si="10"/>
        <v>143617</v>
      </c>
      <c r="BS66" s="108">
        <f t="shared" si="10"/>
        <v>28600</v>
      </c>
      <c r="BT66" s="108">
        <f t="shared" si="10"/>
        <v>5266</v>
      </c>
      <c r="BU66" s="108">
        <f t="shared" si="34"/>
        <v>8699</v>
      </c>
      <c r="BV66" s="108">
        <f t="shared" si="35"/>
        <v>126593</v>
      </c>
      <c r="BW66" s="108"/>
      <c r="BX66" s="108">
        <f t="shared" si="35"/>
        <v>400822</v>
      </c>
      <c r="BY66" s="108">
        <f t="shared" si="35"/>
        <v>2911</v>
      </c>
      <c r="BZ66" s="108">
        <f t="shared" si="35"/>
        <v>121390</v>
      </c>
      <c r="CA66" s="108">
        <f t="shared" si="35"/>
        <v>15</v>
      </c>
      <c r="CB66" s="108">
        <f t="shared" si="18"/>
        <v>29147</v>
      </c>
      <c r="CC66" s="108">
        <f t="shared" si="19"/>
        <v>60304</v>
      </c>
      <c r="CD66" s="110"/>
      <c r="CE66" s="110"/>
      <c r="CF66" s="108">
        <v>1099950</v>
      </c>
      <c r="CG66" s="108">
        <v>520541</v>
      </c>
      <c r="CH66" s="108">
        <v>0</v>
      </c>
      <c r="CI66" s="108">
        <v>22135</v>
      </c>
      <c r="CJ66" s="108">
        <v>160510</v>
      </c>
      <c r="CK66" s="108">
        <v>352047</v>
      </c>
      <c r="CL66" s="108">
        <f>CO66+CP66+CQ66+CR66+CS66+CT66+CU66+CV66+CW66+CX66+CY66+CZ66+DA66+DB66</f>
        <v>425353</v>
      </c>
      <c r="CM66" s="108">
        <f t="shared" si="3"/>
        <v>139905</v>
      </c>
      <c r="CN66" s="110"/>
      <c r="CO66" s="108">
        <v>90393</v>
      </c>
      <c r="CP66" s="108">
        <v>130140</v>
      </c>
      <c r="CQ66" s="108">
        <v>35554</v>
      </c>
      <c r="CR66" s="108">
        <v>4368</v>
      </c>
      <c r="CS66" s="108">
        <v>2333</v>
      </c>
      <c r="CT66" s="108">
        <v>2283</v>
      </c>
      <c r="CU66" s="108">
        <v>32470</v>
      </c>
      <c r="CV66" s="108"/>
      <c r="CW66" s="108">
        <v>83352</v>
      </c>
      <c r="CX66" s="108">
        <v>2025</v>
      </c>
      <c r="CY66" s="108">
        <v>30410</v>
      </c>
      <c r="CZ66" s="108">
        <v>0</v>
      </c>
      <c r="DA66" s="108">
        <v>247</v>
      </c>
      <c r="DB66" s="108">
        <v>11778</v>
      </c>
      <c r="DC66" s="108">
        <v>20197</v>
      </c>
      <c r="DD66" s="108">
        <v>169406</v>
      </c>
      <c r="DE66" s="110"/>
      <c r="DF66" s="120">
        <f t="shared" si="20"/>
        <v>951008</v>
      </c>
      <c r="DG66" s="120">
        <f t="shared" si="33"/>
        <v>354209</v>
      </c>
      <c r="DH66" s="120">
        <f t="shared" si="21"/>
        <v>298913</v>
      </c>
      <c r="DI66" s="120">
        <f t="shared" si="36"/>
        <v>44208</v>
      </c>
      <c r="DJ66" s="120">
        <f t="shared" si="22"/>
        <v>15004</v>
      </c>
      <c r="DK66" s="120">
        <f t="shared" si="23"/>
        <v>23776</v>
      </c>
      <c r="DL66" s="120">
        <f t="shared" si="24"/>
        <v>197901</v>
      </c>
      <c r="DM66" s="120"/>
      <c r="DN66" s="120">
        <f t="shared" si="37"/>
        <v>697942</v>
      </c>
      <c r="DO66" s="120">
        <f t="shared" si="26"/>
        <v>7995</v>
      </c>
      <c r="DP66" s="120">
        <f t="shared" si="27"/>
        <v>177295</v>
      </c>
      <c r="DQ66" s="120">
        <f t="shared" si="28"/>
        <v>335</v>
      </c>
      <c r="DR66" s="120">
        <f t="shared" si="29"/>
        <v>30639</v>
      </c>
      <c r="DS66" s="120">
        <f t="shared" si="30"/>
        <v>137891</v>
      </c>
    </row>
    <row r="67" spans="1:123" s="107" customFormat="1" ht="13">
      <c r="A67" s="114">
        <v>2009</v>
      </c>
      <c r="B67" s="108">
        <f>E67+D67</f>
        <v>9503823</v>
      </c>
      <c r="C67" s="109"/>
      <c r="D67" s="108">
        <v>2922802</v>
      </c>
      <c r="E67" s="108">
        <v>6581021</v>
      </c>
      <c r="F67" s="108"/>
      <c r="G67" s="108"/>
      <c r="H67" s="108"/>
      <c r="I67" s="108"/>
      <c r="J67" s="108"/>
      <c r="K67" s="108"/>
      <c r="L67" s="108">
        <f t="shared" si="32"/>
        <v>3568370</v>
      </c>
      <c r="M67" s="108">
        <v>423751</v>
      </c>
      <c r="N67" s="108">
        <v>3144619</v>
      </c>
      <c r="O67" s="108"/>
      <c r="P67" s="108">
        <v>2956249</v>
      </c>
      <c r="Q67" s="108">
        <v>975716</v>
      </c>
      <c r="R67" s="108">
        <v>1980533</v>
      </c>
      <c r="S67" s="108">
        <v>3653382</v>
      </c>
      <c r="T67" s="108">
        <v>1523965</v>
      </c>
      <c r="U67" s="108">
        <v>2129417</v>
      </c>
      <c r="V67" s="108">
        <v>2790763</v>
      </c>
      <c r="W67" s="108">
        <v>416301</v>
      </c>
      <c r="X67" s="108">
        <v>2374462</v>
      </c>
      <c r="Y67" s="108">
        <f t="shared" si="6"/>
        <v>103429</v>
      </c>
      <c r="Z67" s="108">
        <f t="shared" si="38"/>
        <v>34758</v>
      </c>
      <c r="AA67" s="108">
        <v>68671</v>
      </c>
      <c r="AB67" s="108">
        <f>D67-Q67-T67-W67</f>
        <v>6820</v>
      </c>
      <c r="AC67" s="108">
        <f>E67-R67-U67-X67</f>
        <v>96609</v>
      </c>
      <c r="AD67" s="108">
        <v>1462447</v>
      </c>
      <c r="AE67" s="108">
        <v>115772</v>
      </c>
      <c r="AF67" s="108">
        <v>1346675</v>
      </c>
      <c r="AG67" s="108">
        <v>297996</v>
      </c>
      <c r="AH67" s="108">
        <v>137005</v>
      </c>
      <c r="AI67" s="108">
        <v>160991</v>
      </c>
      <c r="AJ67" s="108"/>
      <c r="AK67" s="108">
        <v>986769</v>
      </c>
      <c r="AL67" s="108">
        <v>257428</v>
      </c>
      <c r="AM67" s="108">
        <v>353207</v>
      </c>
      <c r="AN67" s="108">
        <v>51392</v>
      </c>
      <c r="AO67" s="108">
        <v>14084</v>
      </c>
      <c r="AP67" s="108">
        <v>26226</v>
      </c>
      <c r="AQ67" s="108">
        <v>202355</v>
      </c>
      <c r="AR67" s="108"/>
      <c r="AS67" s="108">
        <v>669983</v>
      </c>
      <c r="AT67" s="108">
        <v>10958</v>
      </c>
      <c r="AU67" s="108">
        <v>189429</v>
      </c>
      <c r="AV67" s="108">
        <v>559</v>
      </c>
      <c r="AW67" s="108">
        <v>31445</v>
      </c>
      <c r="AX67" s="108">
        <v>162414</v>
      </c>
      <c r="AY67" s="108"/>
      <c r="AZ67" s="108">
        <v>198027</v>
      </c>
      <c r="BA67" s="108">
        <v>78728</v>
      </c>
      <c r="BB67" s="108">
        <v>169503</v>
      </c>
      <c r="BC67" s="108">
        <v>17486</v>
      </c>
      <c r="BD67" s="108">
        <v>8255</v>
      </c>
      <c r="BE67" s="108">
        <v>17592</v>
      </c>
      <c r="BF67" s="108">
        <v>44724</v>
      </c>
      <c r="BG67" s="108"/>
      <c r="BH67" s="108">
        <v>300476</v>
      </c>
      <c r="BI67" s="108">
        <v>7131</v>
      </c>
      <c r="BJ67" s="108">
        <v>35095</v>
      </c>
      <c r="BK67" s="108">
        <v>474</v>
      </c>
      <c r="BL67" s="108">
        <v>1942</v>
      </c>
      <c r="BM67" s="108">
        <v>96283</v>
      </c>
      <c r="BN67" s="108"/>
      <c r="BO67" s="108"/>
      <c r="BP67" s="108">
        <f t="shared" si="10"/>
        <v>788742</v>
      </c>
      <c r="BQ67" s="108">
        <f t="shared" si="10"/>
        <v>178700</v>
      </c>
      <c r="BR67" s="108">
        <f t="shared" si="10"/>
        <v>183704</v>
      </c>
      <c r="BS67" s="108">
        <f t="shared" si="10"/>
        <v>33906</v>
      </c>
      <c r="BT67" s="108">
        <f t="shared" si="10"/>
        <v>5829</v>
      </c>
      <c r="BU67" s="108">
        <f t="shared" si="34"/>
        <v>8634</v>
      </c>
      <c r="BV67" s="108">
        <f t="shared" si="35"/>
        <v>157631</v>
      </c>
      <c r="BW67" s="108"/>
      <c r="BX67" s="108">
        <f t="shared" si="35"/>
        <v>369507</v>
      </c>
      <c r="BY67" s="108">
        <f t="shared" si="35"/>
        <v>3827</v>
      </c>
      <c r="BZ67" s="108">
        <f t="shared" si="35"/>
        <v>154334</v>
      </c>
      <c r="CA67" s="108">
        <f t="shared" si="35"/>
        <v>85</v>
      </c>
      <c r="CB67" s="108">
        <f t="shared" si="18"/>
        <v>29503</v>
      </c>
      <c r="CC67" s="108">
        <f t="shared" si="19"/>
        <v>66131</v>
      </c>
      <c r="CD67" s="108"/>
      <c r="CE67" s="108"/>
      <c r="CF67" s="108">
        <v>979017</v>
      </c>
      <c r="CG67" s="108">
        <v>552692</v>
      </c>
      <c r="CH67" s="108">
        <v>0</v>
      </c>
      <c r="CI67" s="108">
        <v>4588</v>
      </c>
      <c r="CJ67" s="108">
        <v>152427</v>
      </c>
      <c r="CK67" s="108">
        <v>306610</v>
      </c>
      <c r="CL67" s="108">
        <f>CO67+CP67+CQ67+CR67+CS67+CT67+CU67+CV67+CW67+CX67+CY67+CZ67+DA67+DB67</f>
        <v>413820</v>
      </c>
      <c r="CM67" s="108">
        <f t="shared" si="3"/>
        <v>101572</v>
      </c>
      <c r="CN67" s="108"/>
      <c r="CO67" s="108">
        <v>83214</v>
      </c>
      <c r="CP67" s="108">
        <v>97303</v>
      </c>
      <c r="CQ67" s="108">
        <v>29042</v>
      </c>
      <c r="CR67" s="108">
        <v>3471</v>
      </c>
      <c r="CS67" s="108">
        <v>1808</v>
      </c>
      <c r="CT67" s="108">
        <v>1861</v>
      </c>
      <c r="CU67" s="108">
        <v>22053</v>
      </c>
      <c r="CV67" s="108"/>
      <c r="CW67" s="108">
        <v>64701</v>
      </c>
      <c r="CX67" s="108">
        <v>1017</v>
      </c>
      <c r="CY67" s="108">
        <v>104462</v>
      </c>
      <c r="CZ67" s="108">
        <v>0</v>
      </c>
      <c r="DA67" s="108">
        <v>885</v>
      </c>
      <c r="DB67" s="108">
        <v>4003</v>
      </c>
      <c r="DC67" s="108">
        <v>13292</v>
      </c>
      <c r="DD67" s="108">
        <v>71140</v>
      </c>
      <c r="DE67" s="108"/>
      <c r="DF67" s="120">
        <f t="shared" si="20"/>
        <v>1069983</v>
      </c>
      <c r="DG67" s="120">
        <f t="shared" si="33"/>
        <v>354731</v>
      </c>
      <c r="DH67" s="120">
        <f t="shared" si="21"/>
        <v>382249</v>
      </c>
      <c r="DI67" s="120">
        <f t="shared" si="36"/>
        <v>54863</v>
      </c>
      <c r="DJ67" s="120">
        <f t="shared" si="22"/>
        <v>15892</v>
      </c>
      <c r="DK67" s="120">
        <f t="shared" si="23"/>
        <v>28087</v>
      </c>
      <c r="DL67" s="120">
        <f t="shared" si="24"/>
        <v>224408</v>
      </c>
      <c r="DM67" s="120"/>
      <c r="DN67" s="120">
        <f t="shared" si="37"/>
        <v>734684</v>
      </c>
      <c r="DO67" s="120">
        <f t="shared" si="26"/>
        <v>11975</v>
      </c>
      <c r="DP67" s="120">
        <f t="shared" si="27"/>
        <v>293891</v>
      </c>
      <c r="DQ67" s="120">
        <f t="shared" si="28"/>
        <v>559</v>
      </c>
      <c r="DR67" s="120">
        <f t="shared" si="29"/>
        <v>32330</v>
      </c>
      <c r="DS67" s="120">
        <f t="shared" si="30"/>
        <v>166417</v>
      </c>
    </row>
    <row r="68" spans="1:123" s="107" customFormat="1" ht="13">
      <c r="A68" s="113">
        <v>2010</v>
      </c>
      <c r="B68" s="108">
        <f>E68+D68</f>
        <v>10985405</v>
      </c>
      <c r="C68" s="109"/>
      <c r="D68" s="108">
        <v>3590784</v>
      </c>
      <c r="E68" s="108">
        <v>7394621</v>
      </c>
      <c r="F68" s="108"/>
      <c r="G68" s="108"/>
      <c r="H68" s="108"/>
      <c r="I68" s="108"/>
      <c r="J68" s="108"/>
      <c r="K68" s="108"/>
      <c r="L68" s="108">
        <f t="shared" si="32"/>
        <v>4162662</v>
      </c>
      <c r="M68" s="108">
        <v>540531</v>
      </c>
      <c r="N68" s="108">
        <v>3622131</v>
      </c>
      <c r="O68" s="108"/>
      <c r="P68" s="108">
        <v>3412795</v>
      </c>
      <c r="Q68" s="108">
        <v>1218123</v>
      </c>
      <c r="R68" s="108">
        <v>2194672</v>
      </c>
      <c r="S68" s="108">
        <v>4235722</v>
      </c>
      <c r="T68" s="108">
        <v>1826030</v>
      </c>
      <c r="U68" s="108">
        <v>2409692</v>
      </c>
      <c r="V68" s="108">
        <v>3175846</v>
      </c>
      <c r="W68" s="108">
        <v>541670</v>
      </c>
      <c r="X68" s="108">
        <v>2634176</v>
      </c>
      <c r="Y68" s="108">
        <f t="shared" si="6"/>
        <v>161042</v>
      </c>
      <c r="Z68" s="108">
        <f t="shared" si="38"/>
        <v>83588</v>
      </c>
      <c r="AA68" s="108">
        <v>77454</v>
      </c>
      <c r="AB68" s="108">
        <f>D68-Q68-T68-W68</f>
        <v>4961</v>
      </c>
      <c r="AC68" s="108">
        <f>E68-R68-U68-X68</f>
        <v>156081</v>
      </c>
      <c r="AD68" s="108">
        <v>1640643</v>
      </c>
      <c r="AE68" s="108">
        <v>152844</v>
      </c>
      <c r="AF68" s="108">
        <v>1487799</v>
      </c>
      <c r="AG68" s="108">
        <v>331014</v>
      </c>
      <c r="AH68" s="108">
        <v>180690</v>
      </c>
      <c r="AI68" s="108">
        <v>150324</v>
      </c>
      <c r="AJ68" s="108"/>
      <c r="AK68" s="108">
        <v>1089006</v>
      </c>
      <c r="AL68" s="108">
        <v>287273</v>
      </c>
      <c r="AM68" s="108">
        <v>437095</v>
      </c>
      <c r="AN68" s="108">
        <v>55869</v>
      </c>
      <c r="AO68" s="108">
        <v>13246</v>
      </c>
      <c r="AP68" s="108">
        <v>31850</v>
      </c>
      <c r="AQ68" s="108">
        <v>236831</v>
      </c>
      <c r="AR68" s="108"/>
      <c r="AS68" s="108">
        <v>794731</v>
      </c>
      <c r="AT68" s="108">
        <v>13260</v>
      </c>
      <c r="AU68" s="108">
        <v>221009</v>
      </c>
      <c r="AV68" s="108">
        <v>820</v>
      </c>
      <c r="AW68" s="108">
        <v>36114</v>
      </c>
      <c r="AX68" s="108">
        <v>195691</v>
      </c>
      <c r="AY68" s="108"/>
      <c r="AZ68" s="108">
        <v>266871</v>
      </c>
      <c r="BA68" s="108">
        <v>98066</v>
      </c>
      <c r="BB68" s="108">
        <v>212473</v>
      </c>
      <c r="BC68" s="108">
        <v>25107</v>
      </c>
      <c r="BD68" s="108">
        <v>7308</v>
      </c>
      <c r="BE68" s="108">
        <v>19604</v>
      </c>
      <c r="BF68" s="108">
        <v>56591</v>
      </c>
      <c r="BG68" s="108"/>
      <c r="BH68" s="108">
        <v>375996</v>
      </c>
      <c r="BI68" s="108">
        <v>7528</v>
      </c>
      <c r="BJ68" s="108">
        <v>41306</v>
      </c>
      <c r="BK68" s="108">
        <v>567</v>
      </c>
      <c r="BL68" s="108">
        <v>3043</v>
      </c>
      <c r="BM68" s="108">
        <v>103663</v>
      </c>
      <c r="BN68" s="108"/>
      <c r="BO68" s="108"/>
      <c r="BP68" s="108">
        <f t="shared" si="10"/>
        <v>822135</v>
      </c>
      <c r="BQ68" s="108">
        <f t="shared" si="10"/>
        <v>189207</v>
      </c>
      <c r="BR68" s="108">
        <f t="shared" si="10"/>
        <v>224622</v>
      </c>
      <c r="BS68" s="108">
        <f t="shared" si="10"/>
        <v>30762</v>
      </c>
      <c r="BT68" s="108">
        <f t="shared" si="10"/>
        <v>5938</v>
      </c>
      <c r="BU68" s="108">
        <f t="shared" si="34"/>
        <v>12246</v>
      </c>
      <c r="BV68" s="108">
        <f t="shared" si="35"/>
        <v>180240</v>
      </c>
      <c r="BW68" s="108"/>
      <c r="BX68" s="108">
        <f t="shared" si="35"/>
        <v>418735</v>
      </c>
      <c r="BY68" s="108">
        <f t="shared" si="35"/>
        <v>5732</v>
      </c>
      <c r="BZ68" s="108">
        <f t="shared" si="35"/>
        <v>179703</v>
      </c>
      <c r="CA68" s="108">
        <f t="shared" si="35"/>
        <v>253</v>
      </c>
      <c r="CB68" s="108">
        <f t="shared" si="18"/>
        <v>33071</v>
      </c>
      <c r="CC68" s="108">
        <f t="shared" si="19"/>
        <v>92028</v>
      </c>
      <c r="CD68" s="108"/>
      <c r="CE68" s="108"/>
      <c r="CF68" s="108">
        <v>921566</v>
      </c>
      <c r="CG68" s="108">
        <v>488862</v>
      </c>
      <c r="CH68" s="108">
        <v>0</v>
      </c>
      <c r="CI68" s="108">
        <v>7317</v>
      </c>
      <c r="CJ68" s="108">
        <v>151738</v>
      </c>
      <c r="CK68" s="108">
        <v>251437</v>
      </c>
      <c r="CL68" s="108">
        <f>CO68+CP68+CQ68+CR68+CS68+CT68+CU68+CV68+CW68+CX68+CY68+CZ68+DA68+DB68</f>
        <v>402706</v>
      </c>
      <c r="CM68" s="108">
        <f>CF68-CI68-CJ68-CK68-CL68</f>
        <v>108368</v>
      </c>
      <c r="CN68" s="108"/>
      <c r="CO68" s="108">
        <v>76245</v>
      </c>
      <c r="CP68" s="108">
        <v>98791</v>
      </c>
      <c r="CQ68" s="108">
        <v>21881</v>
      </c>
      <c r="CR68" s="108">
        <v>9607</v>
      </c>
      <c r="CS68" s="108">
        <v>997</v>
      </c>
      <c r="CT68" s="108">
        <v>1925</v>
      </c>
      <c r="CU68" s="108">
        <v>23958</v>
      </c>
      <c r="CV68" s="108"/>
      <c r="CW68" s="108">
        <v>67745</v>
      </c>
      <c r="CX68" s="108">
        <v>2419</v>
      </c>
      <c r="CY68" s="108">
        <v>80682</v>
      </c>
      <c r="CZ68" s="108">
        <v>0</v>
      </c>
      <c r="DA68" s="108">
        <v>773</v>
      </c>
      <c r="DB68" s="108">
        <v>17683</v>
      </c>
      <c r="DC68" s="108"/>
      <c r="DD68" s="108">
        <v>16423</v>
      </c>
      <c r="DE68" s="108"/>
      <c r="DF68" s="120">
        <f t="shared" si="20"/>
        <v>1165251</v>
      </c>
      <c r="DG68" s="120">
        <f t="shared" si="33"/>
        <v>386064</v>
      </c>
      <c r="DH68" s="120">
        <f t="shared" si="21"/>
        <v>458976</v>
      </c>
      <c r="DI68" s="120">
        <f t="shared" si="36"/>
        <v>65476</v>
      </c>
      <c r="DJ68" s="120">
        <f t="shared" si="22"/>
        <v>14243</v>
      </c>
      <c r="DK68" s="120">
        <f t="shared" si="23"/>
        <v>33775</v>
      </c>
      <c r="DL68" s="120">
        <f t="shared" si="24"/>
        <v>260789</v>
      </c>
      <c r="DM68" s="120"/>
      <c r="DN68" s="120">
        <f t="shared" si="37"/>
        <v>862476</v>
      </c>
      <c r="DO68" s="120">
        <f t="shared" si="26"/>
        <v>15679</v>
      </c>
      <c r="DP68" s="120">
        <f t="shared" si="27"/>
        <v>301691</v>
      </c>
      <c r="DQ68" s="120">
        <f t="shared" si="28"/>
        <v>820</v>
      </c>
      <c r="DR68" s="120">
        <f t="shared" si="29"/>
        <v>36887</v>
      </c>
      <c r="DS68" s="120">
        <f t="shared" si="30"/>
        <v>213374</v>
      </c>
    </row>
    <row r="69" spans="1:123" s="107" customFormat="1" ht="13">
      <c r="A69" s="114" t="s">
        <v>145</v>
      </c>
      <c r="B69" s="108">
        <f>E69+D69</f>
        <v>11561196</v>
      </c>
      <c r="C69" s="109"/>
      <c r="D69" s="108">
        <v>3829896</v>
      </c>
      <c r="E69" s="108">
        <v>7731300</v>
      </c>
      <c r="F69" s="108"/>
      <c r="G69" s="108"/>
      <c r="H69" s="108"/>
      <c r="I69" s="108"/>
      <c r="J69" s="108"/>
      <c r="K69" s="108"/>
      <c r="L69" s="108">
        <v>4409000</v>
      </c>
      <c r="M69" s="109">
        <v>567000</v>
      </c>
      <c r="N69" s="108">
        <f>L69-M69</f>
        <v>3842000</v>
      </c>
      <c r="P69" s="108">
        <f>AK69+AL69+AM69+AN69+AO69+AP69+AQ69+AR69+AS69+AT69+AU69+AV69+AW69+AX69</f>
        <v>3574993</v>
      </c>
      <c r="Q69" s="108">
        <f>AZ69+BA69+BB69+BC69+BD69+BE69+BF69+BH69+BI69+BJ69+BK69+BL69+BM69</f>
        <v>1313000</v>
      </c>
      <c r="R69" s="108">
        <f>BP69+BQ69+BR69+BS69+BT69+BU69+BV69+BX69+BY69+BZ69+CA69+CB69+CC69</f>
        <v>2261993</v>
      </c>
      <c r="S69" s="108">
        <f>B69-P69-V69-Y69</f>
        <v>4530058.5357245207</v>
      </c>
      <c r="T69" s="108">
        <f>D69-Q69-W69-AB69</f>
        <v>1951356.7806100729</v>
      </c>
      <c r="U69" s="108">
        <f>E69-R69-X69-AC69</f>
        <v>2578725.3916592342</v>
      </c>
      <c r="V69" s="108">
        <f t="shared" ref="V69:X70" si="39">V68*(AD69+AG69)/(AD68+AG68)</f>
        <v>3318144.4642754798</v>
      </c>
      <c r="W69" s="108">
        <f t="shared" si="39"/>
        <v>563539.21938992722</v>
      </c>
      <c r="X69" s="108">
        <f t="shared" si="39"/>
        <v>2754581.6083407658</v>
      </c>
      <c r="Y69" s="108">
        <f>AB69+AC69</f>
        <v>138000</v>
      </c>
      <c r="Z69" s="108">
        <f t="shared" si="38"/>
        <v>49000</v>
      </c>
      <c r="AA69" s="108">
        <f>3000+86000</f>
        <v>89000</v>
      </c>
      <c r="AB69" s="108">
        <v>2000</v>
      </c>
      <c r="AC69" s="108">
        <v>136000</v>
      </c>
      <c r="AD69" s="108">
        <f>1563000+159000</f>
        <v>1722000</v>
      </c>
      <c r="AE69" s="108">
        <v>159000</v>
      </c>
      <c r="AF69" s="108">
        <v>1563000</v>
      </c>
      <c r="AG69" s="108">
        <f>AH69+AI69</f>
        <v>338000</v>
      </c>
      <c r="AH69" s="108">
        <v>188000</v>
      </c>
      <c r="AI69" s="108">
        <v>150000</v>
      </c>
      <c r="AJ69" s="108"/>
      <c r="AK69" s="108">
        <f>DF69-CO69</f>
        <v>1185000</v>
      </c>
      <c r="AL69" s="108">
        <f t="shared" ref="AL69:AX70" si="40">DG69-CP69</f>
        <v>291000</v>
      </c>
      <c r="AM69" s="108">
        <f t="shared" si="40"/>
        <v>472000</v>
      </c>
      <c r="AN69" s="108">
        <f t="shared" si="40"/>
        <v>49393</v>
      </c>
      <c r="AO69" s="108">
        <f t="shared" si="40"/>
        <v>13000</v>
      </c>
      <c r="AP69" s="108">
        <f t="shared" si="40"/>
        <v>29000</v>
      </c>
      <c r="AQ69" s="108">
        <f t="shared" si="40"/>
        <v>244000</v>
      </c>
      <c r="AR69" s="108"/>
      <c r="AS69" s="108">
        <f t="shared" si="40"/>
        <v>809000</v>
      </c>
      <c r="AT69" s="108">
        <f t="shared" si="40"/>
        <v>10600</v>
      </c>
      <c r="AU69" s="108">
        <f t="shared" si="40"/>
        <v>226000</v>
      </c>
      <c r="AV69" s="108">
        <f t="shared" si="40"/>
        <v>1000</v>
      </c>
      <c r="AW69" s="108">
        <f t="shared" si="40"/>
        <v>40000</v>
      </c>
      <c r="AX69" s="108">
        <f t="shared" si="40"/>
        <v>205000</v>
      </c>
      <c r="AY69" s="108"/>
      <c r="AZ69" s="108">
        <f>25000+291000</f>
        <v>316000</v>
      </c>
      <c r="BA69" s="108">
        <f>105000</f>
        <v>105000</v>
      </c>
      <c r="BB69" s="108">
        <v>226000</v>
      </c>
      <c r="BC69" s="108">
        <f>12000+1000+14000</f>
        <v>27000</v>
      </c>
      <c r="BD69" s="108">
        <v>8000</v>
      </c>
      <c r="BE69" s="108">
        <v>19000</v>
      </c>
      <c r="BF69" s="108">
        <v>59000</v>
      </c>
      <c r="BG69" s="108"/>
      <c r="BH69" s="108">
        <v>393000</v>
      </c>
      <c r="BI69" s="108">
        <v>6000</v>
      </c>
      <c r="BJ69" s="108">
        <v>43000</v>
      </c>
      <c r="BK69" s="108">
        <v>0</v>
      </c>
      <c r="BL69" s="108">
        <v>4000</v>
      </c>
      <c r="BM69" s="108">
        <v>107000</v>
      </c>
      <c r="BN69" s="108"/>
      <c r="BO69" s="108"/>
      <c r="BP69" s="108">
        <f>AK69-AZ69</f>
        <v>869000</v>
      </c>
      <c r="BQ69" s="108">
        <f t="shared" si="10"/>
        <v>186000</v>
      </c>
      <c r="BR69" s="108">
        <f t="shared" si="10"/>
        <v>246000</v>
      </c>
      <c r="BS69" s="108">
        <f t="shared" si="10"/>
        <v>22393</v>
      </c>
      <c r="BT69" s="108">
        <f t="shared" si="10"/>
        <v>5000</v>
      </c>
      <c r="BU69" s="108">
        <f t="shared" si="34"/>
        <v>10000</v>
      </c>
      <c r="BV69" s="108">
        <f t="shared" si="35"/>
        <v>185000</v>
      </c>
      <c r="BW69" s="108"/>
      <c r="BX69" s="108">
        <f t="shared" si="35"/>
        <v>416000</v>
      </c>
      <c r="BY69" s="108">
        <f t="shared" si="35"/>
        <v>4600</v>
      </c>
      <c r="BZ69" s="108">
        <f t="shared" si="35"/>
        <v>183000</v>
      </c>
      <c r="CA69" s="108">
        <f t="shared" si="35"/>
        <v>1000</v>
      </c>
      <c r="CB69" s="108">
        <f t="shared" si="18"/>
        <v>36000</v>
      </c>
      <c r="CC69" s="108">
        <f t="shared" si="19"/>
        <v>98000</v>
      </c>
      <c r="CD69" s="108"/>
      <c r="CE69" s="108"/>
      <c r="CF69" s="108">
        <v>878380</v>
      </c>
      <c r="CG69" s="108">
        <v>438000</v>
      </c>
      <c r="CH69" s="108">
        <v>0</v>
      </c>
      <c r="CI69" s="108">
        <v>7650</v>
      </c>
      <c r="CJ69" s="108">
        <v>163673</v>
      </c>
      <c r="CK69" s="108">
        <v>164275</v>
      </c>
      <c r="CL69" s="108">
        <f t="shared" ref="CL69:CL70" si="41">CO69+CP69+CQ69+CR69+CS69+CT69+CU69+CV69+CW69+CX69+CY69+CZ69+DA69+DB69</f>
        <v>402007</v>
      </c>
      <c r="CM69" s="108">
        <f t="shared" ref="CM69:CM70" si="42">CF69-CI69-CJ69-CK69-CL69</f>
        <v>140775</v>
      </c>
      <c r="CN69" s="108"/>
      <c r="CO69" s="108">
        <f>69000+6000</f>
        <v>75000</v>
      </c>
      <c r="CP69" s="108">
        <v>114000</v>
      </c>
      <c r="CQ69" s="108">
        <v>16000</v>
      </c>
      <c r="CR69" s="108">
        <f>CR68</f>
        <v>9607</v>
      </c>
      <c r="CS69" s="108">
        <v>1000</v>
      </c>
      <c r="CT69" s="108">
        <v>4000</v>
      </c>
      <c r="CU69" s="108">
        <v>28000</v>
      </c>
      <c r="CV69" s="108"/>
      <c r="CW69" s="108">
        <v>80000</v>
      </c>
      <c r="CX69" s="108">
        <v>400</v>
      </c>
      <c r="CY69" s="108">
        <v>66000</v>
      </c>
      <c r="CZ69" s="108">
        <v>0</v>
      </c>
      <c r="DA69" s="108">
        <v>1000</v>
      </c>
      <c r="DB69" s="108">
        <v>7000</v>
      </c>
      <c r="DC69" s="108"/>
      <c r="DD69" s="108">
        <v>5000</v>
      </c>
      <c r="DE69" s="108"/>
      <c r="DF69" s="120">
        <f>443000+817000</f>
        <v>1260000</v>
      </c>
      <c r="DG69" s="120">
        <v>405000</v>
      </c>
      <c r="DH69" s="120">
        <v>488000</v>
      </c>
      <c r="DI69" s="120">
        <f>34000+22000+3000</f>
        <v>59000</v>
      </c>
      <c r="DJ69" s="120">
        <v>14000</v>
      </c>
      <c r="DK69" s="120">
        <v>33000</v>
      </c>
      <c r="DL69" s="120">
        <v>272000</v>
      </c>
      <c r="DM69" s="120"/>
      <c r="DN69" s="120">
        <v>889000</v>
      </c>
      <c r="DO69" s="120">
        <v>11000</v>
      </c>
      <c r="DP69" s="120">
        <v>292000</v>
      </c>
      <c r="DQ69" s="120">
        <v>1000</v>
      </c>
      <c r="DR69" s="120">
        <v>41000</v>
      </c>
      <c r="DS69" s="120">
        <v>212000</v>
      </c>
    </row>
    <row r="70" spans="1:123" s="107" customFormat="1" ht="13">
      <c r="A70" s="114" t="s">
        <v>147</v>
      </c>
      <c r="B70" s="108">
        <f>E70+D70</f>
        <v>12450544</v>
      </c>
      <c r="C70" s="109"/>
      <c r="D70" s="108">
        <v>4237358</v>
      </c>
      <c r="E70" s="108">
        <v>8213186</v>
      </c>
      <c r="F70" s="108"/>
      <c r="G70" s="108"/>
      <c r="H70" s="108"/>
      <c r="I70" s="108"/>
      <c r="J70" s="108"/>
      <c r="K70" s="108"/>
      <c r="L70" s="108">
        <v>4772000</v>
      </c>
      <c r="M70" s="109">
        <v>630000</v>
      </c>
      <c r="N70" s="108">
        <f>L70-M70</f>
        <v>4142000</v>
      </c>
      <c r="O70" s="108"/>
      <c r="P70" s="108">
        <f>AK70+AL70+AM70+AN70+AO70+AP70+AQ70+AR70+AS70+AT70+AU70+AV70+AW70+AX70</f>
        <v>3959993</v>
      </c>
      <c r="Q70" s="108">
        <f>AZ70+BA70+BB70+BC70+BD70+BE70+BF70+BH70+BI70+BJ70+BK70+BL70+BM70</f>
        <v>1490000</v>
      </c>
      <c r="R70" s="108">
        <f>BP70+BQ70+BR70+BS70+BT70+BU70+BV70+BX70+BY70+BZ70+CA70+CB70+CC70</f>
        <v>2469993</v>
      </c>
      <c r="S70" s="108">
        <f>B70-P70-V70-Y70</f>
        <v>5210045.0154398056</v>
      </c>
      <c r="T70" s="108">
        <f>D70-Q70-W70-AB70</f>
        <v>2021415.5473564914</v>
      </c>
      <c r="U70" s="108">
        <f>E70-R70-X70-AC70</f>
        <v>3186843.4560402362</v>
      </c>
      <c r="V70" s="108">
        <f t="shared" si="39"/>
        <v>3192505.9845601944</v>
      </c>
      <c r="W70" s="108">
        <f t="shared" si="39"/>
        <v>725942.45264350856</v>
      </c>
      <c r="X70" s="108">
        <f t="shared" si="39"/>
        <v>2468349.5439597638</v>
      </c>
      <c r="Y70" s="108">
        <f>AB70+AC70</f>
        <v>88000</v>
      </c>
      <c r="Z70" s="108">
        <f t="shared" si="38"/>
        <v>-8000</v>
      </c>
      <c r="AA70" s="108">
        <f>4000+92000</f>
        <v>96000</v>
      </c>
      <c r="AB70" s="108">
        <v>0</v>
      </c>
      <c r="AC70" s="108">
        <v>88000</v>
      </c>
      <c r="AD70" s="108">
        <f>1363000+221000</f>
        <v>1584000</v>
      </c>
      <c r="AE70" s="108">
        <v>221000</v>
      </c>
      <c r="AF70" s="108">
        <v>1363000</v>
      </c>
      <c r="AG70" s="108">
        <f>AH70+AI70</f>
        <v>398000</v>
      </c>
      <c r="AH70" s="108">
        <v>226000</v>
      </c>
      <c r="AI70" s="108">
        <v>172000</v>
      </c>
      <c r="AJ70" s="108"/>
      <c r="AK70" s="108">
        <f>DF70-CO70</f>
        <v>1201000</v>
      </c>
      <c r="AL70" s="108">
        <f t="shared" si="40"/>
        <v>349000</v>
      </c>
      <c r="AM70" s="108">
        <f t="shared" si="40"/>
        <v>540000</v>
      </c>
      <c r="AN70" s="108">
        <f t="shared" si="40"/>
        <v>50393</v>
      </c>
      <c r="AO70" s="108">
        <f t="shared" si="40"/>
        <v>14000</v>
      </c>
      <c r="AP70" s="108">
        <f t="shared" si="40"/>
        <v>27000</v>
      </c>
      <c r="AQ70" s="108">
        <f t="shared" si="40"/>
        <v>278000</v>
      </c>
      <c r="AR70" s="108"/>
      <c r="AS70" s="108">
        <f t="shared" si="40"/>
        <v>948000</v>
      </c>
      <c r="AT70" s="108">
        <f t="shared" si="40"/>
        <v>6000</v>
      </c>
      <c r="AU70" s="108">
        <f t="shared" si="40"/>
        <v>266000</v>
      </c>
      <c r="AV70" s="108">
        <f t="shared" si="40"/>
        <v>3000</v>
      </c>
      <c r="AW70" s="108">
        <f t="shared" si="40"/>
        <v>45600</v>
      </c>
      <c r="AX70" s="108">
        <f t="shared" si="40"/>
        <v>232000</v>
      </c>
      <c r="AY70" s="108"/>
      <c r="AZ70" s="108">
        <f>292000+22000</f>
        <v>314000</v>
      </c>
      <c r="BA70" s="108">
        <v>108000</v>
      </c>
      <c r="BB70" s="108">
        <v>263000</v>
      </c>
      <c r="BC70" s="108">
        <f>21000+11000+1000</f>
        <v>33000</v>
      </c>
      <c r="BD70" s="108">
        <v>8000</v>
      </c>
      <c r="BE70" s="108">
        <v>18000</v>
      </c>
      <c r="BF70" s="108">
        <v>68000</v>
      </c>
      <c r="BG70" s="108"/>
      <c r="BH70" s="108">
        <v>516000</v>
      </c>
      <c r="BI70" s="108">
        <v>2000</v>
      </c>
      <c r="BJ70" s="108">
        <v>47000</v>
      </c>
      <c r="BK70" s="108">
        <v>0</v>
      </c>
      <c r="BL70" s="108">
        <v>7000</v>
      </c>
      <c r="BM70" s="108">
        <v>106000</v>
      </c>
      <c r="BN70" s="108"/>
      <c r="BO70" s="108"/>
      <c r="BP70" s="108">
        <f>AK70-AZ70</f>
        <v>887000</v>
      </c>
      <c r="BQ70" s="108">
        <f>AL70-BA70</f>
        <v>241000</v>
      </c>
      <c r="BR70" s="108">
        <f>AM70-BB70</f>
        <v>277000</v>
      </c>
      <c r="BS70" s="108">
        <f>AN70-BC70</f>
        <v>17393</v>
      </c>
      <c r="BT70" s="108">
        <f>AO70-BD70</f>
        <v>6000</v>
      </c>
      <c r="BU70" s="108">
        <f t="shared" si="34"/>
        <v>9000</v>
      </c>
      <c r="BV70" s="108">
        <f t="shared" si="35"/>
        <v>210000</v>
      </c>
      <c r="BW70" s="108"/>
      <c r="BX70" s="108">
        <f t="shared" si="35"/>
        <v>432000</v>
      </c>
      <c r="BY70" s="108">
        <f t="shared" si="35"/>
        <v>4000</v>
      </c>
      <c r="BZ70" s="108">
        <f t="shared" si="35"/>
        <v>219000</v>
      </c>
      <c r="CA70" s="108">
        <f t="shared" si="35"/>
        <v>3000</v>
      </c>
      <c r="CB70" s="108">
        <f t="shared" si="18"/>
        <v>38600</v>
      </c>
      <c r="CC70" s="108">
        <f t="shared" si="19"/>
        <v>126000</v>
      </c>
      <c r="CD70" s="108"/>
      <c r="CE70" s="108"/>
      <c r="CF70" s="108">
        <v>810726</v>
      </c>
      <c r="CG70" s="108">
        <v>377000</v>
      </c>
      <c r="CH70" s="108">
        <v>0</v>
      </c>
      <c r="CI70" s="108">
        <v>9307</v>
      </c>
      <c r="CJ70" s="108">
        <v>162348</v>
      </c>
      <c r="CK70" s="108">
        <v>187466</v>
      </c>
      <c r="CL70" s="108">
        <f t="shared" si="41"/>
        <v>381007</v>
      </c>
      <c r="CM70" s="108">
        <f t="shared" si="42"/>
        <v>70598</v>
      </c>
      <c r="CN70" s="108"/>
      <c r="CO70" s="108">
        <f>72000+11000</f>
        <v>83000</v>
      </c>
      <c r="CP70" s="108">
        <v>104000</v>
      </c>
      <c r="CQ70" s="108">
        <v>26000</v>
      </c>
      <c r="CR70" s="108">
        <f>CR69</f>
        <v>9607</v>
      </c>
      <c r="CS70" s="108">
        <v>1000</v>
      </c>
      <c r="CT70" s="108">
        <v>2000</v>
      </c>
      <c r="CU70" s="108">
        <v>22000</v>
      </c>
      <c r="CV70" s="108"/>
      <c r="CW70" s="108">
        <v>83000</v>
      </c>
      <c r="CX70" s="108">
        <v>1000</v>
      </c>
      <c r="CY70" s="108">
        <v>40000</v>
      </c>
      <c r="CZ70" s="108">
        <v>0</v>
      </c>
      <c r="DA70" s="108">
        <v>400</v>
      </c>
      <c r="DB70" s="108">
        <v>9000</v>
      </c>
      <c r="DC70" s="108"/>
      <c r="DD70" s="108">
        <v>9000</v>
      </c>
      <c r="DE70" s="108"/>
      <c r="DF70" s="120">
        <f>447000+837000</f>
        <v>1284000</v>
      </c>
      <c r="DG70" s="120">
        <v>453000</v>
      </c>
      <c r="DH70" s="120">
        <v>566000</v>
      </c>
      <c r="DI70" s="120">
        <f>2000+28000+30000</f>
        <v>60000</v>
      </c>
      <c r="DJ70" s="120">
        <v>15000</v>
      </c>
      <c r="DK70" s="120">
        <v>29000</v>
      </c>
      <c r="DL70" s="120">
        <v>300000</v>
      </c>
      <c r="DM70" s="120"/>
      <c r="DN70" s="120">
        <v>1031000</v>
      </c>
      <c r="DO70" s="120">
        <v>7000</v>
      </c>
      <c r="DP70" s="120">
        <v>306000</v>
      </c>
      <c r="DQ70" s="120">
        <v>3000</v>
      </c>
      <c r="DR70" s="120">
        <v>46000</v>
      </c>
      <c r="DS70" s="120">
        <v>241000</v>
      </c>
    </row>
    <row r="71" spans="1:123"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</row>
  </sheetData>
  <hyperlinks>
    <hyperlink ref="B7" r:id="rId1" display="Bertaut &amp; Tryon (2007)"/>
    <hyperlink ref="G7" r:id="rId2" display="U.S. Treasury"/>
    <hyperlink ref="P8" r:id="rId3" display="For 74-78, see link"/>
    <hyperlink ref="H7" r:id="rId4" display="U.S. Treasury"/>
    <hyperlink ref="F7" r:id="rId5" display="U.S. Treasury"/>
    <hyperlink ref="CF7" r:id="rId6"/>
    <hyperlink ref="CG7" r:id="rId7"/>
    <hyperlink ref="CJ7" r:id="rId8"/>
    <hyperlink ref="CK7" r:id="rId9"/>
    <hyperlink ref="CL7" r:id="rId10"/>
    <hyperlink ref="CH7" r:id="rId11"/>
    <hyperlink ref="CI7" r:id="rId12"/>
    <hyperlink ref="BN8" r:id="rId13" display="For 74-78, see link"/>
    <hyperlink ref="CP7" r:id="rId14"/>
    <hyperlink ref="CO7" r:id="rId15"/>
    <hyperlink ref="CQ7" r:id="rId16"/>
    <hyperlink ref="CR7" r:id="rId17"/>
    <hyperlink ref="CS7" r:id="rId18"/>
    <hyperlink ref="CT7" r:id="rId19"/>
    <hyperlink ref="CU7" r:id="rId20"/>
    <hyperlink ref="DC7" r:id="rId21"/>
    <hyperlink ref="CV7" r:id="rId22"/>
    <hyperlink ref="CW7" r:id="rId23"/>
    <hyperlink ref="CX7" r:id="rId24"/>
    <hyperlink ref="CY7" r:id="rId25"/>
    <hyperlink ref="CZ7" r:id="rId26"/>
    <hyperlink ref="DA7" r:id="rId27"/>
    <hyperlink ref="DB7" r:id="rId28"/>
    <hyperlink ref="DD7" r:id="rId29"/>
    <hyperlink ref="C7" r:id="rId30"/>
    <hyperlink ref="D7" r:id="rId31" display="Bertaut &amp; Tryon (2007)"/>
    <hyperlink ref="E7" r:id="rId32" display="Bertaut &amp; Tryon (2007)"/>
    <hyperlink ref="L7" r:id="rId33" display="Bertaut &amp; Tryon (2007)"/>
    <hyperlink ref="M7" r:id="rId34" display="Bertaut &amp; Tryon (2007)"/>
    <hyperlink ref="N7" r:id="rId35" display="Bertaut &amp; Tryon (2007)"/>
    <hyperlink ref="CD8" r:id="rId36" display="For 74-78, see link"/>
    <hyperlink ref="I7" r:id="rId37"/>
    <hyperlink ref="J7" r:id="rId38"/>
    <hyperlink ref="K7" r:id="rId39"/>
  </hyperlinks>
  <pageMargins left="0.75" right="0.75" top="1" bottom="1" header="0.5" footer="0.5"/>
  <ignoredErrors>
    <ignoredError sqref="P69:P70" emptyCellReference="1"/>
  </ignoredErrors>
  <legacyDrawing r:id="rId4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S169"/>
  <sheetViews>
    <sheetView workbookViewId="0">
      <pane xSplit="1" ySplit="8" topLeftCell="B9" activePane="bottomRight" state="frozen"/>
      <selection pane="topRight" activeCell="C1" sqref="C1"/>
      <selection pane="bottomLeft" activeCell="A8" sqref="A8"/>
      <selection pane="bottomRight" activeCell="A3" sqref="A3:L3"/>
    </sheetView>
  </sheetViews>
  <sheetFormatPr baseColWidth="10" defaultRowHeight="15" x14ac:dyDescent="0"/>
  <cols>
    <col min="1" max="1" width="10.83203125" style="93"/>
    <col min="2" max="2" width="12.6640625" style="93" customWidth="1"/>
    <col min="3" max="7" width="10.83203125" style="93"/>
    <col min="8" max="8" width="10.83203125" style="97"/>
    <col min="9" max="11" width="10.83203125" style="93"/>
    <col min="12" max="12" width="13" style="93" bestFit="1" customWidth="1"/>
    <col min="13" max="13" width="13" style="93" customWidth="1"/>
    <col min="14" max="16384" width="10.83203125" style="93"/>
  </cols>
  <sheetData>
    <row r="2" spans="1:19" ht="16" thickBot="1">
      <c r="B2" s="96"/>
    </row>
    <row r="3" spans="1:19" ht="18" thickTop="1">
      <c r="A3" s="449" t="s">
        <v>177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1"/>
      <c r="M3" s="283"/>
    </row>
    <row r="4" spans="1:19">
      <c r="A4" s="7"/>
      <c r="B4" s="8"/>
      <c r="C4" s="8"/>
      <c r="D4" s="9"/>
      <c r="E4" s="9"/>
      <c r="F4" s="9"/>
      <c r="G4" s="8"/>
      <c r="H4" s="86"/>
      <c r="I4" s="9"/>
      <c r="J4" s="9"/>
      <c r="K4" s="9"/>
      <c r="L4" s="10"/>
      <c r="M4" s="9"/>
    </row>
    <row r="5" spans="1:19" ht="16" thickBot="1">
      <c r="A5" s="129"/>
      <c r="B5" s="11" t="s">
        <v>17</v>
      </c>
      <c r="C5" s="12" t="s">
        <v>18</v>
      </c>
      <c r="D5" s="11" t="s">
        <v>19</v>
      </c>
      <c r="E5" s="2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22" t="s">
        <v>26</v>
      </c>
      <c r="K5" s="22" t="s">
        <v>27</v>
      </c>
      <c r="L5" s="39" t="s">
        <v>28</v>
      </c>
      <c r="M5" s="22"/>
    </row>
    <row r="6" spans="1:19" ht="15" customHeight="1">
      <c r="A6" s="129"/>
      <c r="B6" s="452" t="s">
        <v>138</v>
      </c>
      <c r="C6" s="454" t="s">
        <v>136</v>
      </c>
      <c r="D6" s="456" t="s">
        <v>137</v>
      </c>
      <c r="E6" s="458" t="s">
        <v>133</v>
      </c>
      <c r="F6" s="460" t="s">
        <v>134</v>
      </c>
      <c r="G6" s="462" t="s">
        <v>168</v>
      </c>
      <c r="H6" s="460" t="s">
        <v>135</v>
      </c>
      <c r="I6" s="464" t="s">
        <v>132</v>
      </c>
      <c r="J6" s="466" t="s">
        <v>130</v>
      </c>
      <c r="K6" s="466" t="s">
        <v>131</v>
      </c>
      <c r="L6" s="474" t="s">
        <v>170</v>
      </c>
      <c r="M6" s="140"/>
    </row>
    <row r="7" spans="1:19" ht="15" customHeight="1">
      <c r="A7" s="129"/>
      <c r="B7" s="453"/>
      <c r="C7" s="455"/>
      <c r="D7" s="457"/>
      <c r="E7" s="459"/>
      <c r="F7" s="461"/>
      <c r="G7" s="463"/>
      <c r="H7" s="461"/>
      <c r="I7" s="465"/>
      <c r="J7" s="467"/>
      <c r="K7" s="467"/>
      <c r="L7" s="475"/>
      <c r="M7" s="140"/>
    </row>
    <row r="8" spans="1:19" ht="100" customHeight="1" thickBot="1">
      <c r="A8" s="130"/>
      <c r="B8" s="453"/>
      <c r="C8" s="455"/>
      <c r="D8" s="457"/>
      <c r="E8" s="459"/>
      <c r="F8" s="461"/>
      <c r="G8" s="463"/>
      <c r="H8" s="461"/>
      <c r="I8" s="465"/>
      <c r="J8" s="467"/>
      <c r="K8" s="467"/>
      <c r="L8" s="475"/>
      <c r="M8" s="140"/>
      <c r="N8" s="131" t="s">
        <v>140</v>
      </c>
      <c r="O8" s="131" t="s">
        <v>141</v>
      </c>
      <c r="P8" s="131"/>
      <c r="Q8" s="131" t="s">
        <v>143</v>
      </c>
      <c r="R8" s="131" t="s">
        <v>142</v>
      </c>
      <c r="S8" s="131" t="s">
        <v>144</v>
      </c>
    </row>
    <row r="9" spans="1:19" ht="31" customHeight="1">
      <c r="A9" s="129"/>
      <c r="B9" s="476" t="s">
        <v>171</v>
      </c>
      <c r="C9" s="477"/>
      <c r="D9" s="477"/>
      <c r="E9" s="477"/>
      <c r="F9" s="477"/>
      <c r="G9" s="477"/>
      <c r="H9" s="477"/>
      <c r="I9" s="477"/>
      <c r="J9" s="477"/>
      <c r="K9" s="477"/>
      <c r="L9" s="478"/>
      <c r="M9" s="72"/>
      <c r="Q9" s="131"/>
      <c r="R9" s="131"/>
      <c r="S9" s="131"/>
    </row>
    <row r="10" spans="1:19">
      <c r="A10" s="132">
        <v>1853</v>
      </c>
      <c r="B10" s="81">
        <v>0</v>
      </c>
      <c r="C10" s="133">
        <v>0</v>
      </c>
      <c r="D10" s="134">
        <v>0</v>
      </c>
      <c r="E10" s="89">
        <v>0</v>
      </c>
      <c r="F10" s="89">
        <v>0</v>
      </c>
      <c r="G10" s="135">
        <v>0</v>
      </c>
      <c r="H10" s="89">
        <v>0</v>
      </c>
      <c r="I10" s="91"/>
      <c r="J10" s="89"/>
      <c r="K10" s="89"/>
      <c r="L10" s="267">
        <v>2.367</v>
      </c>
      <c r="M10" s="177"/>
    </row>
    <row r="11" spans="1:19">
      <c r="A11" s="132">
        <v>1869</v>
      </c>
      <c r="B11" s="88">
        <v>0.1</v>
      </c>
      <c r="C11" s="133" t="s">
        <v>129</v>
      </c>
      <c r="D11" s="135" t="s">
        <v>129</v>
      </c>
      <c r="E11" s="139" t="s">
        <v>129</v>
      </c>
      <c r="F11" s="139" t="s">
        <v>129</v>
      </c>
      <c r="G11" s="135" t="s">
        <v>129</v>
      </c>
      <c r="H11" s="92" t="s">
        <v>129</v>
      </c>
      <c r="I11" s="135"/>
      <c r="J11" s="139"/>
      <c r="K11" s="139"/>
      <c r="L11" s="268">
        <v>7.5859910581222065</v>
      </c>
      <c r="M11" s="176"/>
    </row>
    <row r="12" spans="1:19">
      <c r="A12" s="132">
        <v>1899</v>
      </c>
      <c r="B12" s="88">
        <v>0.7</v>
      </c>
      <c r="C12" s="133">
        <v>0.6</v>
      </c>
      <c r="D12" s="134">
        <v>0.1</v>
      </c>
      <c r="E12" s="30" t="s">
        <v>129</v>
      </c>
      <c r="F12" s="30" t="s">
        <v>129</v>
      </c>
      <c r="G12" s="137">
        <v>0</v>
      </c>
      <c r="H12" s="30" t="s">
        <v>129</v>
      </c>
      <c r="I12" s="75"/>
      <c r="J12" s="30"/>
      <c r="K12" s="30"/>
      <c r="L12" s="269">
        <v>15.9375</v>
      </c>
      <c r="M12" s="178"/>
    </row>
    <row r="13" spans="1:19">
      <c r="A13" s="238">
        <v>1914</v>
      </c>
      <c r="B13" s="224">
        <v>3.5</v>
      </c>
      <c r="C13" s="239">
        <v>2.7</v>
      </c>
      <c r="D13" s="240">
        <v>0.8</v>
      </c>
      <c r="E13" s="217" t="s">
        <v>129</v>
      </c>
      <c r="F13" s="217" t="s">
        <v>129</v>
      </c>
      <c r="G13" s="241">
        <v>0</v>
      </c>
      <c r="H13" s="217" t="s">
        <v>129</v>
      </c>
      <c r="I13" s="218">
        <v>1.5</v>
      </c>
      <c r="J13" s="217"/>
      <c r="K13" s="217"/>
      <c r="L13" s="270">
        <v>30.464010282776353</v>
      </c>
      <c r="M13" s="178"/>
    </row>
    <row r="14" spans="1:19">
      <c r="A14" s="142">
        <v>1918</v>
      </c>
      <c r="B14" s="82">
        <v>13.7</v>
      </c>
      <c r="C14" s="143">
        <v>3.6</v>
      </c>
      <c r="D14" s="144">
        <v>2.5</v>
      </c>
      <c r="E14" s="30" t="s">
        <v>129</v>
      </c>
      <c r="F14" s="30" t="s">
        <v>129</v>
      </c>
      <c r="G14" s="145">
        <v>7.6</v>
      </c>
      <c r="H14" s="30" t="s">
        <v>129</v>
      </c>
      <c r="I14" s="75">
        <v>2.87</v>
      </c>
      <c r="J14" s="30"/>
      <c r="K14" s="30"/>
      <c r="L14" s="269">
        <v>62.332826815642463</v>
      </c>
      <c r="M14" s="178"/>
    </row>
    <row r="15" spans="1:19">
      <c r="A15" s="142">
        <v>1924</v>
      </c>
      <c r="B15" s="82">
        <v>10.9</v>
      </c>
      <c r="C15" s="143">
        <v>5.4</v>
      </c>
      <c r="D15" s="144">
        <f>B15-C15-G15</f>
        <v>4.7</v>
      </c>
      <c r="E15" s="30" t="s">
        <v>129</v>
      </c>
      <c r="F15" s="30" t="s">
        <v>129</v>
      </c>
      <c r="G15" s="145">
        <f>H15</f>
        <v>0.8</v>
      </c>
      <c r="H15" s="30">
        <v>0.8</v>
      </c>
      <c r="I15" s="75">
        <v>4.2</v>
      </c>
      <c r="J15" s="30"/>
      <c r="K15" s="30"/>
      <c r="L15" s="269">
        <v>79.612457075471696</v>
      </c>
      <c r="M15" s="178"/>
    </row>
    <row r="16" spans="1:19">
      <c r="A16" s="142">
        <v>1929</v>
      </c>
      <c r="B16" s="82">
        <v>17.2</v>
      </c>
      <c r="C16" s="143">
        <v>8</v>
      </c>
      <c r="D16" s="144">
        <f>B16-C16-G16</f>
        <v>7.1999999999999993</v>
      </c>
      <c r="E16" s="30" t="s">
        <v>129</v>
      </c>
      <c r="F16" s="30" t="s">
        <v>129</v>
      </c>
      <c r="G16" s="145">
        <f>H16</f>
        <v>2</v>
      </c>
      <c r="H16" s="30">
        <v>2</v>
      </c>
      <c r="I16" s="75">
        <v>4</v>
      </c>
      <c r="J16" s="30"/>
      <c r="K16" s="30"/>
      <c r="L16" s="269">
        <v>93.9</v>
      </c>
      <c r="M16" s="178"/>
    </row>
    <row r="17" spans="1:13">
      <c r="A17" s="142">
        <v>1934</v>
      </c>
      <c r="B17" s="82">
        <v>13.5</v>
      </c>
      <c r="C17" s="143">
        <v>7.8</v>
      </c>
      <c r="D17" s="144">
        <f>B17-C17-G17</f>
        <v>4.8</v>
      </c>
      <c r="E17" s="30" t="s">
        <v>129</v>
      </c>
      <c r="F17" s="30" t="s">
        <v>129</v>
      </c>
      <c r="G17" s="145">
        <f>H17</f>
        <v>0.9</v>
      </c>
      <c r="H17" s="30">
        <v>0.9</v>
      </c>
      <c r="I17" s="75">
        <v>8.1999999999999993</v>
      </c>
      <c r="J17" s="30"/>
      <c r="K17" s="30"/>
      <c r="L17" s="269">
        <v>58.1</v>
      </c>
      <c r="M17" s="178"/>
    </row>
    <row r="18" spans="1:13">
      <c r="A18" s="238">
        <v>1937</v>
      </c>
      <c r="B18" s="224">
        <f>(B17+B19)/2</f>
        <v>12.85</v>
      </c>
      <c r="C18" s="239">
        <f>(C17+C19)/2</f>
        <v>7.55</v>
      </c>
      <c r="D18" s="240">
        <f>(D17+D19)/2</f>
        <v>4.3999999999999995</v>
      </c>
      <c r="E18" s="217" t="s">
        <v>129</v>
      </c>
      <c r="F18" s="217" t="s">
        <v>129</v>
      </c>
      <c r="G18" s="241">
        <f>H18</f>
        <v>0.9</v>
      </c>
      <c r="H18" s="217">
        <f>(H17+H19)/2</f>
        <v>0.9</v>
      </c>
      <c r="I18" s="218">
        <v>12.8</v>
      </c>
      <c r="J18" s="217"/>
      <c r="K18" s="217"/>
      <c r="L18" s="270">
        <v>83.3</v>
      </c>
      <c r="M18" s="178"/>
    </row>
    <row r="19" spans="1:13">
      <c r="A19" s="142">
        <v>1941</v>
      </c>
      <c r="B19" s="82">
        <v>12.2</v>
      </c>
      <c r="C19" s="143">
        <v>7.3</v>
      </c>
      <c r="D19" s="144">
        <f>B19-C19-G19</f>
        <v>3.9999999999999996</v>
      </c>
      <c r="E19" s="30" t="s">
        <v>129</v>
      </c>
      <c r="F19" s="30" t="s">
        <v>129</v>
      </c>
      <c r="G19" s="145">
        <f>H19</f>
        <v>0.9</v>
      </c>
      <c r="H19" s="30">
        <v>0.9</v>
      </c>
      <c r="I19" s="75">
        <v>22.1</v>
      </c>
      <c r="J19" s="30"/>
      <c r="K19" s="30"/>
      <c r="L19" s="269">
        <v>115.8</v>
      </c>
      <c r="M19" s="178"/>
    </row>
    <row r="20" spans="1:13">
      <c r="A20" s="142">
        <v>1945</v>
      </c>
      <c r="B20" s="82">
        <v>15.843999999999999</v>
      </c>
      <c r="C20" s="148">
        <v>7.2270000000000003</v>
      </c>
      <c r="D20" s="78">
        <f t="shared" ref="D20:D50" si="0">E20+F20</f>
        <v>3.8549999999999995</v>
      </c>
      <c r="E20" s="31">
        <v>0.94199999999999995</v>
      </c>
      <c r="F20" s="31">
        <v>2.9129999999999998</v>
      </c>
      <c r="G20" s="149">
        <f t="shared" ref="G20:G42" si="1">B20-C20-D20</f>
        <v>4.7619999999999996</v>
      </c>
      <c r="H20" s="31">
        <v>0</v>
      </c>
      <c r="I20" s="75">
        <v>20</v>
      </c>
      <c r="J20" s="30"/>
      <c r="K20" s="30"/>
      <c r="L20" s="269">
        <v>198.3</v>
      </c>
      <c r="M20" s="178"/>
    </row>
    <row r="21" spans="1:13">
      <c r="A21" s="142">
        <v>1946</v>
      </c>
      <c r="B21" s="82">
        <v>18.341000000000001</v>
      </c>
      <c r="C21" s="148">
        <v>7.2270000000000003</v>
      </c>
      <c r="D21" s="78">
        <f t="shared" si="0"/>
        <v>3.8220000000000001</v>
      </c>
      <c r="E21" s="31">
        <v>1.0009999999999999</v>
      </c>
      <c r="F21" s="31">
        <v>2.8210000000000002</v>
      </c>
      <c r="G21" s="149">
        <f t="shared" si="1"/>
        <v>7.2920000000000007</v>
      </c>
      <c r="H21" s="31">
        <v>0</v>
      </c>
      <c r="I21" s="75"/>
      <c r="J21" s="30"/>
      <c r="K21" s="30"/>
      <c r="L21" s="269">
        <v>198.6</v>
      </c>
      <c r="M21" s="178"/>
    </row>
    <row r="22" spans="1:13">
      <c r="A22" s="142">
        <v>1947</v>
      </c>
      <c r="B22" s="82">
        <v>24.937000000000001</v>
      </c>
      <c r="C22" s="148">
        <v>8.3659999999999997</v>
      </c>
      <c r="D22" s="78">
        <f t="shared" si="0"/>
        <v>3.7719999999999998</v>
      </c>
      <c r="E22" s="31">
        <v>0.97199999999999998</v>
      </c>
      <c r="F22" s="31">
        <v>2.8</v>
      </c>
      <c r="G22" s="149">
        <f t="shared" si="1"/>
        <v>12.799000000000001</v>
      </c>
      <c r="H22" s="31">
        <v>0</v>
      </c>
      <c r="I22" s="150"/>
      <c r="J22" s="30"/>
      <c r="K22" s="30"/>
      <c r="L22" s="269">
        <v>216.3</v>
      </c>
      <c r="M22" s="178"/>
    </row>
    <row r="23" spans="1:13">
      <c r="A23" s="142">
        <v>1948</v>
      </c>
      <c r="B23" s="82">
        <v>27.683</v>
      </c>
      <c r="C23" s="148">
        <v>9.625</v>
      </c>
      <c r="D23" s="78">
        <f t="shared" si="0"/>
        <v>3.8239999999999998</v>
      </c>
      <c r="E23" s="31">
        <v>0.94399999999999995</v>
      </c>
      <c r="F23" s="31">
        <v>2.88</v>
      </c>
      <c r="G23" s="149">
        <f t="shared" si="1"/>
        <v>14.234</v>
      </c>
      <c r="H23" s="31">
        <v>0</v>
      </c>
      <c r="I23" s="75">
        <v>24.399000000000001</v>
      </c>
      <c r="J23" s="30"/>
      <c r="K23" s="30"/>
      <c r="L23" s="269">
        <v>242.6</v>
      </c>
      <c r="M23" s="178"/>
    </row>
    <row r="24" spans="1:13">
      <c r="A24" s="223">
        <v>1949</v>
      </c>
      <c r="B24" s="224">
        <v>28.98</v>
      </c>
      <c r="C24" s="225">
        <v>10.7</v>
      </c>
      <c r="D24" s="226">
        <f t="shared" si="0"/>
        <v>3.5789999999999997</v>
      </c>
      <c r="E24" s="227">
        <v>0.70799999999999996</v>
      </c>
      <c r="F24" s="227">
        <v>2.871</v>
      </c>
      <c r="G24" s="228">
        <f t="shared" si="1"/>
        <v>14.701000000000001</v>
      </c>
      <c r="H24" s="227">
        <v>0</v>
      </c>
      <c r="I24" s="218"/>
      <c r="J24" s="217"/>
      <c r="K24" s="217"/>
      <c r="L24" s="270">
        <v>237.5</v>
      </c>
      <c r="M24" s="178"/>
    </row>
    <row r="25" spans="1:13">
      <c r="A25" s="151">
        <v>1950</v>
      </c>
      <c r="B25" s="82">
        <v>31.042000000000002</v>
      </c>
      <c r="C25" s="148">
        <v>11.788</v>
      </c>
      <c r="D25" s="78">
        <f t="shared" si="0"/>
        <v>4.2969999999999997</v>
      </c>
      <c r="E25" s="31">
        <v>1.175</v>
      </c>
      <c r="F25" s="31">
        <v>3.1219999999999999</v>
      </c>
      <c r="G25" s="149">
        <f t="shared" si="1"/>
        <v>14.957000000000001</v>
      </c>
      <c r="H25" s="31">
        <v>0</v>
      </c>
      <c r="I25" s="75">
        <v>22.82</v>
      </c>
      <c r="J25" s="30"/>
      <c r="K25" s="30"/>
      <c r="L25" s="269">
        <v>263.89999999999998</v>
      </c>
      <c r="M25" s="178"/>
    </row>
    <row r="26" spans="1:13">
      <c r="A26" s="151">
        <v>1951</v>
      </c>
      <c r="B26" s="82">
        <v>33.156999999999996</v>
      </c>
      <c r="C26" s="148">
        <v>12.978999999999999</v>
      </c>
      <c r="D26" s="78">
        <f t="shared" si="0"/>
        <v>4.7889999999999997</v>
      </c>
      <c r="E26" s="31">
        <v>1.39</v>
      </c>
      <c r="F26" s="31">
        <v>3.399</v>
      </c>
      <c r="G26" s="149">
        <f t="shared" si="1"/>
        <v>15.388999999999998</v>
      </c>
      <c r="H26" s="31">
        <v>0</v>
      </c>
      <c r="I26" s="75"/>
      <c r="J26" s="30"/>
      <c r="K26" s="30"/>
      <c r="L26" s="269">
        <v>303.8</v>
      </c>
      <c r="M26" s="178"/>
    </row>
    <row r="27" spans="1:13">
      <c r="A27" s="151">
        <v>1952</v>
      </c>
      <c r="B27" s="82">
        <v>36.283999999999999</v>
      </c>
      <c r="C27" s="148">
        <v>14.721</v>
      </c>
      <c r="D27" s="78">
        <f t="shared" si="0"/>
        <v>4.8849999999999998</v>
      </c>
      <c r="E27" s="31">
        <v>1.4590000000000001</v>
      </c>
      <c r="F27" s="31">
        <v>3.4260000000000002</v>
      </c>
      <c r="G27" s="149">
        <f t="shared" si="1"/>
        <v>16.677999999999997</v>
      </c>
      <c r="H27" s="31">
        <v>0</v>
      </c>
      <c r="I27" s="75"/>
      <c r="J27" s="30"/>
      <c r="K27" s="30"/>
      <c r="L27" s="269">
        <v>321.3</v>
      </c>
      <c r="M27" s="178"/>
    </row>
    <row r="28" spans="1:13">
      <c r="A28" s="151">
        <v>1953</v>
      </c>
      <c r="B28" s="82">
        <v>38.543999999999997</v>
      </c>
      <c r="C28" s="148">
        <v>16.253</v>
      </c>
      <c r="D28" s="78">
        <f t="shared" si="0"/>
        <v>4.6429999999999998</v>
      </c>
      <c r="E28" s="31">
        <v>1.329</v>
      </c>
      <c r="F28" s="31">
        <v>3.3140000000000001</v>
      </c>
      <c r="G28" s="149">
        <f t="shared" si="1"/>
        <v>17.647999999999996</v>
      </c>
      <c r="H28" s="31">
        <v>0</v>
      </c>
      <c r="I28" s="75"/>
      <c r="J28" s="30"/>
      <c r="K28" s="30"/>
      <c r="L28" s="269">
        <v>338.6</v>
      </c>
      <c r="M28" s="178"/>
    </row>
    <row r="29" spans="1:13">
      <c r="A29" s="151">
        <v>1954</v>
      </c>
      <c r="B29" s="82">
        <v>40.948999999999998</v>
      </c>
      <c r="C29" s="148">
        <v>17.631</v>
      </c>
      <c r="D29" s="78">
        <f t="shared" si="0"/>
        <v>5.1319999999999997</v>
      </c>
      <c r="E29" s="31">
        <v>1.8680000000000001</v>
      </c>
      <c r="F29" s="31">
        <v>3.2639999999999998</v>
      </c>
      <c r="G29" s="149">
        <f t="shared" si="1"/>
        <v>18.186</v>
      </c>
      <c r="H29" s="31">
        <v>0</v>
      </c>
      <c r="I29" s="75">
        <v>21.792999999999999</v>
      </c>
      <c r="J29" s="30"/>
      <c r="K29" s="30"/>
      <c r="L29" s="269">
        <v>338.7</v>
      </c>
      <c r="M29" s="178"/>
    </row>
    <row r="30" spans="1:13">
      <c r="A30" s="151">
        <v>1955</v>
      </c>
      <c r="B30" s="82">
        <v>44.524999999999999</v>
      </c>
      <c r="C30" s="148">
        <v>19.395</v>
      </c>
      <c r="D30" s="78">
        <f t="shared" si="0"/>
        <v>5.51</v>
      </c>
      <c r="E30" s="31">
        <v>2.4390000000000001</v>
      </c>
      <c r="F30" s="31">
        <v>3.0710000000000002</v>
      </c>
      <c r="G30" s="149">
        <f t="shared" si="1"/>
        <v>19.619999999999997</v>
      </c>
      <c r="H30" s="31">
        <v>0</v>
      </c>
      <c r="I30" s="75">
        <v>21.751999999999999</v>
      </c>
      <c r="J30" s="30"/>
      <c r="K30" s="30"/>
      <c r="L30" s="269">
        <v>372</v>
      </c>
      <c r="M30" s="178"/>
    </row>
    <row r="31" spans="1:13">
      <c r="A31" s="151">
        <v>1956</v>
      </c>
      <c r="B31" s="82">
        <v>50.372</v>
      </c>
      <c r="C31" s="148">
        <v>22.504999999999999</v>
      </c>
      <c r="D31" s="78">
        <f t="shared" si="0"/>
        <v>6.0060000000000002</v>
      </c>
      <c r="E31" s="31">
        <v>2.625</v>
      </c>
      <c r="F31" s="31">
        <v>3.3809999999999998</v>
      </c>
      <c r="G31" s="149">
        <f t="shared" si="1"/>
        <v>21.861000000000001</v>
      </c>
      <c r="H31" s="31">
        <v>0</v>
      </c>
      <c r="I31" s="75"/>
      <c r="J31" s="30"/>
      <c r="K31" s="30"/>
      <c r="L31" s="269">
        <v>394.9</v>
      </c>
      <c r="M31" s="178"/>
    </row>
    <row r="32" spans="1:13">
      <c r="A32" s="151">
        <v>1957</v>
      </c>
      <c r="B32" s="82">
        <v>55.012999999999998</v>
      </c>
      <c r="C32" s="148">
        <v>25.393999999999998</v>
      </c>
      <c r="D32" s="78">
        <f t="shared" si="0"/>
        <v>6.0489999999999995</v>
      </c>
      <c r="E32" s="31">
        <v>2.2330000000000001</v>
      </c>
      <c r="F32" s="31">
        <v>3.8159999999999998</v>
      </c>
      <c r="G32" s="149">
        <f t="shared" si="1"/>
        <v>23.57</v>
      </c>
      <c r="H32" s="31">
        <v>0</v>
      </c>
      <c r="I32" s="75"/>
      <c r="J32" s="30"/>
      <c r="K32" s="30"/>
      <c r="L32" s="269">
        <v>413.3</v>
      </c>
      <c r="M32" s="178"/>
    </row>
    <row r="33" spans="1:16">
      <c r="A33" s="151">
        <v>1958</v>
      </c>
      <c r="B33" s="82">
        <v>59.664999999999999</v>
      </c>
      <c r="C33" s="148">
        <v>27.408999999999999</v>
      </c>
      <c r="D33" s="78">
        <f t="shared" si="0"/>
        <v>7.8290000000000006</v>
      </c>
      <c r="E33" s="31">
        <v>3.0950000000000002</v>
      </c>
      <c r="F33" s="31">
        <v>4.734</v>
      </c>
      <c r="G33" s="149">
        <f t="shared" si="1"/>
        <v>24.427</v>
      </c>
      <c r="H33" s="31">
        <v>0</v>
      </c>
      <c r="I33" s="75"/>
      <c r="J33" s="30"/>
      <c r="K33" s="30"/>
      <c r="L33" s="269">
        <v>415.6</v>
      </c>
      <c r="M33" s="178"/>
    </row>
    <row r="34" spans="1:16">
      <c r="A34" s="223">
        <v>1959</v>
      </c>
      <c r="B34" s="224">
        <v>63.878</v>
      </c>
      <c r="C34" s="225">
        <v>29.827000000000002</v>
      </c>
      <c r="D34" s="226">
        <f t="shared" si="0"/>
        <v>8.8960000000000008</v>
      </c>
      <c r="E34" s="227">
        <v>3.6890000000000001</v>
      </c>
      <c r="F34" s="227">
        <v>5.2069999999999999</v>
      </c>
      <c r="G34" s="228">
        <f t="shared" si="1"/>
        <v>25.155000000000001</v>
      </c>
      <c r="H34" s="227">
        <v>0</v>
      </c>
      <c r="I34" s="218"/>
      <c r="J34" s="217"/>
      <c r="K34" s="217"/>
      <c r="L34" s="270">
        <v>453.5</v>
      </c>
      <c r="M34" s="178"/>
    </row>
    <row r="35" spans="1:16">
      <c r="A35" s="151">
        <v>1960</v>
      </c>
      <c r="B35" s="82">
        <v>69.013999999999996</v>
      </c>
      <c r="C35" s="148">
        <v>31.864999999999998</v>
      </c>
      <c r="D35" s="78">
        <f t="shared" si="0"/>
        <v>9.7680000000000007</v>
      </c>
      <c r="E35" s="31">
        <v>3.984</v>
      </c>
      <c r="F35" s="31">
        <v>5.7839999999999998</v>
      </c>
      <c r="G35" s="149">
        <f t="shared" si="1"/>
        <v>27.381</v>
      </c>
      <c r="H35" s="31">
        <v>0</v>
      </c>
      <c r="I35" s="75"/>
      <c r="J35" s="30"/>
      <c r="K35" s="30"/>
      <c r="L35" s="269">
        <v>473.9205</v>
      </c>
      <c r="M35" s="178"/>
    </row>
    <row r="36" spans="1:16">
      <c r="A36" s="151">
        <v>1961</v>
      </c>
      <c r="B36" s="82">
        <v>76.099999999999994</v>
      </c>
      <c r="C36" s="148">
        <v>34.716999999999999</v>
      </c>
      <c r="D36" s="78">
        <f t="shared" si="0"/>
        <v>11.123000000000001</v>
      </c>
      <c r="E36" s="31">
        <v>4.9020000000000001</v>
      </c>
      <c r="F36" s="31">
        <v>6.2210000000000001</v>
      </c>
      <c r="G36" s="149">
        <f t="shared" si="1"/>
        <v>30.259999999999994</v>
      </c>
      <c r="H36" s="31">
        <v>0</v>
      </c>
      <c r="I36" s="75"/>
      <c r="J36" s="30"/>
      <c r="K36" s="30"/>
      <c r="L36" s="269">
        <v>490.68349999999998</v>
      </c>
      <c r="M36" s="178"/>
    </row>
    <row r="37" spans="1:16">
      <c r="A37" s="151">
        <v>1962</v>
      </c>
      <c r="B37" s="82">
        <v>79.744</v>
      </c>
      <c r="C37" s="148">
        <v>37.276000000000003</v>
      </c>
      <c r="D37" s="78">
        <f t="shared" si="0"/>
        <v>11.929</v>
      </c>
      <c r="E37" s="31">
        <v>4.7140000000000004</v>
      </c>
      <c r="F37" s="31">
        <v>7.2149999999999999</v>
      </c>
      <c r="G37" s="149">
        <f t="shared" si="1"/>
        <v>30.538999999999994</v>
      </c>
      <c r="H37" s="31">
        <v>0</v>
      </c>
      <c r="I37" s="75"/>
      <c r="J37" s="30"/>
      <c r="K37" s="30"/>
      <c r="L37" s="269">
        <v>528.87450000000001</v>
      </c>
      <c r="M37" s="178"/>
    </row>
    <row r="38" spans="1:16">
      <c r="A38" s="151">
        <v>1963</v>
      </c>
      <c r="B38" s="82">
        <v>85.801000000000002</v>
      </c>
      <c r="C38" s="148">
        <v>40.735999999999997</v>
      </c>
      <c r="D38" s="78">
        <f t="shared" si="0"/>
        <v>13.353</v>
      </c>
      <c r="E38" s="31">
        <v>5.1449999999999996</v>
      </c>
      <c r="F38" s="31">
        <v>8.2080000000000002</v>
      </c>
      <c r="G38" s="149">
        <f t="shared" si="1"/>
        <v>31.712000000000003</v>
      </c>
      <c r="H38" s="31">
        <v>0</v>
      </c>
      <c r="I38" s="75"/>
      <c r="J38" s="30"/>
      <c r="K38" s="30"/>
      <c r="L38" s="269">
        <v>559.72680000000003</v>
      </c>
      <c r="M38" s="178"/>
    </row>
    <row r="39" spans="1:16">
      <c r="A39" s="151">
        <v>1964</v>
      </c>
      <c r="B39" s="82">
        <v>96.95</v>
      </c>
      <c r="C39" s="148">
        <v>44.48</v>
      </c>
      <c r="D39" s="78">
        <f t="shared" si="0"/>
        <v>13.945</v>
      </c>
      <c r="E39" s="31">
        <v>5.27</v>
      </c>
      <c r="F39" s="31">
        <v>8.6750000000000007</v>
      </c>
      <c r="G39" s="149">
        <f t="shared" si="1"/>
        <v>38.525000000000006</v>
      </c>
      <c r="H39" s="31">
        <v>0</v>
      </c>
      <c r="I39" s="75"/>
      <c r="J39" s="30"/>
      <c r="K39" s="30"/>
      <c r="L39" s="269">
        <v>601.41830000000004</v>
      </c>
      <c r="M39" s="178"/>
    </row>
    <row r="40" spans="1:16">
      <c r="A40" s="151">
        <v>1965</v>
      </c>
      <c r="B40" s="83">
        <v>103.971</v>
      </c>
      <c r="C40" s="148">
        <v>55.41</v>
      </c>
      <c r="D40" s="78">
        <f t="shared" si="0"/>
        <v>14.183</v>
      </c>
      <c r="E40" s="31">
        <v>5.048</v>
      </c>
      <c r="F40" s="31">
        <v>9.1349999999999998</v>
      </c>
      <c r="G40" s="149">
        <f t="shared" si="1"/>
        <v>34.378000000000007</v>
      </c>
      <c r="H40" s="31">
        <v>0</v>
      </c>
      <c r="I40" s="75"/>
      <c r="J40" s="30"/>
      <c r="K40" s="30"/>
      <c r="L40" s="269">
        <v>652.17580000000009</v>
      </c>
      <c r="M40" s="178"/>
    </row>
    <row r="41" spans="1:16">
      <c r="A41" s="151">
        <v>1966</v>
      </c>
      <c r="B41" s="83">
        <v>109.949</v>
      </c>
      <c r="C41" s="148">
        <v>59.042000000000002</v>
      </c>
      <c r="D41" s="78">
        <f t="shared" si="0"/>
        <v>14.193999999999999</v>
      </c>
      <c r="E41" s="31">
        <v>4.3239999999999998</v>
      </c>
      <c r="F41" s="31">
        <v>9.8699999999999992</v>
      </c>
      <c r="G41" s="149">
        <f t="shared" si="1"/>
        <v>36.712999999999994</v>
      </c>
      <c r="H41" s="31">
        <v>0</v>
      </c>
      <c r="I41" s="75"/>
      <c r="J41" s="30"/>
      <c r="K41" s="30"/>
      <c r="L41" s="269">
        <v>710.13499999999999</v>
      </c>
      <c r="M41" s="178"/>
    </row>
    <row r="42" spans="1:16">
      <c r="A42" s="151">
        <v>1967</v>
      </c>
      <c r="B42" s="83">
        <v>119.857</v>
      </c>
      <c r="C42" s="148">
        <v>65.61</v>
      </c>
      <c r="D42" s="78">
        <f t="shared" si="0"/>
        <v>16.324000000000002</v>
      </c>
      <c r="E42" s="31">
        <v>5.2380000000000004</v>
      </c>
      <c r="F42" s="31">
        <v>11.086</v>
      </c>
      <c r="G42" s="149">
        <f t="shared" si="1"/>
        <v>37.923000000000002</v>
      </c>
      <c r="H42" s="31">
        <v>0</v>
      </c>
      <c r="I42" s="75"/>
      <c r="J42" s="30"/>
      <c r="K42" s="30"/>
      <c r="L42" s="269">
        <v>750.39549999999997</v>
      </c>
      <c r="M42" s="178"/>
    </row>
    <row r="43" spans="1:16">
      <c r="A43" s="151">
        <v>1968</v>
      </c>
      <c r="B43" s="83">
        <v>132.619</v>
      </c>
      <c r="C43" s="148">
        <v>73.668999999999997</v>
      </c>
      <c r="D43" s="78">
        <f t="shared" si="0"/>
        <v>18.622</v>
      </c>
      <c r="E43" s="31">
        <v>6.452</v>
      </c>
      <c r="F43" s="31">
        <v>12.17</v>
      </c>
      <c r="G43" s="149">
        <f t="shared" ref="G43:G49" si="2">B43-C43-D43</f>
        <v>40.328000000000003</v>
      </c>
      <c r="H43" s="31">
        <v>0</v>
      </c>
      <c r="I43" s="75"/>
      <c r="J43" s="30"/>
      <c r="K43" s="30"/>
      <c r="L43" s="269">
        <v>821.18880000000001</v>
      </c>
      <c r="M43" s="178"/>
    </row>
    <row r="44" spans="1:16">
      <c r="A44" s="223">
        <v>1969</v>
      </c>
      <c r="B44" s="249">
        <v>140.69999999999999</v>
      </c>
      <c r="C44" s="225">
        <v>83.072999999999993</v>
      </c>
      <c r="D44" s="226">
        <f t="shared" si="0"/>
        <v>20.151</v>
      </c>
      <c r="E44" s="227">
        <v>6.9530000000000003</v>
      </c>
      <c r="F44" s="227">
        <v>13.198</v>
      </c>
      <c r="G44" s="228">
        <f t="shared" si="2"/>
        <v>37.475999999999999</v>
      </c>
      <c r="H44" s="227">
        <v>0</v>
      </c>
      <c r="I44" s="218"/>
      <c r="J44" s="217"/>
      <c r="K44" s="217"/>
      <c r="L44" s="270">
        <v>888.48450000000003</v>
      </c>
      <c r="M44" s="178"/>
    </row>
    <row r="45" spans="1:16">
      <c r="A45" s="151">
        <v>1970</v>
      </c>
      <c r="B45" s="83">
        <v>150.977</v>
      </c>
      <c r="C45" s="148">
        <v>94.349000000000004</v>
      </c>
      <c r="D45" s="78">
        <f t="shared" si="0"/>
        <v>20.645</v>
      </c>
      <c r="E45" s="31">
        <v>6.5730000000000004</v>
      </c>
      <c r="F45" s="31">
        <v>14.071999999999999</v>
      </c>
      <c r="G45" s="149">
        <f t="shared" si="2"/>
        <v>35.983000000000004</v>
      </c>
      <c r="H45" s="31">
        <v>0</v>
      </c>
      <c r="I45" s="75"/>
      <c r="J45" s="30"/>
      <c r="K45" s="30"/>
      <c r="L45" s="269">
        <v>929.52949999999998</v>
      </c>
      <c r="M45" s="178"/>
      <c r="N45" s="93">
        <v>27.209</v>
      </c>
      <c r="O45" s="153">
        <f>'Table T3'!E45-N45</f>
        <v>0</v>
      </c>
      <c r="P45" s="138">
        <f>O45/N45</f>
        <v>0</v>
      </c>
    </row>
    <row r="46" spans="1:16">
      <c r="A46" s="151">
        <v>1971</v>
      </c>
      <c r="B46" s="83">
        <v>162.56399999999999</v>
      </c>
      <c r="C46" s="148">
        <v>103.902</v>
      </c>
      <c r="D46" s="78">
        <f t="shared" si="0"/>
        <v>22.652999999999999</v>
      </c>
      <c r="E46" s="31">
        <v>7.641</v>
      </c>
      <c r="F46" s="31">
        <v>15.012</v>
      </c>
      <c r="G46" s="149">
        <f t="shared" si="2"/>
        <v>36.008999999999993</v>
      </c>
      <c r="H46" s="31">
        <v>0</v>
      </c>
      <c r="I46" s="75"/>
      <c r="J46" s="30"/>
      <c r="K46" s="30"/>
      <c r="L46" s="269">
        <v>1005.6213</v>
      </c>
      <c r="M46" s="178"/>
      <c r="N46" s="93">
        <v>30.811</v>
      </c>
      <c r="O46" s="153">
        <f>'Table T3'!E46-N46</f>
        <v>0</v>
      </c>
      <c r="P46" s="138">
        <f t="shared" ref="P46:P85" si="3">O46/N46</f>
        <v>0</v>
      </c>
    </row>
    <row r="47" spans="1:16">
      <c r="A47" s="151">
        <v>1972</v>
      </c>
      <c r="B47" s="83">
        <v>181.441</v>
      </c>
      <c r="C47" s="148">
        <v>125.51</v>
      </c>
      <c r="D47" s="78">
        <f t="shared" si="0"/>
        <v>26.579000000000001</v>
      </c>
      <c r="E47" s="31">
        <v>10.537000000000001</v>
      </c>
      <c r="F47" s="31">
        <v>16.042000000000002</v>
      </c>
      <c r="G47" s="149">
        <f t="shared" si="2"/>
        <v>29.351999999999997</v>
      </c>
      <c r="H47" s="31">
        <v>0</v>
      </c>
      <c r="I47" s="75"/>
      <c r="J47" s="30"/>
      <c r="K47" s="30"/>
      <c r="L47" s="269">
        <v>1110.3395</v>
      </c>
      <c r="M47" s="178"/>
      <c r="N47" s="93">
        <v>39.184333333333335</v>
      </c>
      <c r="O47" s="153">
        <f>'Table T3'!E47-N47</f>
        <v>0</v>
      </c>
      <c r="P47" s="138">
        <f t="shared" si="3"/>
        <v>0</v>
      </c>
    </row>
    <row r="48" spans="1:16">
      <c r="A48" s="151">
        <v>1973</v>
      </c>
      <c r="B48" s="83">
        <v>200.75399999999999</v>
      </c>
      <c r="C48" s="148">
        <v>126.246</v>
      </c>
      <c r="D48" s="78">
        <f t="shared" si="0"/>
        <v>27.026</v>
      </c>
      <c r="E48" s="31">
        <v>10.026</v>
      </c>
      <c r="F48" s="31">
        <v>17</v>
      </c>
      <c r="G48" s="149">
        <f t="shared" si="2"/>
        <v>47.481999999999999</v>
      </c>
      <c r="H48" s="31">
        <v>0</v>
      </c>
      <c r="I48" s="75"/>
      <c r="J48" s="30"/>
      <c r="K48" s="30"/>
      <c r="L48" s="269">
        <v>1246.0858000000001</v>
      </c>
      <c r="M48" s="178"/>
      <c r="N48" s="93">
        <v>33.853333333333339</v>
      </c>
      <c r="O48" s="153">
        <f>'Table T3'!E48-N48</f>
        <v>0</v>
      </c>
      <c r="P48" s="138">
        <f t="shared" si="3"/>
        <v>0</v>
      </c>
    </row>
    <row r="49" spans="1:19">
      <c r="A49" s="151">
        <v>1974</v>
      </c>
      <c r="B49" s="83">
        <v>225.64500000000001</v>
      </c>
      <c r="C49" s="148">
        <v>135.298</v>
      </c>
      <c r="D49" s="78">
        <f t="shared" si="0"/>
        <v>28.382999999999999</v>
      </c>
      <c r="E49" s="31">
        <v>9.0109999999999992</v>
      </c>
      <c r="F49" s="31">
        <v>19.372</v>
      </c>
      <c r="G49" s="149">
        <f t="shared" si="2"/>
        <v>61.964000000000013</v>
      </c>
      <c r="H49" s="31">
        <v>0.18099999999999999</v>
      </c>
      <c r="I49" s="76"/>
      <c r="J49" s="31"/>
      <c r="K49" s="31"/>
      <c r="L49" s="269">
        <v>1341.4728</v>
      </c>
      <c r="M49" s="178"/>
      <c r="N49" s="93">
        <v>24.652333333333331</v>
      </c>
      <c r="O49" s="153">
        <f>'Table T3'!E49-N49</f>
        <v>0</v>
      </c>
      <c r="P49" s="138">
        <f t="shared" si="3"/>
        <v>0</v>
      </c>
    </row>
    <row r="50" spans="1:19">
      <c r="A50" s="151">
        <v>1975</v>
      </c>
      <c r="B50" s="84">
        <v>257.14</v>
      </c>
      <c r="C50" s="148">
        <v>149.542</v>
      </c>
      <c r="D50" s="78">
        <f t="shared" si="0"/>
        <v>36.125</v>
      </c>
      <c r="E50" s="31">
        <v>9.5850000000000009</v>
      </c>
      <c r="F50" s="31">
        <v>26.54</v>
      </c>
      <c r="G50" s="154">
        <f>B50-C50-D50</f>
        <v>71.472999999999985</v>
      </c>
      <c r="H50" s="31">
        <v>0.55900000000000005</v>
      </c>
      <c r="I50" s="76"/>
      <c r="J50" s="31"/>
      <c r="K50" s="31"/>
      <c r="L50" s="269">
        <v>1444.0184999999999</v>
      </c>
      <c r="M50" s="178"/>
      <c r="N50" s="93">
        <v>37.232999999999997</v>
      </c>
      <c r="O50" s="153">
        <f>'Table T3'!E50-N50</f>
        <v>0</v>
      </c>
      <c r="P50" s="138">
        <f t="shared" si="3"/>
        <v>0</v>
      </c>
    </row>
    <row r="51" spans="1:19">
      <c r="A51" s="151">
        <v>1976</v>
      </c>
      <c r="B51" s="83">
        <v>420.02</v>
      </c>
      <c r="C51" s="148">
        <v>222.28299999999999</v>
      </c>
      <c r="D51" s="78">
        <f>E51+F51</f>
        <v>44.156999999999996</v>
      </c>
      <c r="E51" s="32">
        <v>9.4529999999999994</v>
      </c>
      <c r="F51" s="32">
        <v>34.704000000000001</v>
      </c>
      <c r="G51" s="149">
        <f>B51-C51-D51</f>
        <v>153.57999999999998</v>
      </c>
      <c r="H51" s="31">
        <v>1.282</v>
      </c>
      <c r="I51" s="77">
        <v>36.944000000000003</v>
      </c>
      <c r="J51" s="31"/>
      <c r="K51" s="32"/>
      <c r="L51" s="271">
        <v>1609.7895000000001</v>
      </c>
      <c r="M51" s="179"/>
      <c r="N51" s="93">
        <v>46.803666666666665</v>
      </c>
      <c r="O51" s="153">
        <f>'Table T3'!E51-N51</f>
        <v>0</v>
      </c>
      <c r="P51" s="138">
        <f t="shared" si="3"/>
        <v>0</v>
      </c>
      <c r="Q51" s="148">
        <v>42.948999999999998</v>
      </c>
      <c r="R51" s="148">
        <v>5.782</v>
      </c>
      <c r="S51" s="138">
        <f>1-(R51+Q51-'Table T3'!E51)/R51</f>
        <v>0.6666666666666673</v>
      </c>
    </row>
    <row r="52" spans="1:19">
      <c r="A52" s="151">
        <v>1977</v>
      </c>
      <c r="B52" s="83">
        <v>466.49700000000001</v>
      </c>
      <c r="C52" s="148">
        <v>246.078</v>
      </c>
      <c r="D52" s="78">
        <f t="shared" ref="D52:D87" si="4">E52+F52</f>
        <v>49.439</v>
      </c>
      <c r="E52" s="32">
        <v>10.11</v>
      </c>
      <c r="F52" s="32">
        <v>39.329000000000001</v>
      </c>
      <c r="G52" s="149">
        <f t="shared" ref="G52:G87" si="5">B52-C52-D52</f>
        <v>170.98000000000002</v>
      </c>
      <c r="H52" s="31">
        <v>1.847</v>
      </c>
      <c r="I52" s="77">
        <v>45.780999999999999</v>
      </c>
      <c r="J52" s="31"/>
      <c r="K52" s="32"/>
      <c r="L52" s="271">
        <v>1797.4318000000001</v>
      </c>
      <c r="M52" s="179"/>
      <c r="N52" s="93">
        <v>44.590333333333334</v>
      </c>
      <c r="O52" s="153">
        <f>'Table T3'!E52-N52</f>
        <v>0</v>
      </c>
      <c r="P52" s="138">
        <f t="shared" si="3"/>
        <v>0</v>
      </c>
      <c r="Q52" s="148">
        <v>39.779000000000003</v>
      </c>
      <c r="R52" s="148">
        <v>7.2169999999999996</v>
      </c>
      <c r="S52" s="138">
        <f>1-(R52+Q52-'Table T3'!E52)/R52</f>
        <v>0.6666666666666663</v>
      </c>
    </row>
    <row r="53" spans="1:19">
      <c r="A53" s="151">
        <v>1978</v>
      </c>
      <c r="B53" s="83">
        <v>558.75599999999997</v>
      </c>
      <c r="C53" s="148">
        <v>285.005</v>
      </c>
      <c r="D53" s="78">
        <f t="shared" si="4"/>
        <v>53.384</v>
      </c>
      <c r="E53" s="32">
        <v>11.236000000000001</v>
      </c>
      <c r="F53" s="32">
        <v>42.148000000000003</v>
      </c>
      <c r="G53" s="149">
        <f t="shared" si="5"/>
        <v>220.36699999999996</v>
      </c>
      <c r="H53" s="31">
        <v>2.88</v>
      </c>
      <c r="I53" s="77">
        <v>62.470999999999997</v>
      </c>
      <c r="J53" s="31"/>
      <c r="K53" s="32"/>
      <c r="L53" s="271">
        <v>2027.8733</v>
      </c>
      <c r="M53" s="179"/>
      <c r="N53" s="93">
        <v>47.743666666666662</v>
      </c>
      <c r="O53" s="153">
        <f>'Table T3'!E53-N53</f>
        <v>0</v>
      </c>
      <c r="P53" s="138">
        <f t="shared" si="3"/>
        <v>0</v>
      </c>
      <c r="Q53" s="148">
        <v>42.097000000000001</v>
      </c>
      <c r="R53" s="148">
        <v>8.4700000000000006</v>
      </c>
      <c r="S53" s="138">
        <f>1-(R53+Q53-'Table T3'!E53)/R53</f>
        <v>0.66666666666666619</v>
      </c>
    </row>
    <row r="54" spans="1:19">
      <c r="A54" s="223">
        <v>1979</v>
      </c>
      <c r="B54" s="249">
        <v>651.22500000000002</v>
      </c>
      <c r="C54" s="225">
        <v>336.30099999999999</v>
      </c>
      <c r="D54" s="226">
        <f t="shared" si="4"/>
        <v>56.769000000000005</v>
      </c>
      <c r="E54" s="250">
        <v>14.803000000000001</v>
      </c>
      <c r="F54" s="250">
        <v>41.966000000000001</v>
      </c>
      <c r="G54" s="228">
        <f t="shared" si="5"/>
        <v>258.15500000000003</v>
      </c>
      <c r="H54" s="227">
        <v>4.5529999999999999</v>
      </c>
      <c r="I54" s="251">
        <v>135.476</v>
      </c>
      <c r="J54" s="227"/>
      <c r="K54" s="250"/>
      <c r="L54" s="272">
        <v>2248.2842999999998</v>
      </c>
      <c r="M54" s="179"/>
      <c r="N54" s="93">
        <v>54.933333333333337</v>
      </c>
      <c r="O54" s="153">
        <f>'Table T3'!E54-N54</f>
        <v>0</v>
      </c>
      <c r="P54" s="138">
        <f t="shared" si="3"/>
        <v>0</v>
      </c>
      <c r="Q54" s="148">
        <v>48.317999999999998</v>
      </c>
      <c r="R54" s="148">
        <v>9.923</v>
      </c>
      <c r="S54" s="138">
        <f>1-(R54+Q54-'Table T3'!E54)/R54</f>
        <v>0.66666666666666707</v>
      </c>
    </row>
    <row r="55" spans="1:19">
      <c r="A55" s="151">
        <v>1980</v>
      </c>
      <c r="B55" s="83">
        <v>773.99</v>
      </c>
      <c r="C55" s="148">
        <v>388.072</v>
      </c>
      <c r="D55" s="78">
        <f t="shared" si="4"/>
        <v>62.454000000000001</v>
      </c>
      <c r="E55" s="32">
        <v>18.93</v>
      </c>
      <c r="F55" s="32">
        <v>43.524000000000001</v>
      </c>
      <c r="G55" s="149">
        <f t="shared" si="5"/>
        <v>323.464</v>
      </c>
      <c r="H55" s="31">
        <v>6.9550000000000001</v>
      </c>
      <c r="I55" s="77">
        <v>155.816</v>
      </c>
      <c r="J55" s="31"/>
      <c r="K55" s="32"/>
      <c r="L55" s="271">
        <v>2432.9507999999996</v>
      </c>
      <c r="M55" s="179"/>
      <c r="N55" s="93">
        <v>73.985666666666674</v>
      </c>
      <c r="O55" s="153">
        <f>'Table T3'!E55-N55</f>
        <v>0</v>
      </c>
      <c r="P55" s="138">
        <f t="shared" si="3"/>
        <v>0</v>
      </c>
      <c r="Q55" s="148">
        <v>64.569000000000003</v>
      </c>
      <c r="R55" s="148">
        <v>14.125</v>
      </c>
      <c r="S55" s="138">
        <f>1-(R55+Q55-'Table T3'!E55)/R55</f>
        <v>0.66666666666666696</v>
      </c>
    </row>
    <row r="56" spans="1:19">
      <c r="A56" s="151">
        <v>1981</v>
      </c>
      <c r="B56" s="83">
        <v>896.02300000000002</v>
      </c>
      <c r="C56" s="148">
        <v>407.80399999999997</v>
      </c>
      <c r="D56" s="78">
        <f t="shared" si="4"/>
        <v>62.141999999999996</v>
      </c>
      <c r="E56" s="32">
        <v>16.466999999999999</v>
      </c>
      <c r="F56" s="32">
        <v>45.674999999999997</v>
      </c>
      <c r="G56" s="149">
        <f t="shared" si="5"/>
        <v>426.07700000000006</v>
      </c>
      <c r="H56" s="31">
        <v>10.829000000000001</v>
      </c>
      <c r="I56" s="77">
        <v>105.64400000000001</v>
      </c>
      <c r="J56" s="31"/>
      <c r="K56" s="32"/>
      <c r="L56" s="271">
        <v>2729.8482999999997</v>
      </c>
      <c r="M56" s="179"/>
      <c r="N56" s="93">
        <v>74.74366666666667</v>
      </c>
      <c r="O56" s="153">
        <f>'Table T3'!E56-N56</f>
        <v>0</v>
      </c>
      <c r="P56" s="138">
        <f t="shared" si="3"/>
        <v>0</v>
      </c>
      <c r="Q56" s="148">
        <v>64.391000000000005</v>
      </c>
      <c r="R56" s="148">
        <v>15.529</v>
      </c>
      <c r="S56" s="138">
        <f>1-(R56+Q56-'Table T3'!E56)/R56</f>
        <v>0.66666666666666674</v>
      </c>
    </row>
    <row r="57" spans="1:19">
      <c r="A57" s="151">
        <v>1982</v>
      </c>
      <c r="B57" s="83">
        <v>987.80099999999993</v>
      </c>
      <c r="C57" s="148">
        <v>374.05900000000003</v>
      </c>
      <c r="D57" s="78">
        <f t="shared" si="4"/>
        <v>74.045999999999992</v>
      </c>
      <c r="E57" s="32">
        <v>17.442</v>
      </c>
      <c r="F57" s="32">
        <v>56.603999999999999</v>
      </c>
      <c r="G57" s="149">
        <f t="shared" si="5"/>
        <v>539.69599999999991</v>
      </c>
      <c r="H57" s="31">
        <v>15.054</v>
      </c>
      <c r="I57" s="77">
        <v>120.63500000000001</v>
      </c>
      <c r="J57" s="31"/>
      <c r="K57" s="32">
        <v>226.63800000000001</v>
      </c>
      <c r="L57" s="271">
        <v>2851.4112999999998</v>
      </c>
      <c r="M57" s="179"/>
      <c r="N57" s="93">
        <v>88.323999999999998</v>
      </c>
      <c r="O57" s="153">
        <f>'Table T3'!E57-N57</f>
        <v>0</v>
      </c>
      <c r="P57" s="138">
        <f t="shared" si="3"/>
        <v>0</v>
      </c>
      <c r="Q57" s="148">
        <v>76.278999999999996</v>
      </c>
      <c r="R57" s="148">
        <v>17.893999999999998</v>
      </c>
      <c r="S57" s="138">
        <f>1-(R57+Q57-'Table T3'!E57)/R57</f>
        <v>0.67313065832122476</v>
      </c>
    </row>
    <row r="58" spans="1:19">
      <c r="A58" s="151">
        <v>1983</v>
      </c>
      <c r="B58" s="83">
        <v>1110.49</v>
      </c>
      <c r="C58" s="148">
        <v>355.64299999999997</v>
      </c>
      <c r="D58" s="78">
        <f t="shared" si="4"/>
        <v>84.722999999999999</v>
      </c>
      <c r="E58" s="32">
        <v>26.154</v>
      </c>
      <c r="F58" s="32">
        <v>58.569000000000003</v>
      </c>
      <c r="G58" s="149">
        <f t="shared" si="5"/>
        <v>670.12400000000002</v>
      </c>
      <c r="H58" s="31">
        <v>21.54</v>
      </c>
      <c r="I58" s="77">
        <v>100.48399999999999</v>
      </c>
      <c r="J58" s="31"/>
      <c r="K58" s="32">
        <v>274.34199999999998</v>
      </c>
      <c r="L58" s="271">
        <v>3070.893</v>
      </c>
      <c r="M58" s="179"/>
      <c r="N58" s="93">
        <v>109.55500000000001</v>
      </c>
      <c r="O58" s="153">
        <f>'Table T3'!E58-N58</f>
        <v>0</v>
      </c>
      <c r="P58" s="138">
        <f t="shared" si="3"/>
        <v>0</v>
      </c>
      <c r="Q58" s="148">
        <v>96.356999999999999</v>
      </c>
      <c r="R58" s="148">
        <v>17.716000000000001</v>
      </c>
      <c r="S58" s="138">
        <f>1-(R58+Q58-'Table T3'!E58)/R58</f>
        <v>0.74497629261684351</v>
      </c>
    </row>
    <row r="59" spans="1:19">
      <c r="A59" s="142">
        <v>1984</v>
      </c>
      <c r="B59" s="83">
        <v>1123.6980000000001</v>
      </c>
      <c r="C59" s="148">
        <v>348.34199999999998</v>
      </c>
      <c r="D59" s="78">
        <f t="shared" si="4"/>
        <v>88.804000000000002</v>
      </c>
      <c r="E59" s="32">
        <v>25.994</v>
      </c>
      <c r="F59" s="32">
        <v>62.81</v>
      </c>
      <c r="G59" s="149">
        <f t="shared" si="5"/>
        <v>686.55200000000013</v>
      </c>
      <c r="H59" s="31">
        <v>27.721</v>
      </c>
      <c r="I59" s="77">
        <v>81.201999999999998</v>
      </c>
      <c r="J59" s="31"/>
      <c r="K59" s="32">
        <v>270.57400000000001</v>
      </c>
      <c r="L59" s="271">
        <v>3461.2997999999998</v>
      </c>
      <c r="M59" s="179"/>
      <c r="N59" s="93">
        <v>104.852</v>
      </c>
      <c r="O59" s="153">
        <f>'Table T3'!E59-N59</f>
        <v>0</v>
      </c>
      <c r="P59" s="138">
        <f t="shared" si="3"/>
        <v>0</v>
      </c>
      <c r="Q59" s="148">
        <v>96.055999999999997</v>
      </c>
      <c r="R59" s="148">
        <v>13.964</v>
      </c>
      <c r="S59" s="138">
        <f>1-(R59+Q59-'Table T3'!E59)/R59</f>
        <v>0.62990547121168783</v>
      </c>
    </row>
    <row r="60" spans="1:19">
      <c r="A60" s="142">
        <v>1985</v>
      </c>
      <c r="B60" s="83">
        <v>1201.5619999999999</v>
      </c>
      <c r="C60" s="148">
        <v>371.036</v>
      </c>
      <c r="D60" s="78">
        <f t="shared" si="4"/>
        <v>119.40299999999999</v>
      </c>
      <c r="E60" s="32">
        <v>44.383000000000003</v>
      </c>
      <c r="F60" s="32">
        <v>75.02</v>
      </c>
      <c r="G60" s="149">
        <f t="shared" si="5"/>
        <v>711.12299999999982</v>
      </c>
      <c r="H60" s="31">
        <v>33.923000000000002</v>
      </c>
      <c r="I60" s="77">
        <v>85.834000000000003</v>
      </c>
      <c r="J60" s="31"/>
      <c r="K60" s="32">
        <v>386.35199999999998</v>
      </c>
      <c r="L60" s="271">
        <v>3696.2440000000001</v>
      </c>
      <c r="M60" s="179"/>
      <c r="N60" s="93">
        <v>136.791</v>
      </c>
      <c r="O60" s="153">
        <f>'Table T3'!E60-N60</f>
        <v>1.4080000000000155</v>
      </c>
      <c r="P60" s="138">
        <f t="shared" si="3"/>
        <v>1.0293074836794931E-2</v>
      </c>
      <c r="Q60" s="148">
        <v>125.578</v>
      </c>
      <c r="R60" s="148">
        <v>14.882</v>
      </c>
      <c r="S60" s="138">
        <f>1-(R60+Q60-'Table T3'!E60)/R60</f>
        <v>0.84807149576669838</v>
      </c>
    </row>
    <row r="61" spans="1:19">
      <c r="A61" s="142">
        <v>1986</v>
      </c>
      <c r="B61" s="83">
        <v>1366.9679999999998</v>
      </c>
      <c r="C61" s="148">
        <v>404.81799999999998</v>
      </c>
      <c r="D61" s="78">
        <f t="shared" si="4"/>
        <v>158.12299999999999</v>
      </c>
      <c r="E61" s="32">
        <v>72.399000000000001</v>
      </c>
      <c r="F61" s="32">
        <v>85.724000000000004</v>
      </c>
      <c r="G61" s="149">
        <f t="shared" si="5"/>
        <v>804.02699999999982</v>
      </c>
      <c r="H61" s="31">
        <v>37.406999999999996</v>
      </c>
      <c r="I61" s="77">
        <v>102.428</v>
      </c>
      <c r="J61" s="31"/>
      <c r="K61" s="32">
        <v>530.07399999999996</v>
      </c>
      <c r="L61" s="271">
        <v>3871.4479999999999</v>
      </c>
      <c r="M61" s="179"/>
      <c r="N61" s="93">
        <v>183.172</v>
      </c>
      <c r="O61" s="153">
        <f>'Table T3'!E61-N61</f>
        <v>-7.4480000000000075</v>
      </c>
      <c r="P61" s="138">
        <f t="shared" si="3"/>
        <v>-4.0661236433516081E-2</v>
      </c>
      <c r="Q61" s="148">
        <v>168.94</v>
      </c>
      <c r="R61" s="148">
        <v>16.396999999999998</v>
      </c>
      <c r="S61" s="138">
        <f>1-(R61+Q61-'Table T3'!E61)/R61</f>
        <v>0.41373421967433066</v>
      </c>
    </row>
    <row r="62" spans="1:19">
      <c r="A62" s="142">
        <v>1987</v>
      </c>
      <c r="B62" s="83">
        <v>1518.8790000000001</v>
      </c>
      <c r="C62" s="148">
        <v>478.06200000000001</v>
      </c>
      <c r="D62" s="78">
        <f t="shared" si="4"/>
        <v>188.589</v>
      </c>
      <c r="E62" s="32">
        <v>94.7</v>
      </c>
      <c r="F62" s="32">
        <v>93.888999999999996</v>
      </c>
      <c r="G62" s="149">
        <f t="shared" si="5"/>
        <v>852.22800000000007</v>
      </c>
      <c r="H62" s="31">
        <v>41.244999999999997</v>
      </c>
      <c r="I62" s="77">
        <v>127.648</v>
      </c>
      <c r="J62" s="31"/>
      <c r="K62" s="32">
        <v>590.24599999999998</v>
      </c>
      <c r="L62" s="271">
        <v>4150.0437999999995</v>
      </c>
      <c r="M62" s="179"/>
      <c r="N62" s="93">
        <v>189.006</v>
      </c>
      <c r="O62" s="153">
        <f>'Table T3'!E62-N62</f>
        <v>0.12999999999999545</v>
      </c>
      <c r="P62" s="138">
        <f t="shared" si="3"/>
        <v>6.8780885262899306E-4</v>
      </c>
      <c r="Q62" s="148">
        <v>175.643</v>
      </c>
      <c r="R62" s="148">
        <v>15.005000000000001</v>
      </c>
      <c r="S62" s="138">
        <f>1-(R62+Q62-'Table T3'!E62)/R62</f>
        <v>0.89923358880373205</v>
      </c>
    </row>
    <row r="63" spans="1:19">
      <c r="A63" s="142">
        <v>1988</v>
      </c>
      <c r="B63" s="83">
        <v>1722.231</v>
      </c>
      <c r="C63" s="148">
        <v>513.76099999999997</v>
      </c>
      <c r="D63" s="78">
        <f t="shared" si="4"/>
        <v>232.84899999999999</v>
      </c>
      <c r="E63" s="32">
        <v>128.66200000000001</v>
      </c>
      <c r="F63" s="32">
        <v>104.187</v>
      </c>
      <c r="G63" s="149">
        <f t="shared" si="5"/>
        <v>975.62100000000009</v>
      </c>
      <c r="H63" s="31">
        <v>49.942999999999998</v>
      </c>
      <c r="I63" s="77">
        <v>107.434</v>
      </c>
      <c r="J63" s="31"/>
      <c r="K63" s="32">
        <v>692.46100000000001</v>
      </c>
      <c r="L63" s="271">
        <v>4522.3002999999999</v>
      </c>
      <c r="M63" s="179"/>
      <c r="N63" s="93">
        <v>213.81299999999999</v>
      </c>
      <c r="O63" s="153">
        <f>'Table T3'!E63-N63</f>
        <v>-4.8579999999999757</v>
      </c>
      <c r="P63" s="138">
        <f t="shared" si="3"/>
        <v>-2.2720788726597427E-2</v>
      </c>
      <c r="Q63" s="148">
        <v>200.97800000000001</v>
      </c>
      <c r="R63" s="148">
        <v>14.382</v>
      </c>
      <c r="S63" s="138">
        <f>1-(R63+Q63-'Table T3'!E63)/R63</f>
        <v>0.55465164789319976</v>
      </c>
    </row>
    <row r="64" spans="1:19">
      <c r="A64" s="238">
        <v>1989</v>
      </c>
      <c r="B64" s="249">
        <v>1965.704</v>
      </c>
      <c r="C64" s="225">
        <v>553.09299999999996</v>
      </c>
      <c r="D64" s="226">
        <f t="shared" si="4"/>
        <v>314.29399999999998</v>
      </c>
      <c r="E64" s="250">
        <v>197.345</v>
      </c>
      <c r="F64" s="250">
        <v>116.949</v>
      </c>
      <c r="G64" s="228">
        <f t="shared" si="5"/>
        <v>1098.317</v>
      </c>
      <c r="H64" s="227">
        <v>63.021999999999998</v>
      </c>
      <c r="I64" s="251">
        <v>105.164</v>
      </c>
      <c r="J64" s="227"/>
      <c r="K64" s="250">
        <v>832.46</v>
      </c>
      <c r="L64" s="272">
        <v>4800.5129999999999</v>
      </c>
      <c r="M64" s="179"/>
      <c r="N64" s="93">
        <v>276.10000000000002</v>
      </c>
      <c r="O64" s="153">
        <f>'Table T3'!E64-N64</f>
        <v>2.9999999999859028E-3</v>
      </c>
      <c r="P64" s="138">
        <f t="shared" si="3"/>
        <v>1.0865628395457814E-5</v>
      </c>
      <c r="Q64" s="148">
        <v>251.191</v>
      </c>
      <c r="R64" s="148">
        <v>26.265000000000001</v>
      </c>
      <c r="S64" s="138">
        <f>1-(R64+Q64-'Table T3'!E64)/R64</f>
        <v>0.94848657909765821</v>
      </c>
    </row>
    <row r="65" spans="1:19">
      <c r="A65" s="142">
        <v>1990</v>
      </c>
      <c r="B65" s="83">
        <v>2076.5720000000001</v>
      </c>
      <c r="C65" s="148">
        <v>616.65499999999997</v>
      </c>
      <c r="D65" s="78">
        <f t="shared" si="4"/>
        <v>342.31299999999999</v>
      </c>
      <c r="E65" s="32">
        <v>197.596</v>
      </c>
      <c r="F65" s="32">
        <v>144.71700000000001</v>
      </c>
      <c r="G65" s="149">
        <f t="shared" si="5"/>
        <v>1117.6040000000003</v>
      </c>
      <c r="H65" s="31">
        <v>75.346000000000004</v>
      </c>
      <c r="I65" s="77">
        <v>102.40600000000001</v>
      </c>
      <c r="J65" s="31"/>
      <c r="K65" s="32">
        <v>731.76199999999994</v>
      </c>
      <c r="L65" s="271">
        <v>5059.5474999999997</v>
      </c>
      <c r="M65" s="179"/>
      <c r="N65" s="93">
        <v>243.78899999999999</v>
      </c>
      <c r="O65" s="153">
        <f>'Table T3'!E65-N65</f>
        <v>4.4620000000000175</v>
      </c>
      <c r="P65" s="138">
        <f t="shared" si="3"/>
        <v>1.8302712591626438E-2</v>
      </c>
      <c r="Q65" s="148">
        <v>221.74100000000001</v>
      </c>
      <c r="R65" s="148">
        <v>24.942</v>
      </c>
      <c r="S65" s="138">
        <f>1-(R65+Q65-'Table T3'!E65)/R65</f>
        <v>1.0628658487691438</v>
      </c>
    </row>
    <row r="66" spans="1:19">
      <c r="A66" s="142">
        <v>1991</v>
      </c>
      <c r="B66" s="83">
        <v>2193.895</v>
      </c>
      <c r="C66" s="148">
        <v>643.36400000000003</v>
      </c>
      <c r="D66" s="78">
        <f t="shared" si="4"/>
        <v>455.75</v>
      </c>
      <c r="E66" s="32">
        <v>278.976</v>
      </c>
      <c r="F66" s="32">
        <v>176.774</v>
      </c>
      <c r="G66" s="149">
        <f t="shared" si="5"/>
        <v>1094.7809999999999</v>
      </c>
      <c r="H66" s="31">
        <v>82.100999999999999</v>
      </c>
      <c r="I66" s="77">
        <v>92.561000000000007</v>
      </c>
      <c r="J66" s="31"/>
      <c r="K66" s="32">
        <v>827.53700000000003</v>
      </c>
      <c r="L66" s="271">
        <v>5217.9048000000003</v>
      </c>
      <c r="M66" s="179"/>
      <c r="N66" s="93">
        <v>298.95699999999999</v>
      </c>
      <c r="O66" s="153">
        <f>'Table T3'!E66-N66</f>
        <v>33.899000000000001</v>
      </c>
      <c r="P66" s="138">
        <f t="shared" si="3"/>
        <v>0.11339088899072443</v>
      </c>
      <c r="Q66" s="148">
        <v>271.87200000000001</v>
      </c>
      <c r="R66" s="148">
        <v>30.332999999999998</v>
      </c>
      <c r="S66" s="138">
        <f>1-(R66+Q66-'Table T3'!E66)/R66</f>
        <v>2.0104836316882588</v>
      </c>
    </row>
    <row r="67" spans="1:19">
      <c r="A67" s="142">
        <v>1992</v>
      </c>
      <c r="B67" s="83">
        <v>2244.5279999999998</v>
      </c>
      <c r="C67" s="148">
        <v>663.83</v>
      </c>
      <c r="D67" s="78">
        <f t="shared" si="4"/>
        <v>515.08300000000008</v>
      </c>
      <c r="E67" s="32">
        <v>314.26600000000002</v>
      </c>
      <c r="F67" s="32">
        <v>200.81700000000001</v>
      </c>
      <c r="G67" s="149">
        <f t="shared" si="5"/>
        <v>1065.6149999999998</v>
      </c>
      <c r="H67" s="31">
        <v>78.406999999999996</v>
      </c>
      <c r="I67" s="77">
        <v>87.168000000000006</v>
      </c>
      <c r="J67" s="31"/>
      <c r="K67" s="32">
        <v>798.63</v>
      </c>
      <c r="L67" s="271">
        <v>5517.1017999999995</v>
      </c>
      <c r="M67" s="179"/>
      <c r="N67" s="93">
        <v>328.988</v>
      </c>
      <c r="O67" s="153">
        <f>'Table T3'!E67-N67</f>
        <v>15.865000000000009</v>
      </c>
      <c r="P67" s="138">
        <f t="shared" si="3"/>
        <v>4.8223643415565336E-2</v>
      </c>
      <c r="Q67" s="148">
        <v>300.16000000000003</v>
      </c>
      <c r="R67" s="148">
        <v>32.177999999999997</v>
      </c>
      <c r="S67" s="138">
        <f>1-(R67+Q67-'Table T3'!E67)/R67</f>
        <v>1.3889303250668155</v>
      </c>
    </row>
    <row r="68" spans="1:19">
      <c r="A68" s="142">
        <v>1993</v>
      </c>
      <c r="B68" s="83">
        <v>2651.0920000000001</v>
      </c>
      <c r="C68" s="148">
        <v>723.52599999999995</v>
      </c>
      <c r="D68" s="78">
        <f t="shared" si="4"/>
        <v>853.52800000000002</v>
      </c>
      <c r="E68" s="32">
        <v>543.86199999999997</v>
      </c>
      <c r="F68" s="32">
        <v>309.666</v>
      </c>
      <c r="G68" s="149">
        <f t="shared" si="5"/>
        <v>1074.0380000000002</v>
      </c>
      <c r="H68" s="31">
        <v>68.802000000000007</v>
      </c>
      <c r="I68" s="77">
        <v>102.556</v>
      </c>
      <c r="J68" s="31"/>
      <c r="K68" s="32">
        <v>1061.299</v>
      </c>
      <c r="L68" s="271">
        <v>5784.7214999999997</v>
      </c>
      <c r="M68" s="179"/>
      <c r="N68" s="93">
        <v>373.52</v>
      </c>
      <c r="O68" s="153">
        <f>'Table T3'!E68-N68</f>
        <v>21.045000000000016</v>
      </c>
      <c r="P68" s="138">
        <f t="shared" si="3"/>
        <v>5.6342364532019747E-2</v>
      </c>
      <c r="Q68" s="148">
        <v>340.62700000000001</v>
      </c>
      <c r="R68" s="148">
        <v>35.901000000000003</v>
      </c>
      <c r="S68" s="138">
        <f>1-(R68+Q68-'Table T3'!E68)/R68</f>
        <v>1.5024094036377811</v>
      </c>
    </row>
    <row r="69" spans="1:19">
      <c r="A69" s="142">
        <v>1994</v>
      </c>
      <c r="B69" s="83">
        <v>2887.0079999999998</v>
      </c>
      <c r="C69" s="148">
        <v>786.56500000000005</v>
      </c>
      <c r="D69" s="78">
        <f t="shared" si="4"/>
        <v>937.15300000000002</v>
      </c>
      <c r="E69" s="32">
        <v>626.76199999999994</v>
      </c>
      <c r="F69" s="32">
        <v>310.39100000000002</v>
      </c>
      <c r="G69" s="149">
        <f t="shared" si="5"/>
        <v>1163.2899999999997</v>
      </c>
      <c r="H69" s="31">
        <v>42.668999999999997</v>
      </c>
      <c r="I69" s="77">
        <v>100.11</v>
      </c>
      <c r="J69" s="31"/>
      <c r="K69" s="32">
        <v>1114.5820000000001</v>
      </c>
      <c r="L69" s="271">
        <v>6181.2584999999999</v>
      </c>
      <c r="M69" s="179"/>
      <c r="N69" s="93">
        <v>397.72</v>
      </c>
      <c r="O69" s="153">
        <f>'Table T3'!E69-N69</f>
        <v>-1.7000000000052751E-2</v>
      </c>
      <c r="P69" s="138">
        <f t="shared" si="3"/>
        <v>-4.2743638740955317E-5</v>
      </c>
      <c r="Q69" s="148">
        <v>371.61799999999999</v>
      </c>
      <c r="R69" s="148">
        <v>31.010999999999999</v>
      </c>
      <c r="S69" s="138">
        <f>1-(R69+Q69-'Table T3'!E69)/R69</f>
        <v>0.84115313920866641</v>
      </c>
    </row>
    <row r="70" spans="1:19">
      <c r="A70" s="142">
        <v>1995</v>
      </c>
      <c r="B70" s="83">
        <v>3384.9929999999999</v>
      </c>
      <c r="C70" s="148">
        <v>885.50599999999997</v>
      </c>
      <c r="D70" s="78">
        <f t="shared" si="4"/>
        <v>1203.925</v>
      </c>
      <c r="E70" s="32">
        <v>790.61500000000001</v>
      </c>
      <c r="F70" s="32">
        <v>413.31</v>
      </c>
      <c r="G70" s="149">
        <f t="shared" si="5"/>
        <v>1295.5620000000001</v>
      </c>
      <c r="H70" s="31">
        <v>56.16</v>
      </c>
      <c r="I70" s="77">
        <v>101.279</v>
      </c>
      <c r="J70" s="31"/>
      <c r="K70" s="32">
        <v>1363.7919999999999</v>
      </c>
      <c r="L70" s="271">
        <v>6522.3239999999996</v>
      </c>
      <c r="M70" s="179"/>
      <c r="N70" s="93">
        <v>549.51300000000003</v>
      </c>
      <c r="O70" s="153">
        <f>'Table T3'!E70-N70</f>
        <v>-2.97199999999998</v>
      </c>
      <c r="P70" s="138">
        <f t="shared" si="3"/>
        <v>-5.4084252783828226E-3</v>
      </c>
      <c r="Q70" s="148">
        <v>510.76900000000001</v>
      </c>
      <c r="R70" s="148">
        <v>44.445999999999998</v>
      </c>
      <c r="S70" s="138">
        <f>1-(R70+Q70-'Table T3'!E70)/R70</f>
        <v>0.80484183053593172</v>
      </c>
    </row>
    <row r="71" spans="1:19">
      <c r="A71" s="142">
        <v>1996</v>
      </c>
      <c r="B71" s="83">
        <v>3935.6089999999999</v>
      </c>
      <c r="C71" s="148">
        <v>989.81</v>
      </c>
      <c r="D71" s="78">
        <f t="shared" si="4"/>
        <v>1487.546</v>
      </c>
      <c r="E71" s="32">
        <v>1006.135</v>
      </c>
      <c r="F71" s="32">
        <v>481.411</v>
      </c>
      <c r="G71" s="149">
        <f t="shared" si="5"/>
        <v>1458.2529999999999</v>
      </c>
      <c r="H71" s="31">
        <v>67.475999999999999</v>
      </c>
      <c r="I71" s="77">
        <v>96.697999999999993</v>
      </c>
      <c r="J71" s="31"/>
      <c r="K71" s="32">
        <v>1608.34</v>
      </c>
      <c r="L71" s="271">
        <v>6931.6875</v>
      </c>
      <c r="M71" s="179"/>
      <c r="N71" s="93">
        <v>672.39700000000005</v>
      </c>
      <c r="O71" s="153">
        <f>'Table T3'!E71-N71</f>
        <v>2.9569999999999936</v>
      </c>
      <c r="P71" s="138">
        <f t="shared" si="3"/>
        <v>4.397699573317539E-3</v>
      </c>
      <c r="Q71" s="148">
        <v>625.80499999999995</v>
      </c>
      <c r="R71" s="148">
        <v>54.045000000000002</v>
      </c>
      <c r="S71" s="138">
        <f>1-(R71+Q71-'Table T3'!E71)/R71</f>
        <v>0.91681006568600487</v>
      </c>
    </row>
    <row r="72" spans="1:19">
      <c r="A72" s="142">
        <v>1997</v>
      </c>
      <c r="B72" s="83">
        <v>4491.9769999999999</v>
      </c>
      <c r="C72" s="148">
        <v>1068.0630000000001</v>
      </c>
      <c r="D72" s="78">
        <f t="shared" si="4"/>
        <v>1751.183</v>
      </c>
      <c r="E72" s="32">
        <v>1207.787</v>
      </c>
      <c r="F72" s="32">
        <v>543.39599999999996</v>
      </c>
      <c r="G72" s="149">
        <f t="shared" si="5"/>
        <v>1672.7309999999998</v>
      </c>
      <c r="H72" s="31">
        <v>65.084000000000003</v>
      </c>
      <c r="I72" s="77">
        <v>75.929000000000002</v>
      </c>
      <c r="J72" s="31"/>
      <c r="K72" s="32">
        <v>1879.2850000000001</v>
      </c>
      <c r="L72" s="271">
        <v>7405.98</v>
      </c>
      <c r="M72" s="179"/>
      <c r="N72" s="93">
        <v>952.89300000000003</v>
      </c>
      <c r="O72" s="153">
        <f>'Table T3'!E72-N72</f>
        <v>0.87699999999995271</v>
      </c>
      <c r="P72" s="138">
        <f t="shared" si="3"/>
        <v>9.2035517104223949E-4</v>
      </c>
      <c r="Q72" s="148">
        <v>893.88800000000003</v>
      </c>
      <c r="R72" s="148">
        <v>68.432000000000002</v>
      </c>
      <c r="S72" s="138">
        <f>1-(R72+Q72-'Table T3'!E72)/R72</f>
        <v>0.87505845218611078</v>
      </c>
    </row>
    <row r="73" spans="1:19">
      <c r="A73" s="142">
        <v>1998</v>
      </c>
      <c r="B73" s="83">
        <v>5020.2550000000001</v>
      </c>
      <c r="C73" s="148">
        <v>1196.021</v>
      </c>
      <c r="D73" s="78">
        <f t="shared" si="4"/>
        <v>2069.3829999999998</v>
      </c>
      <c r="E73" s="32">
        <v>1474.9829999999999</v>
      </c>
      <c r="F73" s="32">
        <v>594.4</v>
      </c>
      <c r="G73" s="149">
        <f t="shared" si="5"/>
        <v>1754.8510000000006</v>
      </c>
      <c r="H73" s="31">
        <v>72.878</v>
      </c>
      <c r="I73" s="77">
        <v>75.290999999999997</v>
      </c>
      <c r="J73" s="31"/>
      <c r="K73" s="32">
        <v>2279.6010000000001</v>
      </c>
      <c r="L73" s="271">
        <v>7875.5855000000001</v>
      </c>
      <c r="M73" s="179"/>
      <c r="N73" s="93">
        <v>1250.3420000000001</v>
      </c>
      <c r="O73" s="153">
        <f>'Table T3'!E73-N73</f>
        <v>14.722999999999956</v>
      </c>
      <c r="P73" s="138">
        <f t="shared" si="3"/>
        <v>1.1775178311214015E-2</v>
      </c>
      <c r="Q73" s="148">
        <v>1178.8240000000001</v>
      </c>
      <c r="R73" s="148">
        <v>82.137</v>
      </c>
      <c r="S73" s="138">
        <f>1-(R73+Q73-'Table T3'!E73)/R73</f>
        <v>1.0499653018736994</v>
      </c>
    </row>
    <row r="74" spans="1:19">
      <c r="A74" s="238">
        <v>1999</v>
      </c>
      <c r="B74" s="249">
        <v>5898.4440000000004</v>
      </c>
      <c r="C74" s="225">
        <v>1414.355</v>
      </c>
      <c r="D74" s="226">
        <f t="shared" si="4"/>
        <v>2551.9489999999996</v>
      </c>
      <c r="E74" s="250">
        <v>2003.7159999999999</v>
      </c>
      <c r="F74" s="250">
        <v>548.23299999999995</v>
      </c>
      <c r="G74" s="228">
        <f t="shared" si="5"/>
        <v>1932.1400000000003</v>
      </c>
      <c r="H74" s="227">
        <v>89.171000000000006</v>
      </c>
      <c r="I74" s="251">
        <v>75.95</v>
      </c>
      <c r="J74" s="227"/>
      <c r="K74" s="250">
        <v>2839.6390000000001</v>
      </c>
      <c r="L74" s="272">
        <v>8357.9668000000001</v>
      </c>
      <c r="M74" s="179"/>
      <c r="N74" s="93">
        <v>1611.5340000000001</v>
      </c>
      <c r="O74" s="153">
        <f>'Table T3'!E74-N74</f>
        <v>12.996999999999844</v>
      </c>
      <c r="P74" s="138">
        <f t="shared" si="3"/>
        <v>8.0649865283635609E-3</v>
      </c>
      <c r="Q74" s="148">
        <v>1526.116</v>
      </c>
      <c r="R74" s="148">
        <v>97.319000000000003</v>
      </c>
      <c r="S74" s="138">
        <f>1-(R74+Q74-'Table T3'!E74)/R74</f>
        <v>1.0112619324078547</v>
      </c>
    </row>
    <row r="75" spans="1:19">
      <c r="A75" s="142">
        <v>2000</v>
      </c>
      <c r="B75" s="83">
        <v>6166.9859999999999</v>
      </c>
      <c r="C75" s="148">
        <v>1531.607</v>
      </c>
      <c r="D75" s="78">
        <f t="shared" si="4"/>
        <v>2425.5340000000001</v>
      </c>
      <c r="E75" s="32">
        <v>1852.8420000000001</v>
      </c>
      <c r="F75" s="32">
        <v>572.69200000000001</v>
      </c>
      <c r="G75" s="149">
        <f t="shared" si="5"/>
        <v>2209.8449999999998</v>
      </c>
      <c r="H75" s="31">
        <v>120.919</v>
      </c>
      <c r="I75" s="77">
        <v>71.799000000000007</v>
      </c>
      <c r="J75" s="31"/>
      <c r="K75" s="32">
        <v>2694.0140000000001</v>
      </c>
      <c r="L75" s="271">
        <v>8938.8913000000011</v>
      </c>
      <c r="M75" s="179"/>
      <c r="N75" s="93">
        <v>1643.2049999999999</v>
      </c>
      <c r="O75" s="153">
        <f>'Table T3'!E75-N75</f>
        <v>-22.261999999999944</v>
      </c>
      <c r="P75" s="138">
        <f t="shared" si="3"/>
        <v>-1.3547913985169193E-2</v>
      </c>
      <c r="Q75" s="148">
        <v>1554.4480000000001</v>
      </c>
      <c r="R75" s="148">
        <v>101.834</v>
      </c>
      <c r="S75" s="138">
        <f>1-(R75+Q75-'Table T3'!E75)/R75</f>
        <v>0.65297444861244602</v>
      </c>
    </row>
    <row r="76" spans="1:19">
      <c r="A76" s="142">
        <v>2001</v>
      </c>
      <c r="B76" s="83">
        <v>6236.3529999999992</v>
      </c>
      <c r="C76" s="148">
        <v>1693.1310000000001</v>
      </c>
      <c r="D76" s="78">
        <f t="shared" si="4"/>
        <v>2169.7350000000001</v>
      </c>
      <c r="E76" s="32">
        <v>1612.673</v>
      </c>
      <c r="F76" s="32">
        <v>557.06200000000001</v>
      </c>
      <c r="G76" s="149">
        <f t="shared" si="5"/>
        <v>2373.4869999999987</v>
      </c>
      <c r="H76" s="31">
        <v>146.86000000000001</v>
      </c>
      <c r="I76" s="77">
        <v>72.328000000000003</v>
      </c>
      <c r="J76" s="31"/>
      <c r="K76" s="32">
        <v>2314.9340000000002</v>
      </c>
      <c r="L76" s="271">
        <v>9185.2099999999991</v>
      </c>
      <c r="M76" s="179"/>
      <c r="N76" s="93">
        <v>1572.681</v>
      </c>
      <c r="O76" s="153">
        <f>'Table T3'!E76-N76</f>
        <v>0.39799999999991087</v>
      </c>
      <c r="P76" s="138">
        <f t="shared" si="3"/>
        <v>2.5307102966202989E-4</v>
      </c>
      <c r="Q76" s="148">
        <v>1478.3009999999999</v>
      </c>
      <c r="R76" s="148">
        <v>110.405</v>
      </c>
      <c r="S76" s="138">
        <f>1-(R76+Q76-'Table T3'!E76)/R76</f>
        <v>0.85845749739595167</v>
      </c>
    </row>
    <row r="77" spans="1:19">
      <c r="A77" s="142">
        <v>2002</v>
      </c>
      <c r="B77" s="83">
        <v>6558.2730000000001</v>
      </c>
      <c r="C77" s="148">
        <v>1867.0429999999999</v>
      </c>
      <c r="D77" s="78">
        <f t="shared" si="4"/>
        <v>2076.7219999999998</v>
      </c>
      <c r="E77" s="32">
        <v>1373.98</v>
      </c>
      <c r="F77" s="32">
        <v>702.74199999999996</v>
      </c>
      <c r="G77" s="149">
        <f t="shared" si="5"/>
        <v>2614.5080000000007</v>
      </c>
      <c r="H77" s="31">
        <f>(H76+H78)/2</f>
        <v>172.68100000000001</v>
      </c>
      <c r="I77" s="77">
        <v>90.805999999999997</v>
      </c>
      <c r="J77" s="31"/>
      <c r="K77" s="32">
        <v>2022.588</v>
      </c>
      <c r="L77" s="271">
        <v>9408.5253000000012</v>
      </c>
      <c r="M77" s="179"/>
      <c r="N77" s="93">
        <v>1335.7919999999999</v>
      </c>
      <c r="O77" s="153">
        <f>'Table T3'!E77-N77</f>
        <v>-7.0209999999999582</v>
      </c>
      <c r="P77" s="138">
        <f t="shared" si="3"/>
        <v>-5.2560578293626243E-3</v>
      </c>
      <c r="Q77" s="148">
        <v>1248.085</v>
      </c>
      <c r="R77" s="148">
        <v>107.598</v>
      </c>
      <c r="S77" s="138">
        <f>1-(R77+Q77-'Table T3'!E77)/R77</f>
        <v>0.74988382683692967</v>
      </c>
    </row>
    <row r="78" spans="1:19">
      <c r="A78" s="142">
        <v>2003</v>
      </c>
      <c r="B78" s="83">
        <v>7529.22</v>
      </c>
      <c r="C78" s="148">
        <v>2054.4639999999999</v>
      </c>
      <c r="D78" s="78">
        <f t="shared" si="4"/>
        <v>2948.37</v>
      </c>
      <c r="E78" s="32">
        <v>2079.422</v>
      </c>
      <c r="F78" s="32">
        <v>868.94799999999998</v>
      </c>
      <c r="G78" s="149">
        <f t="shared" si="5"/>
        <v>2526.3860000000004</v>
      </c>
      <c r="H78" s="31">
        <v>198.50200000000001</v>
      </c>
      <c r="I78" s="77">
        <v>108.866</v>
      </c>
      <c r="J78" s="31"/>
      <c r="K78" s="32">
        <v>2729.1260000000002</v>
      </c>
      <c r="L78" s="271">
        <v>9840.1749999999993</v>
      </c>
      <c r="M78" s="179"/>
      <c r="N78" s="93">
        <v>1839.509</v>
      </c>
      <c r="O78" s="153">
        <f>'Table T3'!E78-N78</f>
        <v>-0.63000000000010914</v>
      </c>
      <c r="P78" s="157">
        <f t="shared" si="3"/>
        <v>-3.4248269511054802E-4</v>
      </c>
      <c r="Q78" s="148">
        <v>1712.069</v>
      </c>
      <c r="R78" s="148">
        <v>158.589</v>
      </c>
      <c r="S78" s="138">
        <f>1-(R78+Q78-'Table T3'!E78)/R78</f>
        <v>0.7996140968162988</v>
      </c>
    </row>
    <row r="79" spans="1:19">
      <c r="A79" s="142">
        <v>2004</v>
      </c>
      <c r="B79" s="83">
        <v>9226.6869999999999</v>
      </c>
      <c r="C79" s="148">
        <v>2498.4940000000001</v>
      </c>
      <c r="D79" s="78">
        <f t="shared" si="4"/>
        <v>3545.3960000000002</v>
      </c>
      <c r="E79" s="32">
        <v>2560.4180000000001</v>
      </c>
      <c r="F79" s="32">
        <v>984.97799999999995</v>
      </c>
      <c r="G79" s="149">
        <f t="shared" si="5"/>
        <v>3182.7969999999991</v>
      </c>
      <c r="H79" s="31">
        <v>233.24799999999999</v>
      </c>
      <c r="I79" s="77">
        <v>113.947</v>
      </c>
      <c r="J79" s="31"/>
      <c r="K79" s="32">
        <v>3362.7959999999998</v>
      </c>
      <c r="L79" s="271">
        <v>10534.0535</v>
      </c>
      <c r="M79" s="179"/>
      <c r="N79" s="93">
        <v>2123.2579999999994</v>
      </c>
      <c r="O79" s="153">
        <f>'Table T3'!E79-N79</f>
        <v>1.1000000000008185</v>
      </c>
      <c r="P79" s="157">
        <f t="shared" si="3"/>
        <v>5.1807175576440488E-4</v>
      </c>
      <c r="Q79" s="148">
        <v>1960.357</v>
      </c>
      <c r="R79" s="148">
        <v>215.239</v>
      </c>
      <c r="S79" s="138">
        <f>1-(R79+Q79-'Table T3'!E79)/R79</f>
        <v>0.7619483457923526</v>
      </c>
    </row>
    <row r="80" spans="1:19">
      <c r="A80" s="142">
        <v>2005</v>
      </c>
      <c r="B80" s="83">
        <v>10637.348</v>
      </c>
      <c r="C80" s="148">
        <v>2651.721</v>
      </c>
      <c r="D80" s="78">
        <f t="shared" si="4"/>
        <v>4329.259</v>
      </c>
      <c r="E80" s="32">
        <v>3317.7049999999999</v>
      </c>
      <c r="F80" s="32">
        <v>1011.554</v>
      </c>
      <c r="G80" s="149">
        <f t="shared" si="5"/>
        <v>3656.3680000000004</v>
      </c>
      <c r="H80" s="31">
        <v>263.221</v>
      </c>
      <c r="I80" s="77">
        <v>134.17500000000001</v>
      </c>
      <c r="J80" s="31">
        <v>1190.029</v>
      </c>
      <c r="K80" s="32">
        <v>3637.9960000000001</v>
      </c>
      <c r="L80" s="271">
        <v>11273.826800000001</v>
      </c>
      <c r="M80" s="179"/>
      <c r="N80" s="93">
        <v>2304.0129999999999</v>
      </c>
      <c r="O80" s="153">
        <f>'Table T3'!E80-N80</f>
        <v>4.9210000000002765</v>
      </c>
      <c r="P80" s="157">
        <f t="shared" si="3"/>
        <v>2.1358386432716639E-3</v>
      </c>
      <c r="Q80" s="148">
        <v>2109.8629999999998</v>
      </c>
      <c r="R80" s="148">
        <v>268.58600000000001</v>
      </c>
      <c r="S80" s="138">
        <f>1-(R80+Q80-'Table T3'!E80)/R80</f>
        <v>0.74118159546663109</v>
      </c>
    </row>
    <row r="81" spans="1:19">
      <c r="A81" s="142">
        <v>2006</v>
      </c>
      <c r="B81" s="83">
        <v>13023.875</v>
      </c>
      <c r="C81" s="148">
        <v>2948.172</v>
      </c>
      <c r="D81" s="78">
        <f t="shared" si="4"/>
        <v>5604.4750000000004</v>
      </c>
      <c r="E81" s="32">
        <v>4328.96</v>
      </c>
      <c r="F81" s="32">
        <v>1275.5150000000001</v>
      </c>
      <c r="G81" s="149">
        <f t="shared" si="5"/>
        <v>4471.2279999999992</v>
      </c>
      <c r="H81" s="31">
        <v>367.87700000000001</v>
      </c>
      <c r="I81" s="77">
        <v>165.267</v>
      </c>
      <c r="J81" s="32">
        <v>1238.9949999999999</v>
      </c>
      <c r="K81" s="32">
        <v>4470.3429999999998</v>
      </c>
      <c r="L81" s="271">
        <v>12031.229300000001</v>
      </c>
      <c r="M81" s="179"/>
      <c r="N81" s="93">
        <v>2791.8919999999998</v>
      </c>
      <c r="O81" s="153">
        <f>'Table T3'!E81-N81</f>
        <v>-4.5489999999999782</v>
      </c>
      <c r="P81" s="157">
        <f t="shared" si="3"/>
        <v>-1.6293610211283167E-3</v>
      </c>
      <c r="Q81" s="148">
        <v>2547.4679999999998</v>
      </c>
      <c r="R81" s="148">
        <v>342.822</v>
      </c>
      <c r="S81" s="138">
        <f>1-(R81+Q81-'Table T3'!E81)/R81</f>
        <v>0.69970713664817275</v>
      </c>
    </row>
    <row r="82" spans="1:19">
      <c r="A82" s="142">
        <v>2007</v>
      </c>
      <c r="B82" s="83">
        <v>15622.319</v>
      </c>
      <c r="C82" s="148">
        <v>3553.0949999999998</v>
      </c>
      <c r="D82" s="78">
        <f t="shared" si="4"/>
        <v>6835.0789999999997</v>
      </c>
      <c r="E82" s="32">
        <v>5247.99</v>
      </c>
      <c r="F82" s="32">
        <v>1587.0889999999999</v>
      </c>
      <c r="G82" s="149">
        <f t="shared" si="5"/>
        <v>5234.1450000000004</v>
      </c>
      <c r="H82" s="31">
        <v>356.96300000000002</v>
      </c>
      <c r="I82" s="77">
        <v>218.02500000000001</v>
      </c>
      <c r="J82" s="32">
        <v>2559.3319999999999</v>
      </c>
      <c r="K82" s="32">
        <v>5274.991</v>
      </c>
      <c r="L82" s="271">
        <v>12396.422</v>
      </c>
      <c r="M82" s="179"/>
      <c r="N82" s="93">
        <v>3231.652</v>
      </c>
      <c r="O82" s="153">
        <f>'Table T3'!E82-N82</f>
        <v>0.17999999999983629</v>
      </c>
      <c r="P82" s="157">
        <f t="shared" si="3"/>
        <v>5.5699066607368706E-5</v>
      </c>
      <c r="Q82" s="148">
        <v>2900.9479999999999</v>
      </c>
      <c r="R82" s="148">
        <v>433.87799999999999</v>
      </c>
      <c r="S82" s="138">
        <f>1-(R82+Q82-'Table T3'!E82)/R82</f>
        <v>0.76261990697845905</v>
      </c>
    </row>
    <row r="83" spans="1:19">
      <c r="A83" s="142">
        <v>2008</v>
      </c>
      <c r="B83" s="83">
        <v>13109.828</v>
      </c>
      <c r="C83" s="148">
        <v>3748.5120000000002</v>
      </c>
      <c r="D83" s="78">
        <f t="shared" si="4"/>
        <v>3985.712</v>
      </c>
      <c r="E83" s="32">
        <v>2748.4279999999999</v>
      </c>
      <c r="F83" s="32">
        <v>1237.2840000000001</v>
      </c>
      <c r="G83" s="149">
        <f t="shared" si="5"/>
        <v>5375.6039999999994</v>
      </c>
      <c r="H83" s="31">
        <v>282.35399999999998</v>
      </c>
      <c r="I83" s="77">
        <v>227.43899999999999</v>
      </c>
      <c r="J83" s="32">
        <v>6127.45</v>
      </c>
      <c r="K83" s="32">
        <v>3102.4180000000001</v>
      </c>
      <c r="L83" s="271">
        <v>12557.8025</v>
      </c>
      <c r="M83" s="179"/>
      <c r="N83" s="93">
        <v>2132.433</v>
      </c>
      <c r="O83" s="153">
        <f>'Table T3'!E83-N83</f>
        <v>-17.085000000000036</v>
      </c>
      <c r="P83" s="157">
        <f t="shared" si="3"/>
        <v>-8.0119750538469609E-3</v>
      </c>
      <c r="Q83" s="148">
        <v>1850.0550000000001</v>
      </c>
      <c r="R83" s="148">
        <v>382.67399999999998</v>
      </c>
      <c r="S83" s="138">
        <f>1-(R83+Q83-'Table T3'!E83)/R83</f>
        <v>0.69326110475234715</v>
      </c>
    </row>
    <row r="84" spans="1:19">
      <c r="A84" s="255">
        <v>2009</v>
      </c>
      <c r="B84" s="249">
        <v>14737.532000000001</v>
      </c>
      <c r="C84" s="225">
        <v>4029.4569999999999</v>
      </c>
      <c r="D84" s="226">
        <f t="shared" si="4"/>
        <v>5565.6360000000004</v>
      </c>
      <c r="E84" s="250">
        <v>3995.2950000000001</v>
      </c>
      <c r="F84" s="250">
        <v>1570.3409999999999</v>
      </c>
      <c r="G84" s="228">
        <f t="shared" si="5"/>
        <v>5142.4390000000003</v>
      </c>
      <c r="H84" s="227">
        <v>387.22899999999998</v>
      </c>
      <c r="I84" s="251">
        <v>284.38</v>
      </c>
      <c r="J84" s="227">
        <v>3489.779</v>
      </c>
      <c r="K84" s="250">
        <v>4287.2030000000004</v>
      </c>
      <c r="L84" s="272">
        <v>12225.053</v>
      </c>
      <c r="M84" s="179"/>
      <c r="N84" s="93">
        <v>2917.6469999999999</v>
      </c>
      <c r="O84" s="153">
        <f>'Table T3'!E84-N84</f>
        <v>5.1550000000002001</v>
      </c>
      <c r="P84" s="157">
        <f t="shared" si="3"/>
        <v>1.7668347130410911E-3</v>
      </c>
      <c r="Q84" s="148">
        <v>2494.31</v>
      </c>
      <c r="R84" s="148">
        <v>527.60799999999995</v>
      </c>
      <c r="S84" s="138">
        <f>1-(R84+Q84-'Table T3'!E84)/R84</f>
        <v>0.81214083182969254</v>
      </c>
    </row>
    <row r="85" spans="1:19">
      <c r="A85" s="160">
        <v>2010</v>
      </c>
      <c r="B85" s="83">
        <v>16278.562999999998</v>
      </c>
      <c r="C85" s="148">
        <v>4306.8429999999998</v>
      </c>
      <c r="D85" s="78">
        <f t="shared" si="4"/>
        <v>6336.3700000000008</v>
      </c>
      <c r="E85" s="32">
        <v>4646.9080000000004</v>
      </c>
      <c r="F85" s="32">
        <v>1689.462</v>
      </c>
      <c r="G85" s="149">
        <f t="shared" si="5"/>
        <v>5635.3499999999967</v>
      </c>
      <c r="H85" s="31">
        <v>401.36900000000003</v>
      </c>
      <c r="I85" s="77">
        <v>367.53699999999998</v>
      </c>
      <c r="J85" s="31">
        <v>3652.3130000000001</v>
      </c>
      <c r="K85" s="32">
        <v>4766.7299999999996</v>
      </c>
      <c r="L85" s="271">
        <v>12821.625300000002</v>
      </c>
      <c r="M85" s="179"/>
      <c r="N85" s="93">
        <v>3509.6469999999999</v>
      </c>
      <c r="O85" s="153">
        <f>'Table T3'!E85-N85</f>
        <v>81.137000000000171</v>
      </c>
      <c r="P85" s="157">
        <f t="shared" si="3"/>
        <v>2.3118279416704919E-2</v>
      </c>
      <c r="Q85" s="148">
        <v>3018.26</v>
      </c>
      <c r="R85" s="148">
        <v>629.44799999999998</v>
      </c>
      <c r="S85" s="138">
        <f>1-(R85+Q85-'Table T3'!E85)/R85</f>
        <v>0.90956520633952287</v>
      </c>
    </row>
    <row r="86" spans="1:19">
      <c r="A86" s="160">
        <v>2011</v>
      </c>
      <c r="B86" s="83">
        <v>16027.349000000002</v>
      </c>
      <c r="C86" s="148">
        <v>4681.5690000000004</v>
      </c>
      <c r="D86" s="78">
        <f t="shared" si="4"/>
        <v>5922.0010000000002</v>
      </c>
      <c r="E86" s="32">
        <v>4158.2470000000003</v>
      </c>
      <c r="F86" s="32">
        <v>1763.7539999999999</v>
      </c>
      <c r="G86" s="149">
        <f t="shared" si="5"/>
        <v>5423.7790000000023</v>
      </c>
      <c r="H86" s="31">
        <v>360.37</v>
      </c>
      <c r="I86" s="77">
        <v>400.35500000000002</v>
      </c>
      <c r="J86" s="31">
        <v>4704.6660000000002</v>
      </c>
      <c r="K86" s="32">
        <v>4499.9620000000004</v>
      </c>
      <c r="L86" s="271">
        <v>13358.887500000001</v>
      </c>
      <c r="M86" s="179"/>
      <c r="Q86" s="148">
        <v>3058.2150000000001</v>
      </c>
      <c r="R86" s="148">
        <v>644.53499999999997</v>
      </c>
      <c r="S86" s="138">
        <v>0.75</v>
      </c>
    </row>
    <row r="87" spans="1:19" ht="16" thickBot="1">
      <c r="A87" s="161">
        <v>2012</v>
      </c>
      <c r="B87" s="85">
        <v>16708.631000000001</v>
      </c>
      <c r="C87" s="162">
        <v>4944.4269999999997</v>
      </c>
      <c r="D87" s="79">
        <f t="shared" si="4"/>
        <v>6763.1729999999998</v>
      </c>
      <c r="E87" s="36">
        <v>4919.5439999999999</v>
      </c>
      <c r="F87" s="36">
        <v>1843.6289999999999</v>
      </c>
      <c r="G87" s="163">
        <f t="shared" si="5"/>
        <v>5001.0310000000018</v>
      </c>
      <c r="H87" s="38">
        <f>H86*L87/L86</f>
        <v>374.31695438710739</v>
      </c>
      <c r="I87" s="80">
        <v>431.714</v>
      </c>
      <c r="J87" s="38">
        <v>3619.761</v>
      </c>
      <c r="K87" s="36">
        <v>5191.116</v>
      </c>
      <c r="L87" s="273">
        <v>13875.9</v>
      </c>
      <c r="M87" s="179"/>
      <c r="Q87" s="162">
        <v>3557.6289999999999</v>
      </c>
      <c r="R87" s="162">
        <v>738.59900000000005</v>
      </c>
      <c r="S87" s="138">
        <v>0.75</v>
      </c>
    </row>
    <row r="88" spans="1:19" ht="31" customHeight="1" thickTop="1">
      <c r="A88" s="279"/>
      <c r="B88" s="479" t="s">
        <v>172</v>
      </c>
      <c r="C88" s="480"/>
      <c r="D88" s="480"/>
      <c r="E88" s="480"/>
      <c r="F88" s="480"/>
      <c r="G88" s="480"/>
      <c r="H88" s="480"/>
      <c r="I88" s="480"/>
      <c r="J88" s="480"/>
      <c r="K88" s="480"/>
      <c r="L88" s="481"/>
      <c r="M88" s="72"/>
    </row>
    <row r="89" spans="1:19">
      <c r="A89" s="132">
        <v>1853</v>
      </c>
      <c r="B89" s="181">
        <f t="shared" ref="B89:B120" si="6">B10/$L10</f>
        <v>0</v>
      </c>
      <c r="C89" s="182">
        <f t="shared" ref="C89:L89" si="7">C10/$L10</f>
        <v>0</v>
      </c>
      <c r="D89" s="214">
        <f t="shared" si="7"/>
        <v>0</v>
      </c>
      <c r="E89" s="183"/>
      <c r="F89" s="183"/>
      <c r="G89" s="184">
        <f t="shared" si="7"/>
        <v>0</v>
      </c>
      <c r="H89" s="183">
        <f t="shared" si="7"/>
        <v>0</v>
      </c>
      <c r="I89" s="185"/>
      <c r="J89" s="183"/>
      <c r="K89" s="183"/>
      <c r="L89" s="209">
        <f t="shared" si="7"/>
        <v>1</v>
      </c>
      <c r="M89" s="186"/>
    </row>
    <row r="90" spans="1:19">
      <c r="A90" s="132">
        <v>1869</v>
      </c>
      <c r="B90" s="181">
        <f t="shared" si="6"/>
        <v>1.31821932340576E-2</v>
      </c>
      <c r="C90" s="182"/>
      <c r="D90" s="215"/>
      <c r="E90" s="187"/>
      <c r="F90" s="187"/>
      <c r="G90" s="184"/>
      <c r="H90" s="188"/>
      <c r="I90" s="184"/>
      <c r="J90" s="187"/>
      <c r="K90" s="187"/>
      <c r="L90" s="210">
        <f t="shared" ref="L90:L108" si="8">L11/$L11</f>
        <v>1</v>
      </c>
      <c r="M90" s="187"/>
    </row>
    <row r="91" spans="1:19">
      <c r="A91" s="132">
        <v>1899</v>
      </c>
      <c r="B91" s="181">
        <f t="shared" si="6"/>
        <v>4.3921568627450974E-2</v>
      </c>
      <c r="C91" s="182">
        <f t="shared" ref="C91:D108" si="9">C12/$L12</f>
        <v>3.7647058823529408E-2</v>
      </c>
      <c r="D91" s="214">
        <f t="shared" si="9"/>
        <v>6.2745098039215692E-3</v>
      </c>
      <c r="E91" s="189"/>
      <c r="F91" s="189"/>
      <c r="G91" s="184">
        <f t="shared" ref="G91:G108" si="10">G12/$L12</f>
        <v>0</v>
      </c>
      <c r="H91" s="189"/>
      <c r="I91" s="190"/>
      <c r="J91" s="189"/>
      <c r="K91" s="189"/>
      <c r="L91" s="211">
        <f t="shared" si="8"/>
        <v>1</v>
      </c>
      <c r="M91" s="191"/>
    </row>
    <row r="92" spans="1:19">
      <c r="A92" s="238">
        <v>1914</v>
      </c>
      <c r="B92" s="257">
        <f t="shared" si="6"/>
        <v>0.11488966710265389</v>
      </c>
      <c r="C92" s="258">
        <f t="shared" si="9"/>
        <v>8.8629171764904424E-2</v>
      </c>
      <c r="D92" s="259">
        <f t="shared" si="9"/>
        <v>2.6260495337749459E-2</v>
      </c>
      <c r="E92" s="260"/>
      <c r="F92" s="260"/>
      <c r="G92" s="261">
        <f t="shared" si="10"/>
        <v>0</v>
      </c>
      <c r="H92" s="260"/>
      <c r="I92" s="262">
        <f t="shared" ref="I92:I99" si="11">I13/$L13</f>
        <v>4.9238428758280238E-2</v>
      </c>
      <c r="J92" s="260"/>
      <c r="K92" s="260"/>
      <c r="L92" s="263">
        <f t="shared" si="8"/>
        <v>1</v>
      </c>
      <c r="M92" s="191"/>
    </row>
    <row r="93" spans="1:19">
      <c r="A93" s="142">
        <v>1918</v>
      </c>
      <c r="B93" s="192">
        <f t="shared" si="6"/>
        <v>0.21978788224252291</v>
      </c>
      <c r="C93" s="193">
        <f t="shared" si="9"/>
        <v>5.7754480005334487E-2</v>
      </c>
      <c r="D93" s="195">
        <f t="shared" si="9"/>
        <v>4.0107277781482285E-2</v>
      </c>
      <c r="E93" s="189"/>
      <c r="F93" s="189"/>
      <c r="G93" s="194">
        <f t="shared" si="10"/>
        <v>0.12192612445570614</v>
      </c>
      <c r="H93" s="189"/>
      <c r="I93" s="190">
        <f t="shared" si="11"/>
        <v>4.6043154893141661E-2</v>
      </c>
      <c r="J93" s="189"/>
      <c r="K93" s="189"/>
      <c r="L93" s="211">
        <f t="shared" si="8"/>
        <v>1</v>
      </c>
      <c r="M93" s="191"/>
    </row>
    <row r="94" spans="1:19">
      <c r="A94" s="142">
        <v>1924</v>
      </c>
      <c r="B94" s="192">
        <f t="shared" si="6"/>
        <v>0.13691324700187216</v>
      </c>
      <c r="C94" s="193">
        <f t="shared" si="9"/>
        <v>6.7828581083496292E-2</v>
      </c>
      <c r="D94" s="195">
        <f t="shared" si="9"/>
        <v>5.9035987239339366E-2</v>
      </c>
      <c r="E94" s="189"/>
      <c r="F94" s="189"/>
      <c r="G94" s="194">
        <f t="shared" si="10"/>
        <v>1.0048678679036489E-2</v>
      </c>
      <c r="H94" s="189">
        <f t="shared" ref="H94:H108" si="12">H15/$L15</f>
        <v>1.0048678679036489E-2</v>
      </c>
      <c r="I94" s="190">
        <f t="shared" si="11"/>
        <v>5.2755563064941564E-2</v>
      </c>
      <c r="J94" s="189"/>
      <c r="K94" s="189"/>
      <c r="L94" s="211">
        <f t="shared" si="8"/>
        <v>1</v>
      </c>
      <c r="M94" s="191"/>
    </row>
    <row r="95" spans="1:19">
      <c r="A95" s="142">
        <v>1929</v>
      </c>
      <c r="B95" s="192">
        <f t="shared" si="6"/>
        <v>0.18317358892438762</v>
      </c>
      <c r="C95" s="193">
        <f t="shared" si="9"/>
        <v>8.5197018104366348E-2</v>
      </c>
      <c r="D95" s="195">
        <f t="shared" si="9"/>
        <v>7.6677316293929695E-2</v>
      </c>
      <c r="E95" s="189"/>
      <c r="F95" s="189"/>
      <c r="G95" s="194">
        <f t="shared" si="10"/>
        <v>2.1299254526091587E-2</v>
      </c>
      <c r="H95" s="189">
        <f t="shared" si="12"/>
        <v>2.1299254526091587E-2</v>
      </c>
      <c r="I95" s="190">
        <f t="shared" si="11"/>
        <v>4.2598509052183174E-2</v>
      </c>
      <c r="J95" s="189"/>
      <c r="K95" s="189"/>
      <c r="L95" s="211">
        <f t="shared" si="8"/>
        <v>1</v>
      </c>
      <c r="M95" s="191"/>
    </row>
    <row r="96" spans="1:19">
      <c r="A96" s="142">
        <v>1934</v>
      </c>
      <c r="B96" s="192">
        <f t="shared" si="6"/>
        <v>0.23235800344234078</v>
      </c>
      <c r="C96" s="193">
        <f t="shared" si="9"/>
        <v>0.13425129087779689</v>
      </c>
      <c r="D96" s="195">
        <f t="shared" si="9"/>
        <v>8.2616179001721163E-2</v>
      </c>
      <c r="E96" s="189"/>
      <c r="F96" s="189"/>
      <c r="G96" s="194">
        <f t="shared" si="10"/>
        <v>1.549053356282272E-2</v>
      </c>
      <c r="H96" s="189">
        <f t="shared" si="12"/>
        <v>1.549053356282272E-2</v>
      </c>
      <c r="I96" s="190">
        <f t="shared" si="11"/>
        <v>0.14113597246127366</v>
      </c>
      <c r="J96" s="189"/>
      <c r="K96" s="189"/>
      <c r="L96" s="211">
        <f t="shared" si="8"/>
        <v>1</v>
      </c>
      <c r="M96" s="191"/>
    </row>
    <row r="97" spans="1:13">
      <c r="A97" s="238">
        <v>1937</v>
      </c>
      <c r="B97" s="257">
        <f t="shared" si="6"/>
        <v>0.15426170468187275</v>
      </c>
      <c r="C97" s="258">
        <f t="shared" si="9"/>
        <v>9.0636254501800725E-2</v>
      </c>
      <c r="D97" s="259">
        <f t="shared" si="9"/>
        <v>5.2821128451380546E-2</v>
      </c>
      <c r="E97" s="260"/>
      <c r="F97" s="260"/>
      <c r="G97" s="261">
        <f t="shared" si="10"/>
        <v>1.0804321728691477E-2</v>
      </c>
      <c r="H97" s="260">
        <f t="shared" si="12"/>
        <v>1.0804321728691477E-2</v>
      </c>
      <c r="I97" s="262">
        <f t="shared" si="11"/>
        <v>0.15366146458583435</v>
      </c>
      <c r="J97" s="260"/>
      <c r="K97" s="260"/>
      <c r="L97" s="263">
        <f t="shared" si="8"/>
        <v>1</v>
      </c>
      <c r="M97" s="191"/>
    </row>
    <row r="98" spans="1:13">
      <c r="A98" s="142">
        <v>1941</v>
      </c>
      <c r="B98" s="192">
        <f t="shared" si="6"/>
        <v>0.10535405872193436</v>
      </c>
      <c r="C98" s="193">
        <f t="shared" si="9"/>
        <v>6.3039723661485317E-2</v>
      </c>
      <c r="D98" s="195">
        <f t="shared" si="9"/>
        <v>3.4542314335060449E-2</v>
      </c>
      <c r="E98" s="189"/>
      <c r="F98" s="189"/>
      <c r="G98" s="194">
        <f t="shared" si="10"/>
        <v>7.7720207253886018E-3</v>
      </c>
      <c r="H98" s="189">
        <f t="shared" si="12"/>
        <v>7.7720207253886018E-3</v>
      </c>
      <c r="I98" s="190">
        <f t="shared" si="11"/>
        <v>0.19084628670120901</v>
      </c>
      <c r="J98" s="189"/>
      <c r="K98" s="189"/>
      <c r="L98" s="211">
        <f t="shared" si="8"/>
        <v>1</v>
      </c>
      <c r="M98" s="191"/>
    </row>
    <row r="99" spans="1:13">
      <c r="A99" s="142">
        <v>1945</v>
      </c>
      <c r="B99" s="192">
        <f t="shared" si="6"/>
        <v>7.9899142713061005E-2</v>
      </c>
      <c r="C99" s="193">
        <f t="shared" si="9"/>
        <v>3.6444780635400909E-2</v>
      </c>
      <c r="D99" s="195">
        <f t="shared" si="9"/>
        <v>1.9440242057488649E-2</v>
      </c>
      <c r="E99" s="189">
        <f t="shared" ref="E99:F108" si="13">E20/$L20</f>
        <v>4.7503782148260202E-3</v>
      </c>
      <c r="F99" s="189">
        <f t="shared" si="13"/>
        <v>1.468986384266263E-2</v>
      </c>
      <c r="G99" s="194">
        <f t="shared" si="10"/>
        <v>2.4014120020171455E-2</v>
      </c>
      <c r="H99" s="189">
        <f t="shared" si="12"/>
        <v>0</v>
      </c>
      <c r="I99" s="190">
        <f t="shared" si="11"/>
        <v>0.10085728693898134</v>
      </c>
      <c r="J99" s="189"/>
      <c r="K99" s="189"/>
      <c r="L99" s="211">
        <f t="shared" si="8"/>
        <v>1</v>
      </c>
      <c r="M99" s="191"/>
    </row>
    <row r="100" spans="1:13">
      <c r="A100" s="142">
        <v>1946</v>
      </c>
      <c r="B100" s="192">
        <f t="shared" si="6"/>
        <v>9.2351460221550857E-2</v>
      </c>
      <c r="C100" s="193">
        <f t="shared" si="9"/>
        <v>3.6389728096676739E-2</v>
      </c>
      <c r="D100" s="195">
        <f t="shared" si="9"/>
        <v>1.9244712990936556E-2</v>
      </c>
      <c r="E100" s="189">
        <f t="shared" si="13"/>
        <v>5.0402819738167163E-3</v>
      </c>
      <c r="F100" s="189">
        <f t="shared" si="13"/>
        <v>1.420443101711984E-2</v>
      </c>
      <c r="G100" s="194">
        <f t="shared" si="10"/>
        <v>3.6717019133937566E-2</v>
      </c>
      <c r="H100" s="189">
        <f t="shared" si="12"/>
        <v>0</v>
      </c>
      <c r="I100" s="190"/>
      <c r="J100" s="189"/>
      <c r="K100" s="189"/>
      <c r="L100" s="211">
        <f t="shared" si="8"/>
        <v>1</v>
      </c>
      <c r="M100" s="191"/>
    </row>
    <row r="101" spans="1:13">
      <c r="A101" s="142">
        <v>1947</v>
      </c>
      <c r="B101" s="192">
        <f t="shared" si="6"/>
        <v>0.11528895053166897</v>
      </c>
      <c r="C101" s="193">
        <f t="shared" si="9"/>
        <v>3.8677762367082751E-2</v>
      </c>
      <c r="D101" s="195">
        <f t="shared" si="9"/>
        <v>1.7438742487286173E-2</v>
      </c>
      <c r="E101" s="189">
        <f t="shared" si="13"/>
        <v>4.4937586685159497E-3</v>
      </c>
      <c r="F101" s="189">
        <f t="shared" si="13"/>
        <v>1.2944983818770225E-2</v>
      </c>
      <c r="G101" s="194">
        <f t="shared" si="10"/>
        <v>5.9172445677300047E-2</v>
      </c>
      <c r="H101" s="189">
        <f t="shared" si="12"/>
        <v>0</v>
      </c>
      <c r="I101" s="216"/>
      <c r="J101" s="189"/>
      <c r="K101" s="189"/>
      <c r="L101" s="211">
        <f t="shared" si="8"/>
        <v>1</v>
      </c>
      <c r="M101" s="191"/>
    </row>
    <row r="102" spans="1:13">
      <c r="A102" s="142">
        <v>1948</v>
      </c>
      <c r="B102" s="192">
        <f t="shared" si="6"/>
        <v>0.11410964550700742</v>
      </c>
      <c r="C102" s="193">
        <f t="shared" si="9"/>
        <v>3.9674361088211048E-2</v>
      </c>
      <c r="D102" s="195">
        <f t="shared" si="9"/>
        <v>1.5762572135201977E-2</v>
      </c>
      <c r="E102" s="189">
        <f t="shared" si="13"/>
        <v>3.8911788953009067E-3</v>
      </c>
      <c r="F102" s="189">
        <f t="shared" si="13"/>
        <v>1.1871393239901072E-2</v>
      </c>
      <c r="G102" s="194">
        <f t="shared" si="10"/>
        <v>5.8672712283594393E-2</v>
      </c>
      <c r="H102" s="189">
        <f t="shared" si="12"/>
        <v>0</v>
      </c>
      <c r="I102" s="190">
        <f>I23/$L23</f>
        <v>0.1005729596042869</v>
      </c>
      <c r="J102" s="189"/>
      <c r="K102" s="189"/>
      <c r="L102" s="211">
        <f t="shared" si="8"/>
        <v>1</v>
      </c>
      <c r="M102" s="191"/>
    </row>
    <row r="103" spans="1:13">
      <c r="A103" s="223">
        <v>1949</v>
      </c>
      <c r="B103" s="257">
        <f t="shared" si="6"/>
        <v>0.12202105263157895</v>
      </c>
      <c r="C103" s="258">
        <f t="shared" si="9"/>
        <v>4.5052631578947365E-2</v>
      </c>
      <c r="D103" s="259">
        <f t="shared" si="9"/>
        <v>1.5069473684210525E-2</v>
      </c>
      <c r="E103" s="260">
        <f t="shared" si="13"/>
        <v>2.9810526315789472E-3</v>
      </c>
      <c r="F103" s="260">
        <f t="shared" si="13"/>
        <v>1.2088421052631578E-2</v>
      </c>
      <c r="G103" s="261">
        <f t="shared" si="10"/>
        <v>6.1898947368421053E-2</v>
      </c>
      <c r="H103" s="260">
        <f t="shared" si="12"/>
        <v>0</v>
      </c>
      <c r="I103" s="262"/>
      <c r="J103" s="260"/>
      <c r="K103" s="260"/>
      <c r="L103" s="263">
        <f t="shared" si="8"/>
        <v>1</v>
      </c>
      <c r="M103" s="191"/>
    </row>
    <row r="104" spans="1:13">
      <c r="A104" s="151">
        <v>1950</v>
      </c>
      <c r="B104" s="192">
        <f t="shared" si="6"/>
        <v>0.1176278893520273</v>
      </c>
      <c r="C104" s="193">
        <f t="shared" si="9"/>
        <v>4.4668435013262606E-2</v>
      </c>
      <c r="D104" s="195">
        <f t="shared" si="9"/>
        <v>1.6282682834406974E-2</v>
      </c>
      <c r="E104" s="189">
        <f t="shared" si="13"/>
        <v>4.4524441076165223E-3</v>
      </c>
      <c r="F104" s="189">
        <f t="shared" si="13"/>
        <v>1.1830238726790452E-2</v>
      </c>
      <c r="G104" s="194">
        <f t="shared" si="10"/>
        <v>5.6676771504357716E-2</v>
      </c>
      <c r="H104" s="189">
        <f t="shared" si="12"/>
        <v>0</v>
      </c>
      <c r="I104" s="190">
        <f>I25/$L25</f>
        <v>8.6472148541114069E-2</v>
      </c>
      <c r="J104" s="189"/>
      <c r="K104" s="189"/>
      <c r="L104" s="211">
        <f t="shared" si="8"/>
        <v>1</v>
      </c>
      <c r="M104" s="191"/>
    </row>
    <row r="105" spans="1:13">
      <c r="A105" s="151">
        <v>1951</v>
      </c>
      <c r="B105" s="192">
        <f t="shared" si="6"/>
        <v>0.10914088215931532</v>
      </c>
      <c r="C105" s="193">
        <f t="shared" si="9"/>
        <v>4.2722185648452926E-2</v>
      </c>
      <c r="D105" s="195">
        <f t="shared" si="9"/>
        <v>1.5763660302830808E-2</v>
      </c>
      <c r="E105" s="189">
        <f t="shared" si="13"/>
        <v>4.5753785385121782E-3</v>
      </c>
      <c r="F105" s="189">
        <f t="shared" si="13"/>
        <v>1.1188281764318631E-2</v>
      </c>
      <c r="G105" s="194">
        <f t="shared" si="10"/>
        <v>5.0655036208031592E-2</v>
      </c>
      <c r="H105" s="189">
        <f t="shared" si="12"/>
        <v>0</v>
      </c>
      <c r="I105" s="190"/>
      <c r="J105" s="189"/>
      <c r="K105" s="189"/>
      <c r="L105" s="211">
        <f t="shared" si="8"/>
        <v>1</v>
      </c>
      <c r="M105" s="191"/>
    </row>
    <row r="106" spans="1:13">
      <c r="A106" s="151">
        <v>1952</v>
      </c>
      <c r="B106" s="192">
        <f t="shared" si="6"/>
        <v>0.11292872704637409</v>
      </c>
      <c r="C106" s="193">
        <f t="shared" si="9"/>
        <v>4.5816993464052283E-2</v>
      </c>
      <c r="D106" s="195">
        <f t="shared" si="9"/>
        <v>1.5203859321506379E-2</v>
      </c>
      <c r="E106" s="189">
        <f t="shared" si="13"/>
        <v>4.5409274821039524E-3</v>
      </c>
      <c r="F106" s="189">
        <f t="shared" si="13"/>
        <v>1.0662931839402428E-2</v>
      </c>
      <c r="G106" s="194">
        <f t="shared" si="10"/>
        <v>5.1907874260815424E-2</v>
      </c>
      <c r="H106" s="189">
        <f t="shared" si="12"/>
        <v>0</v>
      </c>
      <c r="I106" s="190"/>
      <c r="J106" s="189"/>
      <c r="K106" s="189"/>
      <c r="L106" s="211">
        <f t="shared" si="8"/>
        <v>1</v>
      </c>
      <c r="M106" s="191"/>
    </row>
    <row r="107" spans="1:13">
      <c r="A107" s="151">
        <v>1953</v>
      </c>
      <c r="B107" s="192">
        <f t="shared" si="6"/>
        <v>0.11383343177790901</v>
      </c>
      <c r="C107" s="193">
        <f t="shared" si="9"/>
        <v>4.800059066745422E-2</v>
      </c>
      <c r="D107" s="195">
        <f t="shared" si="9"/>
        <v>1.3712344949793264E-2</v>
      </c>
      <c r="E107" s="189">
        <f t="shared" si="13"/>
        <v>3.9249852333136442E-3</v>
      </c>
      <c r="F107" s="189">
        <f t="shared" si="13"/>
        <v>9.7873597164796211E-3</v>
      </c>
      <c r="G107" s="194">
        <f t="shared" si="10"/>
        <v>5.2120496160661535E-2</v>
      </c>
      <c r="H107" s="189">
        <f t="shared" si="12"/>
        <v>0</v>
      </c>
      <c r="I107" s="190"/>
      <c r="J107" s="189"/>
      <c r="K107" s="189"/>
      <c r="L107" s="211">
        <f t="shared" si="8"/>
        <v>1</v>
      </c>
      <c r="M107" s="191"/>
    </row>
    <row r="108" spans="1:13">
      <c r="A108" s="151">
        <v>1954</v>
      </c>
      <c r="B108" s="192">
        <f t="shared" si="6"/>
        <v>0.12090050191910245</v>
      </c>
      <c r="C108" s="193">
        <f t="shared" si="9"/>
        <v>5.2054915854738711E-2</v>
      </c>
      <c r="D108" s="195">
        <f t="shared" si="9"/>
        <v>1.515205196338943E-2</v>
      </c>
      <c r="E108" s="189">
        <f t="shared" si="13"/>
        <v>5.5152051963389438E-3</v>
      </c>
      <c r="F108" s="189">
        <f t="shared" si="13"/>
        <v>9.6368467670504866E-3</v>
      </c>
      <c r="G108" s="194">
        <f t="shared" si="10"/>
        <v>5.3693534100974313E-2</v>
      </c>
      <c r="H108" s="189">
        <f t="shared" si="12"/>
        <v>0</v>
      </c>
      <c r="I108" s="190">
        <f>I29/$L29</f>
        <v>6.4343076468851484E-2</v>
      </c>
      <c r="J108" s="189"/>
      <c r="K108" s="189"/>
      <c r="L108" s="211">
        <f t="shared" si="8"/>
        <v>1</v>
      </c>
      <c r="M108" s="191"/>
    </row>
    <row r="109" spans="1:13">
      <c r="A109" s="151">
        <v>1955</v>
      </c>
      <c r="B109" s="192">
        <f t="shared" si="6"/>
        <v>0.11969086021505376</v>
      </c>
      <c r="C109" s="193">
        <f>C30/$L30</f>
        <v>5.213709677419355E-2</v>
      </c>
      <c r="D109" s="195">
        <f t="shared" ref="C109:L124" si="14">D30/$L30</f>
        <v>1.4811827956989246E-2</v>
      </c>
      <c r="E109" s="189">
        <f t="shared" si="14"/>
        <v>6.556451612903226E-3</v>
      </c>
      <c r="F109" s="189">
        <f t="shared" si="14"/>
        <v>8.2553763440860219E-3</v>
      </c>
      <c r="G109" s="194">
        <f t="shared" si="14"/>
        <v>5.2741935483870961E-2</v>
      </c>
      <c r="H109" s="189">
        <f t="shared" si="14"/>
        <v>0</v>
      </c>
      <c r="I109" s="190">
        <f t="shared" si="14"/>
        <v>5.8473118279569893E-2</v>
      </c>
      <c r="J109" s="189"/>
      <c r="K109" s="189"/>
      <c r="L109" s="211">
        <f t="shared" si="14"/>
        <v>1</v>
      </c>
      <c r="M109" s="191"/>
    </row>
    <row r="110" spans="1:13">
      <c r="A110" s="151">
        <v>1956</v>
      </c>
      <c r="B110" s="192">
        <f t="shared" si="6"/>
        <v>0.1275563433780704</v>
      </c>
      <c r="C110" s="193">
        <f t="shared" si="14"/>
        <v>5.698911116738415E-2</v>
      </c>
      <c r="D110" s="195">
        <f t="shared" si="14"/>
        <v>1.5208913649025071E-2</v>
      </c>
      <c r="E110" s="189">
        <f t="shared" si="14"/>
        <v>6.6472524689794891E-3</v>
      </c>
      <c r="F110" s="189">
        <f t="shared" si="14"/>
        <v>8.5616611800455808E-3</v>
      </c>
      <c r="G110" s="194">
        <f t="shared" si="14"/>
        <v>5.5358318561661186E-2</v>
      </c>
      <c r="H110" s="189">
        <f t="shared" si="14"/>
        <v>0</v>
      </c>
      <c r="I110" s="190"/>
      <c r="J110" s="189"/>
      <c r="K110" s="189"/>
      <c r="L110" s="211">
        <f t="shared" si="14"/>
        <v>1</v>
      </c>
      <c r="M110" s="191"/>
    </row>
    <row r="111" spans="1:13">
      <c r="A111" s="151">
        <v>1957</v>
      </c>
      <c r="B111" s="192">
        <f t="shared" si="6"/>
        <v>0.13310670215339945</v>
      </c>
      <c r="C111" s="193">
        <f t="shared" si="14"/>
        <v>6.1442051778369221E-2</v>
      </c>
      <c r="D111" s="195">
        <f t="shared" si="14"/>
        <v>1.4635857730462132E-2</v>
      </c>
      <c r="E111" s="189">
        <f t="shared" si="14"/>
        <v>5.402855068957174E-3</v>
      </c>
      <c r="F111" s="189">
        <f t="shared" si="14"/>
        <v>9.233002661504959E-3</v>
      </c>
      <c r="G111" s="194">
        <f t="shared" si="14"/>
        <v>5.7028792644568109E-2</v>
      </c>
      <c r="H111" s="189">
        <f t="shared" si="14"/>
        <v>0</v>
      </c>
      <c r="I111" s="190"/>
      <c r="J111" s="189"/>
      <c r="K111" s="189"/>
      <c r="L111" s="211">
        <f t="shared" si="14"/>
        <v>1</v>
      </c>
      <c r="M111" s="191"/>
    </row>
    <row r="112" spans="1:13">
      <c r="A112" s="151">
        <v>1958</v>
      </c>
      <c r="B112" s="192">
        <f t="shared" si="6"/>
        <v>0.14356352261790181</v>
      </c>
      <c r="C112" s="193">
        <f t="shared" si="14"/>
        <v>6.5950433108758422E-2</v>
      </c>
      <c r="D112" s="195">
        <f t="shared" si="14"/>
        <v>1.8837824831568817E-2</v>
      </c>
      <c r="E112" s="189">
        <f t="shared" si="14"/>
        <v>7.4470644850818096E-3</v>
      </c>
      <c r="F112" s="189">
        <f t="shared" si="14"/>
        <v>1.1390760346487006E-2</v>
      </c>
      <c r="G112" s="194">
        <f t="shared" si="14"/>
        <v>5.8775264677574587E-2</v>
      </c>
      <c r="H112" s="189">
        <f t="shared" si="14"/>
        <v>0</v>
      </c>
      <c r="I112" s="190"/>
      <c r="J112" s="189"/>
      <c r="K112" s="189"/>
      <c r="L112" s="211">
        <f t="shared" si="14"/>
        <v>1</v>
      </c>
      <c r="M112" s="191"/>
    </row>
    <row r="113" spans="1:13">
      <c r="A113" s="223">
        <v>1959</v>
      </c>
      <c r="B113" s="257">
        <f t="shared" si="6"/>
        <v>0.14085556780595371</v>
      </c>
      <c r="C113" s="258">
        <f t="shared" si="14"/>
        <v>6.5770672546857784E-2</v>
      </c>
      <c r="D113" s="259">
        <f t="shared" si="14"/>
        <v>1.9616317530319737E-2</v>
      </c>
      <c r="E113" s="260">
        <f t="shared" si="14"/>
        <v>8.1345093715545751E-3</v>
      </c>
      <c r="F113" s="260">
        <f t="shared" si="14"/>
        <v>1.148180815876516E-2</v>
      </c>
      <c r="G113" s="261">
        <f t="shared" si="14"/>
        <v>5.546857772877619E-2</v>
      </c>
      <c r="H113" s="260">
        <f t="shared" si="14"/>
        <v>0</v>
      </c>
      <c r="I113" s="262"/>
      <c r="J113" s="260"/>
      <c r="K113" s="260"/>
      <c r="L113" s="263">
        <f t="shared" si="14"/>
        <v>1</v>
      </c>
      <c r="M113" s="191"/>
    </row>
    <row r="114" spans="1:13">
      <c r="A114" s="151">
        <v>1960</v>
      </c>
      <c r="B114" s="192">
        <f t="shared" si="6"/>
        <v>0.14562358032623615</v>
      </c>
      <c r="C114" s="193">
        <f t="shared" si="14"/>
        <v>6.7237015490994798E-2</v>
      </c>
      <c r="D114" s="195">
        <f t="shared" si="14"/>
        <v>2.0611051853633679E-2</v>
      </c>
      <c r="E114" s="189">
        <f t="shared" si="14"/>
        <v>8.4064732375999773E-3</v>
      </c>
      <c r="F114" s="189">
        <f t="shared" si="14"/>
        <v>1.2204578616033702E-2</v>
      </c>
      <c r="G114" s="194">
        <f t="shared" si="14"/>
        <v>5.7775512981607671E-2</v>
      </c>
      <c r="H114" s="189">
        <f t="shared" si="14"/>
        <v>0</v>
      </c>
      <c r="I114" s="190"/>
      <c r="J114" s="189"/>
      <c r="K114" s="189"/>
      <c r="L114" s="211">
        <f t="shared" si="14"/>
        <v>1</v>
      </c>
      <c r="M114" s="191"/>
    </row>
    <row r="115" spans="1:13">
      <c r="A115" s="151">
        <v>1961</v>
      </c>
      <c r="B115" s="192">
        <f t="shared" si="6"/>
        <v>0.15508978802018</v>
      </c>
      <c r="C115" s="193">
        <f t="shared" si="14"/>
        <v>7.0752328130047171E-2</v>
      </c>
      <c r="D115" s="195">
        <f t="shared" si="14"/>
        <v>2.266837992310726E-2</v>
      </c>
      <c r="E115" s="189">
        <f t="shared" si="14"/>
        <v>9.9901463978307823E-3</v>
      </c>
      <c r="F115" s="189">
        <f t="shared" si="14"/>
        <v>1.2678233525276477E-2</v>
      </c>
      <c r="G115" s="194">
        <f t="shared" si="14"/>
        <v>6.1669079967025579E-2</v>
      </c>
      <c r="H115" s="189">
        <f t="shared" si="14"/>
        <v>0</v>
      </c>
      <c r="I115" s="190"/>
      <c r="J115" s="189"/>
      <c r="K115" s="189"/>
      <c r="L115" s="211">
        <f t="shared" si="14"/>
        <v>1</v>
      </c>
      <c r="M115" s="191"/>
    </row>
    <row r="116" spans="1:13">
      <c r="A116" s="151">
        <v>1962</v>
      </c>
      <c r="B116" s="192">
        <f t="shared" si="6"/>
        <v>0.15078057270675746</v>
      </c>
      <c r="C116" s="193">
        <f t="shared" si="14"/>
        <v>7.0481749450956713E-2</v>
      </c>
      <c r="D116" s="195">
        <f t="shared" si="14"/>
        <v>2.2555445573571802E-2</v>
      </c>
      <c r="E116" s="189">
        <f t="shared" si="14"/>
        <v>8.9132677033965536E-3</v>
      </c>
      <c r="F116" s="189">
        <f t="shared" si="14"/>
        <v>1.364217787017525E-2</v>
      </c>
      <c r="G116" s="194">
        <f t="shared" si="14"/>
        <v>5.7743377682228945E-2</v>
      </c>
      <c r="H116" s="189">
        <f t="shared" si="14"/>
        <v>0</v>
      </c>
      <c r="I116" s="190"/>
      <c r="J116" s="189"/>
      <c r="K116" s="189"/>
      <c r="L116" s="211">
        <f t="shared" si="14"/>
        <v>1</v>
      </c>
      <c r="M116" s="191"/>
    </row>
    <row r="117" spans="1:13">
      <c r="A117" s="151">
        <v>1963</v>
      </c>
      <c r="B117" s="192">
        <f t="shared" si="6"/>
        <v>0.15329085546734586</v>
      </c>
      <c r="C117" s="193">
        <f t="shared" si="14"/>
        <v>7.2778362586890591E-2</v>
      </c>
      <c r="D117" s="195">
        <f t="shared" si="14"/>
        <v>2.3856281314384088E-2</v>
      </c>
      <c r="E117" s="189">
        <f t="shared" si="14"/>
        <v>9.1919843752344878E-3</v>
      </c>
      <c r="F117" s="189">
        <f t="shared" si="14"/>
        <v>1.4664296939149599E-2</v>
      </c>
      <c r="G117" s="194">
        <f t="shared" si="14"/>
        <v>5.6656211566071167E-2</v>
      </c>
      <c r="H117" s="189">
        <f t="shared" si="14"/>
        <v>0</v>
      </c>
      <c r="I117" s="190"/>
      <c r="J117" s="189"/>
      <c r="K117" s="189"/>
      <c r="L117" s="211">
        <f t="shared" si="14"/>
        <v>1</v>
      </c>
      <c r="M117" s="191"/>
    </row>
    <row r="118" spans="1:13">
      <c r="A118" s="151">
        <v>1964</v>
      </c>
      <c r="B118" s="192">
        <f t="shared" si="6"/>
        <v>0.16120227801515186</v>
      </c>
      <c r="C118" s="193">
        <f t="shared" si="14"/>
        <v>7.3958507747436342E-2</v>
      </c>
      <c r="D118" s="195">
        <f t="shared" si="14"/>
        <v>2.3186856801663665E-2</v>
      </c>
      <c r="E118" s="189">
        <f t="shared" si="14"/>
        <v>8.7626199601841172E-3</v>
      </c>
      <c r="F118" s="189">
        <f t="shared" si="14"/>
        <v>1.4424236841479549E-2</v>
      </c>
      <c r="G118" s="194">
        <f t="shared" si="14"/>
        <v>6.4056913466051829E-2</v>
      </c>
      <c r="H118" s="189">
        <f t="shared" si="14"/>
        <v>0</v>
      </c>
      <c r="I118" s="190"/>
      <c r="J118" s="189"/>
      <c r="K118" s="189"/>
      <c r="L118" s="211">
        <f t="shared" si="14"/>
        <v>1</v>
      </c>
      <c r="M118" s="191"/>
    </row>
    <row r="119" spans="1:13">
      <c r="A119" s="151">
        <v>1965</v>
      </c>
      <c r="B119" s="192">
        <f t="shared" si="6"/>
        <v>0.15942173873976923</v>
      </c>
      <c r="C119" s="193">
        <f t="shared" si="14"/>
        <v>8.4961754177324558E-2</v>
      </c>
      <c r="D119" s="195">
        <f t="shared" si="14"/>
        <v>2.1747203744757162E-2</v>
      </c>
      <c r="E119" s="189">
        <f t="shared" si="14"/>
        <v>7.7402442715599068E-3</v>
      </c>
      <c r="F119" s="189">
        <f t="shared" si="14"/>
        <v>1.4006959473197255E-2</v>
      </c>
      <c r="G119" s="194">
        <f t="shared" si="14"/>
        <v>5.2712780817687502E-2</v>
      </c>
      <c r="H119" s="189">
        <f t="shared" si="14"/>
        <v>0</v>
      </c>
      <c r="I119" s="190"/>
      <c r="J119" s="189"/>
      <c r="K119" s="189"/>
      <c r="L119" s="211">
        <f t="shared" si="14"/>
        <v>1</v>
      </c>
      <c r="M119" s="191"/>
    </row>
    <row r="120" spans="1:13">
      <c r="A120" s="151">
        <v>1966</v>
      </c>
      <c r="B120" s="192">
        <f t="shared" si="6"/>
        <v>0.1548283072936836</v>
      </c>
      <c r="C120" s="193">
        <f t="shared" si="14"/>
        <v>8.3141937800559049E-2</v>
      </c>
      <c r="D120" s="195">
        <f t="shared" si="14"/>
        <v>1.9987748808325177E-2</v>
      </c>
      <c r="E120" s="189">
        <f t="shared" si="14"/>
        <v>6.0889830806818424E-3</v>
      </c>
      <c r="F120" s="189">
        <f t="shared" si="14"/>
        <v>1.3898765727643335E-2</v>
      </c>
      <c r="G120" s="194">
        <f t="shared" si="14"/>
        <v>5.1698620684799364E-2</v>
      </c>
      <c r="H120" s="189">
        <f t="shared" si="14"/>
        <v>0</v>
      </c>
      <c r="I120" s="190"/>
      <c r="J120" s="189"/>
      <c r="K120" s="189"/>
      <c r="L120" s="211">
        <f t="shared" si="14"/>
        <v>1</v>
      </c>
      <c r="M120" s="191"/>
    </row>
    <row r="121" spans="1:13">
      <c r="A121" s="151">
        <v>1967</v>
      </c>
      <c r="B121" s="192">
        <f t="shared" ref="B121:B152" si="15">B42/$L42</f>
        <v>0.15972510496131706</v>
      </c>
      <c r="C121" s="193">
        <f t="shared" si="14"/>
        <v>8.7433893193655882E-2</v>
      </c>
      <c r="D121" s="195">
        <f t="shared" si="14"/>
        <v>2.1753861796879114E-2</v>
      </c>
      <c r="E121" s="189">
        <f t="shared" si="14"/>
        <v>6.9803190450902237E-3</v>
      </c>
      <c r="F121" s="189">
        <f t="shared" si="14"/>
        <v>1.477354275178889E-2</v>
      </c>
      <c r="G121" s="194">
        <f t="shared" si="14"/>
        <v>5.0537349970782082E-2</v>
      </c>
      <c r="H121" s="189">
        <f t="shared" si="14"/>
        <v>0</v>
      </c>
      <c r="I121" s="190"/>
      <c r="J121" s="189"/>
      <c r="K121" s="189"/>
      <c r="L121" s="211">
        <f t="shared" si="14"/>
        <v>1</v>
      </c>
      <c r="M121" s="191"/>
    </row>
    <row r="122" spans="1:13">
      <c r="A122" s="151">
        <v>1968</v>
      </c>
      <c r="B122" s="192">
        <f t="shared" si="15"/>
        <v>0.16149635747589347</v>
      </c>
      <c r="C122" s="193">
        <f t="shared" si="14"/>
        <v>8.9710186013252979E-2</v>
      </c>
      <c r="D122" s="195">
        <f t="shared" si="14"/>
        <v>2.2676880152286538E-2</v>
      </c>
      <c r="E122" s="189">
        <f t="shared" si="14"/>
        <v>7.8569020912121548E-3</v>
      </c>
      <c r="F122" s="189">
        <f t="shared" si="14"/>
        <v>1.4819978061074383E-2</v>
      </c>
      <c r="G122" s="194">
        <f t="shared" si="14"/>
        <v>4.9109291310353971E-2</v>
      </c>
      <c r="H122" s="189">
        <f t="shared" si="14"/>
        <v>0</v>
      </c>
      <c r="I122" s="190"/>
      <c r="J122" s="189"/>
      <c r="K122" s="189"/>
      <c r="L122" s="211">
        <f t="shared" si="14"/>
        <v>1</v>
      </c>
      <c r="M122" s="191"/>
    </row>
    <row r="123" spans="1:13">
      <c r="A123" s="223">
        <v>1969</v>
      </c>
      <c r="B123" s="257">
        <f t="shared" si="15"/>
        <v>0.15835954369490968</v>
      </c>
      <c r="C123" s="258">
        <f t="shared" si="14"/>
        <v>9.3499661502254666E-2</v>
      </c>
      <c r="D123" s="259">
        <f t="shared" si="14"/>
        <v>2.2680193070334934E-2</v>
      </c>
      <c r="E123" s="260">
        <f t="shared" si="14"/>
        <v>7.8256851976596098E-3</v>
      </c>
      <c r="F123" s="260">
        <f t="shared" si="14"/>
        <v>1.4854507872675326E-2</v>
      </c>
      <c r="G123" s="261">
        <f t="shared" si="14"/>
        <v>4.2179689122320084E-2</v>
      </c>
      <c r="H123" s="260">
        <f t="shared" si="14"/>
        <v>0</v>
      </c>
      <c r="I123" s="262"/>
      <c r="J123" s="260"/>
      <c r="K123" s="260"/>
      <c r="L123" s="263">
        <f t="shared" si="14"/>
        <v>1</v>
      </c>
      <c r="M123" s="191"/>
    </row>
    <row r="124" spans="1:13">
      <c r="A124" s="151">
        <v>1970</v>
      </c>
      <c r="B124" s="192">
        <f t="shared" si="15"/>
        <v>0.16242303229752256</v>
      </c>
      <c r="C124" s="193">
        <f t="shared" si="14"/>
        <v>0.1015018888588259</v>
      </c>
      <c r="D124" s="195">
        <f t="shared" si="14"/>
        <v>2.2210161162179359E-2</v>
      </c>
      <c r="E124" s="189">
        <f t="shared" si="14"/>
        <v>7.0713194148222308E-3</v>
      </c>
      <c r="F124" s="189">
        <f t="shared" si="14"/>
        <v>1.5138841747357129E-2</v>
      </c>
      <c r="G124" s="194">
        <f t="shared" si="14"/>
        <v>3.8710982276517321E-2</v>
      </c>
      <c r="H124" s="189">
        <f t="shared" si="14"/>
        <v>0</v>
      </c>
      <c r="I124" s="190"/>
      <c r="J124" s="189"/>
      <c r="K124" s="189"/>
      <c r="L124" s="211">
        <f t="shared" si="14"/>
        <v>1</v>
      </c>
      <c r="M124" s="191"/>
    </row>
    <row r="125" spans="1:13">
      <c r="A125" s="151">
        <v>1971</v>
      </c>
      <c r="B125" s="192">
        <f t="shared" si="15"/>
        <v>0.16165528713443122</v>
      </c>
      <c r="C125" s="193">
        <f t="shared" ref="C125:L140" si="16">C46/$L46</f>
        <v>0.10332120053543019</v>
      </c>
      <c r="D125" s="195">
        <f t="shared" si="16"/>
        <v>2.2526372502253082E-2</v>
      </c>
      <c r="E125" s="189">
        <f t="shared" si="16"/>
        <v>7.5982877450984782E-3</v>
      </c>
      <c r="F125" s="189">
        <f t="shared" si="16"/>
        <v>1.4928084757154608E-2</v>
      </c>
      <c r="G125" s="194">
        <f t="shared" si="16"/>
        <v>3.580771409674794E-2</v>
      </c>
      <c r="H125" s="189">
        <f t="shared" si="16"/>
        <v>0</v>
      </c>
      <c r="I125" s="190"/>
      <c r="J125" s="189"/>
      <c r="K125" s="189"/>
      <c r="L125" s="211">
        <f t="shared" si="16"/>
        <v>1</v>
      </c>
      <c r="M125" s="191"/>
    </row>
    <row r="126" spans="1:13">
      <c r="A126" s="151">
        <v>1972</v>
      </c>
      <c r="B126" s="192">
        <f t="shared" si="15"/>
        <v>0.16341038033862615</v>
      </c>
      <c r="C126" s="193">
        <f t="shared" si="16"/>
        <v>0.11303749889110493</v>
      </c>
      <c r="D126" s="195">
        <f t="shared" si="16"/>
        <v>2.393772355212077E-2</v>
      </c>
      <c r="E126" s="189">
        <f t="shared" si="16"/>
        <v>9.4898902542870905E-3</v>
      </c>
      <c r="F126" s="189">
        <f t="shared" si="16"/>
        <v>1.4447833297833682E-2</v>
      </c>
      <c r="G126" s="194">
        <f t="shared" si="16"/>
        <v>2.6435157895400456E-2</v>
      </c>
      <c r="H126" s="189">
        <f t="shared" si="16"/>
        <v>0</v>
      </c>
      <c r="I126" s="190"/>
      <c r="J126" s="189"/>
      <c r="K126" s="189"/>
      <c r="L126" s="211">
        <f t="shared" si="16"/>
        <v>1</v>
      </c>
      <c r="M126" s="191"/>
    </row>
    <row r="127" spans="1:13">
      <c r="A127" s="151">
        <v>1973</v>
      </c>
      <c r="B127" s="192">
        <f t="shared" si="15"/>
        <v>0.16110768616414695</v>
      </c>
      <c r="C127" s="193">
        <f t="shared" si="16"/>
        <v>0.10131405076600664</v>
      </c>
      <c r="D127" s="195">
        <f t="shared" si="16"/>
        <v>2.168871517515086E-2</v>
      </c>
      <c r="E127" s="189">
        <f t="shared" si="16"/>
        <v>8.0459949066107646E-3</v>
      </c>
      <c r="F127" s="189">
        <f t="shared" si="16"/>
        <v>1.3642720268540095E-2</v>
      </c>
      <c r="G127" s="194">
        <f t="shared" si="16"/>
        <v>3.8104920222989461E-2</v>
      </c>
      <c r="H127" s="189">
        <f t="shared" si="16"/>
        <v>0</v>
      </c>
      <c r="I127" s="190"/>
      <c r="J127" s="189"/>
      <c r="K127" s="189"/>
      <c r="L127" s="211">
        <f t="shared" si="16"/>
        <v>1</v>
      </c>
      <c r="M127" s="191"/>
    </row>
    <row r="128" spans="1:13">
      <c r="A128" s="151">
        <v>1974</v>
      </c>
      <c r="B128" s="192">
        <f t="shared" si="15"/>
        <v>0.16820691407235391</v>
      </c>
      <c r="C128" s="193">
        <f t="shared" si="16"/>
        <v>0.10085780345304057</v>
      </c>
      <c r="D128" s="195">
        <f t="shared" si="16"/>
        <v>2.1158088333956528E-2</v>
      </c>
      <c r="E128" s="189">
        <f t="shared" si="16"/>
        <v>6.7172439128098602E-3</v>
      </c>
      <c r="F128" s="189">
        <f t="shared" si="16"/>
        <v>1.4440844421146667E-2</v>
      </c>
      <c r="G128" s="194">
        <f t="shared" si="16"/>
        <v>4.619102228535682E-2</v>
      </c>
      <c r="H128" s="189">
        <f t="shared" si="16"/>
        <v>1.3492632873361279E-4</v>
      </c>
      <c r="I128" s="190"/>
      <c r="J128" s="189"/>
      <c r="K128" s="189"/>
      <c r="L128" s="211">
        <f t="shared" si="16"/>
        <v>1</v>
      </c>
      <c r="M128" s="191"/>
    </row>
    <row r="129" spans="1:13">
      <c r="A129" s="151">
        <v>1975</v>
      </c>
      <c r="B129" s="197">
        <f t="shared" si="15"/>
        <v>0.17807251084387077</v>
      </c>
      <c r="C129" s="193">
        <f t="shared" si="16"/>
        <v>0.10355961506033337</v>
      </c>
      <c r="D129" s="195">
        <f t="shared" si="16"/>
        <v>2.5016992510830022E-2</v>
      </c>
      <c r="E129" s="189">
        <f t="shared" si="16"/>
        <v>6.6377265942229972E-3</v>
      </c>
      <c r="F129" s="189">
        <f t="shared" si="16"/>
        <v>1.8379265916607025E-2</v>
      </c>
      <c r="G129" s="198">
        <f t="shared" si="16"/>
        <v>4.9495903272707371E-2</v>
      </c>
      <c r="H129" s="189">
        <f t="shared" si="16"/>
        <v>3.8711415400841478E-4</v>
      </c>
      <c r="I129" s="190"/>
      <c r="J129" s="189"/>
      <c r="K129" s="189"/>
      <c r="L129" s="211">
        <f t="shared" si="16"/>
        <v>1</v>
      </c>
      <c r="M129" s="191"/>
    </row>
    <row r="130" spans="1:13">
      <c r="A130" s="151">
        <v>1976</v>
      </c>
      <c r="B130" s="192">
        <f t="shared" si="15"/>
        <v>0.26091610114241642</v>
      </c>
      <c r="C130" s="193">
        <f t="shared" si="16"/>
        <v>0.13808202873729764</v>
      </c>
      <c r="D130" s="195">
        <f t="shared" si="16"/>
        <v>2.7430294457753635E-2</v>
      </c>
      <c r="E130" s="199">
        <f t="shared" si="16"/>
        <v>5.8721963337442559E-3</v>
      </c>
      <c r="F130" s="199">
        <f t="shared" si="16"/>
        <v>2.155809812400938E-2</v>
      </c>
      <c r="G130" s="194">
        <f t="shared" si="16"/>
        <v>9.5403777947365154E-2</v>
      </c>
      <c r="H130" s="189">
        <f t="shared" si="16"/>
        <v>7.9637741456258719E-4</v>
      </c>
      <c r="I130" s="200">
        <f t="shared" si="16"/>
        <v>2.294958440218426E-2</v>
      </c>
      <c r="J130" s="189"/>
      <c r="K130" s="199"/>
      <c r="L130" s="212">
        <f t="shared" si="16"/>
        <v>1</v>
      </c>
      <c r="M130" s="201"/>
    </row>
    <row r="131" spans="1:13">
      <c r="A131" s="151">
        <v>1977</v>
      </c>
      <c r="B131" s="192">
        <f t="shared" si="15"/>
        <v>0.25953529919744384</v>
      </c>
      <c r="C131" s="193">
        <f t="shared" si="16"/>
        <v>0.13690533348747919</v>
      </c>
      <c r="D131" s="195">
        <f t="shared" si="16"/>
        <v>2.7505355140595596E-2</v>
      </c>
      <c r="E131" s="199">
        <f t="shared" si="16"/>
        <v>5.6246918520079592E-3</v>
      </c>
      <c r="F131" s="199">
        <f t="shared" si="16"/>
        <v>2.1880663288587638E-2</v>
      </c>
      <c r="G131" s="194">
        <f t="shared" si="16"/>
        <v>9.5124610569369036E-2</v>
      </c>
      <c r="H131" s="189">
        <f t="shared" si="16"/>
        <v>1.0275772354756381E-3</v>
      </c>
      <c r="I131" s="200">
        <f t="shared" si="16"/>
        <v>2.5470229245971945E-2</v>
      </c>
      <c r="J131" s="189"/>
      <c r="K131" s="199"/>
      <c r="L131" s="212">
        <f t="shared" si="16"/>
        <v>1</v>
      </c>
      <c r="M131" s="201"/>
    </row>
    <row r="132" spans="1:13">
      <c r="A132" s="151">
        <v>1978</v>
      </c>
      <c r="B132" s="192">
        <f t="shared" si="15"/>
        <v>0.27553792438610436</v>
      </c>
      <c r="C132" s="193">
        <f t="shared" si="16"/>
        <v>0.14054379038374834</v>
      </c>
      <c r="D132" s="195">
        <f t="shared" si="16"/>
        <v>2.6325116071107598E-2</v>
      </c>
      <c r="E132" s="199">
        <f t="shared" si="16"/>
        <v>5.5407800871977555E-3</v>
      </c>
      <c r="F132" s="199">
        <f t="shared" si="16"/>
        <v>2.0784335983909843E-2</v>
      </c>
      <c r="G132" s="194">
        <f t="shared" si="16"/>
        <v>0.10866901793124845</v>
      </c>
      <c r="H132" s="189">
        <f t="shared" si="16"/>
        <v>1.4202070711222441E-3</v>
      </c>
      <c r="I132" s="200">
        <f t="shared" si="16"/>
        <v>3.0806165256971427E-2</v>
      </c>
      <c r="J132" s="189"/>
      <c r="K132" s="199"/>
      <c r="L132" s="212">
        <f t="shared" si="16"/>
        <v>1</v>
      </c>
      <c r="M132" s="201"/>
    </row>
    <row r="133" spans="1:13">
      <c r="A133" s="223">
        <v>1979</v>
      </c>
      <c r="B133" s="257">
        <f t="shared" si="15"/>
        <v>0.28965420431926697</v>
      </c>
      <c r="C133" s="258">
        <f t="shared" si="16"/>
        <v>0.1495811717406024</v>
      </c>
      <c r="D133" s="259">
        <f t="shared" si="16"/>
        <v>2.5249920572767426E-2</v>
      </c>
      <c r="E133" s="264">
        <f t="shared" si="16"/>
        <v>6.5841317310270783E-3</v>
      </c>
      <c r="F133" s="264">
        <f t="shared" si="16"/>
        <v>1.8665788841740347E-2</v>
      </c>
      <c r="G133" s="261">
        <f t="shared" si="16"/>
        <v>0.11482311200589715</v>
      </c>
      <c r="H133" s="260">
        <f t="shared" si="16"/>
        <v>2.0250997616271219E-3</v>
      </c>
      <c r="I133" s="265">
        <f t="shared" si="16"/>
        <v>6.0257503910871063E-2</v>
      </c>
      <c r="J133" s="260"/>
      <c r="K133" s="264"/>
      <c r="L133" s="266">
        <f t="shared" si="16"/>
        <v>1</v>
      </c>
      <c r="M133" s="201"/>
    </row>
    <row r="134" spans="1:13">
      <c r="A134" s="151">
        <v>1980</v>
      </c>
      <c r="B134" s="192">
        <f t="shared" si="15"/>
        <v>0.31812809367127365</v>
      </c>
      <c r="C134" s="193">
        <f t="shared" si="16"/>
        <v>0.15950671916587877</v>
      </c>
      <c r="D134" s="195">
        <f t="shared" si="16"/>
        <v>2.5670062871801604E-2</v>
      </c>
      <c r="E134" s="199">
        <f t="shared" si="16"/>
        <v>7.7806752195728754E-3</v>
      </c>
      <c r="F134" s="199">
        <f t="shared" si="16"/>
        <v>1.7889387652228729E-2</v>
      </c>
      <c r="G134" s="194">
        <f t="shared" si="16"/>
        <v>0.13295131163359328</v>
      </c>
      <c r="H134" s="189">
        <f t="shared" si="16"/>
        <v>2.8586685764463472E-3</v>
      </c>
      <c r="I134" s="200">
        <f t="shared" si="16"/>
        <v>6.4044040676860384E-2</v>
      </c>
      <c r="J134" s="189"/>
      <c r="K134" s="199"/>
      <c r="L134" s="212">
        <f t="shared" si="16"/>
        <v>1</v>
      </c>
      <c r="M134" s="201"/>
    </row>
    <row r="135" spans="1:13">
      <c r="A135" s="151">
        <v>1981</v>
      </c>
      <c r="B135" s="192">
        <f t="shared" si="15"/>
        <v>0.32823179222083521</v>
      </c>
      <c r="C135" s="193">
        <f t="shared" si="16"/>
        <v>0.14938705568364369</v>
      </c>
      <c r="D135" s="195">
        <f t="shared" si="16"/>
        <v>2.2763902301823881E-2</v>
      </c>
      <c r="E135" s="199">
        <f t="shared" si="16"/>
        <v>6.0322033279285158E-3</v>
      </c>
      <c r="F135" s="199">
        <f t="shared" si="16"/>
        <v>1.6731698973895363E-2</v>
      </c>
      <c r="G135" s="194">
        <f t="shared" si="16"/>
        <v>0.15608083423536762</v>
      </c>
      <c r="H135" s="189">
        <f t="shared" si="16"/>
        <v>3.9668870977189472E-3</v>
      </c>
      <c r="I135" s="200">
        <f t="shared" si="16"/>
        <v>3.8699586346977601E-2</v>
      </c>
      <c r="J135" s="189"/>
      <c r="K135" s="199"/>
      <c r="L135" s="212">
        <f t="shared" si="16"/>
        <v>1</v>
      </c>
      <c r="M135" s="201"/>
    </row>
    <row r="136" spans="1:13">
      <c r="A136" s="151">
        <v>1982</v>
      </c>
      <c r="B136" s="192">
        <f t="shared" si="15"/>
        <v>0.34642529473036737</v>
      </c>
      <c r="C136" s="193">
        <f t="shared" si="16"/>
        <v>0.13118381062739004</v>
      </c>
      <c r="D136" s="195">
        <f t="shared" si="16"/>
        <v>2.5968193364457805E-2</v>
      </c>
      <c r="E136" s="199">
        <f t="shared" si="16"/>
        <v>6.1169709189270597E-3</v>
      </c>
      <c r="F136" s="199">
        <f t="shared" si="16"/>
        <v>1.9851222445530746E-2</v>
      </c>
      <c r="G136" s="194">
        <f t="shared" si="16"/>
        <v>0.18927329073851953</v>
      </c>
      <c r="H136" s="189">
        <f t="shared" si="16"/>
        <v>5.2794908963150989E-3</v>
      </c>
      <c r="I136" s="200">
        <f t="shared" si="16"/>
        <v>4.2307119986513347E-2</v>
      </c>
      <c r="J136" s="189"/>
      <c r="K136" s="199">
        <f t="shared" si="16"/>
        <v>7.9482745965129623E-2</v>
      </c>
      <c r="L136" s="212">
        <f t="shared" si="16"/>
        <v>1</v>
      </c>
      <c r="M136" s="201"/>
    </row>
    <row r="137" spans="1:13">
      <c r="A137" s="151">
        <v>1983</v>
      </c>
      <c r="B137" s="192">
        <f t="shared" si="15"/>
        <v>0.36161793979796758</v>
      </c>
      <c r="C137" s="193">
        <f t="shared" si="16"/>
        <v>0.11581093838176712</v>
      </c>
      <c r="D137" s="195">
        <f t="shared" si="16"/>
        <v>2.7589043317367293E-2</v>
      </c>
      <c r="E137" s="199">
        <f t="shared" si="16"/>
        <v>8.5167408958892413E-3</v>
      </c>
      <c r="F137" s="199">
        <f t="shared" si="16"/>
        <v>1.9072302421478053E-2</v>
      </c>
      <c r="G137" s="194">
        <f t="shared" si="16"/>
        <v>0.21821795809883315</v>
      </c>
      <c r="H137" s="189">
        <f t="shared" si="16"/>
        <v>7.0142463446300467E-3</v>
      </c>
      <c r="I137" s="200">
        <f t="shared" si="16"/>
        <v>3.2721426633881411E-2</v>
      </c>
      <c r="J137" s="189"/>
      <c r="K137" s="199">
        <f t="shared" si="16"/>
        <v>8.9336228908008186E-2</v>
      </c>
      <c r="L137" s="212">
        <f t="shared" si="16"/>
        <v>1</v>
      </c>
      <c r="M137" s="201"/>
    </row>
    <row r="138" spans="1:13">
      <c r="A138" s="142">
        <v>1984</v>
      </c>
      <c r="B138" s="192">
        <f t="shared" si="15"/>
        <v>0.32464624994344615</v>
      </c>
      <c r="C138" s="193">
        <f t="shared" si="16"/>
        <v>0.10063907206188843</v>
      </c>
      <c r="D138" s="195">
        <f t="shared" si="16"/>
        <v>2.5656257802343502E-2</v>
      </c>
      <c r="E138" s="199">
        <f t="shared" si="16"/>
        <v>7.5098955600436581E-3</v>
      </c>
      <c r="F138" s="199">
        <f t="shared" si="16"/>
        <v>1.8146362242299846E-2</v>
      </c>
      <c r="G138" s="194">
        <f t="shared" si="16"/>
        <v>0.19835092007921423</v>
      </c>
      <c r="H138" s="189">
        <f t="shared" si="16"/>
        <v>8.0088410717846521E-3</v>
      </c>
      <c r="I138" s="200">
        <f t="shared" si="16"/>
        <v>2.3459973042496928E-2</v>
      </c>
      <c r="J138" s="189"/>
      <c r="K138" s="199">
        <f t="shared" si="16"/>
        <v>7.8171211866709736E-2</v>
      </c>
      <c r="L138" s="212">
        <f t="shared" si="16"/>
        <v>1</v>
      </c>
      <c r="M138" s="201"/>
    </row>
    <row r="139" spans="1:13">
      <c r="A139" s="142">
        <v>1985</v>
      </c>
      <c r="B139" s="192">
        <f t="shared" si="15"/>
        <v>0.32507648304603265</v>
      </c>
      <c r="C139" s="193">
        <f t="shared" si="16"/>
        <v>0.10038190119483453</v>
      </c>
      <c r="D139" s="195">
        <f t="shared" si="16"/>
        <v>3.2303873878456076E-2</v>
      </c>
      <c r="E139" s="199">
        <f t="shared" si="16"/>
        <v>1.2007594736711105E-2</v>
      </c>
      <c r="F139" s="199">
        <f t="shared" si="16"/>
        <v>2.029627914174497E-2</v>
      </c>
      <c r="G139" s="194">
        <f t="shared" si="16"/>
        <v>0.19239070797274199</v>
      </c>
      <c r="H139" s="189">
        <f t="shared" si="16"/>
        <v>9.1776949790111258E-3</v>
      </c>
      <c r="I139" s="200">
        <f t="shared" si="16"/>
        <v>2.3221951797554489E-2</v>
      </c>
      <c r="J139" s="189"/>
      <c r="K139" s="199">
        <f t="shared" si="16"/>
        <v>0.10452556703507668</v>
      </c>
      <c r="L139" s="212">
        <f t="shared" si="16"/>
        <v>1</v>
      </c>
      <c r="M139" s="201"/>
    </row>
    <row r="140" spans="1:13">
      <c r="A140" s="142">
        <v>1986</v>
      </c>
      <c r="B140" s="192">
        <f t="shared" si="15"/>
        <v>0.35308959335111822</v>
      </c>
      <c r="C140" s="193">
        <f t="shared" si="16"/>
        <v>0.10456501030105532</v>
      </c>
      <c r="D140" s="195">
        <f t="shared" si="16"/>
        <v>4.0843374365353735E-2</v>
      </c>
      <c r="E140" s="199">
        <f t="shared" si="16"/>
        <v>1.870075485968041E-2</v>
      </c>
      <c r="F140" s="199">
        <f t="shared" si="16"/>
        <v>2.2142619505673332E-2</v>
      </c>
      <c r="G140" s="194">
        <f t="shared" si="16"/>
        <v>0.20768120868470916</v>
      </c>
      <c r="H140" s="189">
        <f t="shared" si="16"/>
        <v>9.6622762335952846E-3</v>
      </c>
      <c r="I140" s="200">
        <f t="shared" si="16"/>
        <v>2.6457284199606967E-2</v>
      </c>
      <c r="J140" s="189"/>
      <c r="K140" s="199">
        <f t="shared" si="16"/>
        <v>0.13691879627467551</v>
      </c>
      <c r="L140" s="212">
        <f t="shared" si="16"/>
        <v>1</v>
      </c>
      <c r="M140" s="201"/>
    </row>
    <row r="141" spans="1:13">
      <c r="A141" s="142">
        <v>1987</v>
      </c>
      <c r="B141" s="192">
        <f t="shared" si="15"/>
        <v>0.36599107700983791</v>
      </c>
      <c r="C141" s="193">
        <f t="shared" ref="C141:L153" si="17">C62/$L62</f>
        <v>0.11519444686342831</v>
      </c>
      <c r="D141" s="195">
        <f t="shared" si="17"/>
        <v>4.5442652918506556E-2</v>
      </c>
      <c r="E141" s="199">
        <f t="shared" si="17"/>
        <v>2.2819036271376224E-2</v>
      </c>
      <c r="F141" s="199">
        <f t="shared" si="17"/>
        <v>2.2623616647130328E-2</v>
      </c>
      <c r="G141" s="194">
        <f t="shared" si="17"/>
        <v>0.20535397722790302</v>
      </c>
      <c r="H141" s="189">
        <f t="shared" si="17"/>
        <v>9.9384493243179755E-3</v>
      </c>
      <c r="I141" s="200">
        <f t="shared" si="17"/>
        <v>3.0758229587841943E-2</v>
      </c>
      <c r="J141" s="189"/>
      <c r="K141" s="199">
        <f t="shared" si="17"/>
        <v>0.14222645071842377</v>
      </c>
      <c r="L141" s="212">
        <f t="shared" si="17"/>
        <v>1</v>
      </c>
      <c r="M141" s="201"/>
    </row>
    <row r="142" spans="1:13">
      <c r="A142" s="142">
        <v>1988</v>
      </c>
      <c r="B142" s="192">
        <f t="shared" si="15"/>
        <v>0.38083074668880351</v>
      </c>
      <c r="C142" s="193">
        <f t="shared" si="17"/>
        <v>0.11360612208791177</v>
      </c>
      <c r="D142" s="195">
        <f t="shared" si="17"/>
        <v>5.1489061882953678E-2</v>
      </c>
      <c r="E142" s="199">
        <f t="shared" si="17"/>
        <v>2.8450565301910626E-2</v>
      </c>
      <c r="F142" s="199">
        <f t="shared" si="17"/>
        <v>2.3038496581043059E-2</v>
      </c>
      <c r="G142" s="194">
        <f t="shared" si="17"/>
        <v>0.21573556271793806</v>
      </c>
      <c r="H142" s="189">
        <f t="shared" si="17"/>
        <v>1.1043715960216088E-2</v>
      </c>
      <c r="I142" s="200">
        <f t="shared" si="17"/>
        <v>2.3756494012571433E-2</v>
      </c>
      <c r="J142" s="189"/>
      <c r="K142" s="199">
        <f t="shared" si="17"/>
        <v>0.15312141035835236</v>
      </c>
      <c r="L142" s="212">
        <f t="shared" si="17"/>
        <v>1</v>
      </c>
      <c r="M142" s="201"/>
    </row>
    <row r="143" spans="1:13">
      <c r="A143" s="238">
        <v>1989</v>
      </c>
      <c r="B143" s="257">
        <f t="shared" si="15"/>
        <v>0.40947790371570703</v>
      </c>
      <c r="C143" s="258">
        <f t="shared" si="17"/>
        <v>0.11521539468802604</v>
      </c>
      <c r="D143" s="259">
        <f t="shared" si="17"/>
        <v>6.5470919462149141E-2</v>
      </c>
      <c r="E143" s="264">
        <f t="shared" si="17"/>
        <v>4.1109148126460653E-2</v>
      </c>
      <c r="F143" s="264">
        <f t="shared" si="17"/>
        <v>2.4361771335688499E-2</v>
      </c>
      <c r="G143" s="261">
        <f t="shared" si="17"/>
        <v>0.22879158956553186</v>
      </c>
      <c r="H143" s="260">
        <f t="shared" si="17"/>
        <v>1.3128180259068145E-2</v>
      </c>
      <c r="I143" s="265">
        <f t="shared" si="17"/>
        <v>2.1906825374704744E-2</v>
      </c>
      <c r="J143" s="260"/>
      <c r="K143" s="264">
        <f t="shared" si="17"/>
        <v>0.1734106334052215</v>
      </c>
      <c r="L143" s="266">
        <f t="shared" si="17"/>
        <v>1</v>
      </c>
      <c r="M143" s="201"/>
    </row>
    <row r="144" spans="1:13">
      <c r="A144" s="142">
        <v>1990</v>
      </c>
      <c r="B144" s="192">
        <f t="shared" si="15"/>
        <v>0.41042642647390903</v>
      </c>
      <c r="C144" s="193">
        <f t="shared" si="17"/>
        <v>0.12187947637609885</v>
      </c>
      <c r="D144" s="195">
        <f t="shared" si="17"/>
        <v>6.7656840853851069E-2</v>
      </c>
      <c r="E144" s="199">
        <f t="shared" si="17"/>
        <v>3.9054085370282619E-2</v>
      </c>
      <c r="F144" s="199">
        <f t="shared" si="17"/>
        <v>2.8602755483568446E-2</v>
      </c>
      <c r="G144" s="194">
        <f t="shared" si="17"/>
        <v>0.22089010924395913</v>
      </c>
      <c r="H144" s="189">
        <f t="shared" si="17"/>
        <v>1.4891845565240766E-2</v>
      </c>
      <c r="I144" s="200">
        <f t="shared" si="17"/>
        <v>2.0240149934356782E-2</v>
      </c>
      <c r="J144" s="189"/>
      <c r="K144" s="199">
        <f t="shared" si="17"/>
        <v>0.14462992985044612</v>
      </c>
      <c r="L144" s="212">
        <f t="shared" si="17"/>
        <v>1</v>
      </c>
      <c r="M144" s="201"/>
    </row>
    <row r="145" spans="1:13">
      <c r="A145" s="142">
        <v>1991</v>
      </c>
      <c r="B145" s="192">
        <f t="shared" si="15"/>
        <v>0.42045516046977321</v>
      </c>
      <c r="C145" s="193">
        <f t="shared" si="17"/>
        <v>0.12329929821640287</v>
      </c>
      <c r="D145" s="195">
        <f t="shared" si="17"/>
        <v>8.7343486987344038E-2</v>
      </c>
      <c r="E145" s="199">
        <f t="shared" si="17"/>
        <v>5.3465137961121866E-2</v>
      </c>
      <c r="F145" s="199">
        <f t="shared" si="17"/>
        <v>3.3878349026222172E-2</v>
      </c>
      <c r="G145" s="194">
        <f t="shared" si="17"/>
        <v>0.20981237526602631</v>
      </c>
      <c r="H145" s="189">
        <f t="shared" si="17"/>
        <v>1.5734476412831447E-2</v>
      </c>
      <c r="I145" s="200">
        <f t="shared" si="17"/>
        <v>1.7739112449886015E-2</v>
      </c>
      <c r="J145" s="189"/>
      <c r="K145" s="199">
        <f t="shared" si="17"/>
        <v>0.15859564934952436</v>
      </c>
      <c r="L145" s="212">
        <f t="shared" si="17"/>
        <v>1</v>
      </c>
      <c r="M145" s="201"/>
    </row>
    <row r="146" spans="1:13">
      <c r="A146" s="142">
        <v>1992</v>
      </c>
      <c r="B146" s="192">
        <f t="shared" si="15"/>
        <v>0.40683099231556685</v>
      </c>
      <c r="C146" s="193">
        <f t="shared" si="17"/>
        <v>0.12032223150205423</v>
      </c>
      <c r="D146" s="195">
        <f t="shared" si="17"/>
        <v>9.3361155670537044E-2</v>
      </c>
      <c r="E146" s="199">
        <f t="shared" si="17"/>
        <v>5.6962153571282668E-2</v>
      </c>
      <c r="F146" s="199">
        <f t="shared" si="17"/>
        <v>3.6399002099254361E-2</v>
      </c>
      <c r="G146" s="194">
        <f t="shared" si="17"/>
        <v>0.1931476051429756</v>
      </c>
      <c r="H146" s="189">
        <f t="shared" si="17"/>
        <v>1.4211628286431112E-2</v>
      </c>
      <c r="I146" s="200">
        <f t="shared" si="17"/>
        <v>1.579959971012317E-2</v>
      </c>
      <c r="J146" s="189"/>
      <c r="K146" s="199">
        <f t="shared" si="17"/>
        <v>0.14475534962940145</v>
      </c>
      <c r="L146" s="212">
        <f t="shared" si="17"/>
        <v>1</v>
      </c>
      <c r="M146" s="201"/>
    </row>
    <row r="147" spans="1:13">
      <c r="A147" s="142">
        <v>1993</v>
      </c>
      <c r="B147" s="192">
        <f t="shared" si="15"/>
        <v>0.4582920716235</v>
      </c>
      <c r="C147" s="193">
        <f t="shared" si="17"/>
        <v>0.12507533854482017</v>
      </c>
      <c r="D147" s="195">
        <f t="shared" si="17"/>
        <v>0.14754867628458865</v>
      </c>
      <c r="E147" s="199">
        <f t="shared" si="17"/>
        <v>9.4016972122166989E-2</v>
      </c>
      <c r="F147" s="199">
        <f t="shared" si="17"/>
        <v>5.3531704162421652E-2</v>
      </c>
      <c r="G147" s="194">
        <f t="shared" si="17"/>
        <v>0.18566805679409118</v>
      </c>
      <c r="H147" s="189">
        <f t="shared" si="17"/>
        <v>1.1893744582172195E-2</v>
      </c>
      <c r="I147" s="200">
        <f t="shared" si="17"/>
        <v>1.7728770520758864E-2</v>
      </c>
      <c r="J147" s="189"/>
      <c r="K147" s="199">
        <f t="shared" si="17"/>
        <v>0.18346587644712023</v>
      </c>
      <c r="L147" s="212">
        <f t="shared" si="17"/>
        <v>1</v>
      </c>
      <c r="M147" s="201"/>
    </row>
    <row r="148" spans="1:13">
      <c r="A148" s="142">
        <v>1994</v>
      </c>
      <c r="B148" s="192">
        <f t="shared" si="15"/>
        <v>0.46705828594613863</v>
      </c>
      <c r="C148" s="193">
        <f t="shared" si="17"/>
        <v>0.12724997668355079</v>
      </c>
      <c r="D148" s="195">
        <f t="shared" si="17"/>
        <v>0.15161200587226695</v>
      </c>
      <c r="E148" s="199">
        <f t="shared" si="17"/>
        <v>0.10139715075821533</v>
      </c>
      <c r="F148" s="199">
        <f t="shared" si="17"/>
        <v>5.0214855114051618E-2</v>
      </c>
      <c r="G148" s="194">
        <f t="shared" si="17"/>
        <v>0.18819630339032087</v>
      </c>
      <c r="H148" s="189">
        <f t="shared" si="17"/>
        <v>6.9029632072497857E-3</v>
      </c>
      <c r="I148" s="200">
        <f t="shared" si="17"/>
        <v>1.6195731014970495E-2</v>
      </c>
      <c r="J148" s="189"/>
      <c r="K148" s="199">
        <f t="shared" si="17"/>
        <v>0.18031635467114021</v>
      </c>
      <c r="L148" s="212">
        <f t="shared" si="17"/>
        <v>1</v>
      </c>
      <c r="M148" s="201"/>
    </row>
    <row r="149" spans="1:13">
      <c r="A149" s="142">
        <v>1995</v>
      </c>
      <c r="B149" s="192">
        <f t="shared" si="15"/>
        <v>0.51898571736086707</v>
      </c>
      <c r="C149" s="193">
        <f t="shared" si="17"/>
        <v>0.13576541122458805</v>
      </c>
      <c r="D149" s="195">
        <f t="shared" si="17"/>
        <v>0.18458527972544755</v>
      </c>
      <c r="E149" s="199">
        <f t="shared" si="17"/>
        <v>0.12121676261406211</v>
      </c>
      <c r="F149" s="199">
        <f t="shared" si="17"/>
        <v>6.3368517111385456E-2</v>
      </c>
      <c r="G149" s="194">
        <f t="shared" si="17"/>
        <v>0.1986350264108315</v>
      </c>
      <c r="H149" s="189">
        <f t="shared" si="17"/>
        <v>8.610427816833386E-3</v>
      </c>
      <c r="I149" s="200">
        <f t="shared" si="17"/>
        <v>1.5528054110774013E-2</v>
      </c>
      <c r="J149" s="189"/>
      <c r="K149" s="199">
        <f t="shared" si="17"/>
        <v>0.20909602160211604</v>
      </c>
      <c r="L149" s="212">
        <f t="shared" si="17"/>
        <v>1</v>
      </c>
      <c r="M149" s="201"/>
    </row>
    <row r="150" spans="1:13">
      <c r="A150" s="142">
        <v>1996</v>
      </c>
      <c r="B150" s="192">
        <f t="shared" si="15"/>
        <v>0.56777069075892417</v>
      </c>
      <c r="C150" s="193">
        <f t="shared" si="17"/>
        <v>0.14279495433110623</v>
      </c>
      <c r="D150" s="195">
        <f t="shared" si="17"/>
        <v>0.21460084575364946</v>
      </c>
      <c r="E150" s="199">
        <f t="shared" si="17"/>
        <v>0.14515008069824267</v>
      </c>
      <c r="F150" s="199">
        <f t="shared" si="17"/>
        <v>6.9450765055406788E-2</v>
      </c>
      <c r="G150" s="194">
        <f t="shared" si="17"/>
        <v>0.21037489067416842</v>
      </c>
      <c r="H150" s="189">
        <f t="shared" si="17"/>
        <v>9.7344261408206876E-3</v>
      </c>
      <c r="I150" s="200">
        <f t="shared" si="17"/>
        <v>1.3950138404248604E-2</v>
      </c>
      <c r="J150" s="189"/>
      <c r="K150" s="199">
        <f t="shared" si="17"/>
        <v>0.23202719395529586</v>
      </c>
      <c r="L150" s="212">
        <f t="shared" si="17"/>
        <v>1</v>
      </c>
      <c r="M150" s="201"/>
    </row>
    <row r="151" spans="1:13">
      <c r="A151" s="142">
        <v>1997</v>
      </c>
      <c r="B151" s="192">
        <f t="shared" si="15"/>
        <v>0.60653377405826103</v>
      </c>
      <c r="C151" s="193">
        <f t="shared" si="17"/>
        <v>0.14421629548013903</v>
      </c>
      <c r="D151" s="195">
        <f t="shared" si="17"/>
        <v>0.23645526993051563</v>
      </c>
      <c r="E151" s="199">
        <f t="shared" si="17"/>
        <v>0.16308267103070764</v>
      </c>
      <c r="F151" s="199">
        <f t="shared" si="17"/>
        <v>7.3372598899807989E-2</v>
      </c>
      <c r="G151" s="194">
        <f t="shared" si="17"/>
        <v>0.22586220864760637</v>
      </c>
      <c r="H151" s="189">
        <f t="shared" si="17"/>
        <v>8.7880334540465961E-3</v>
      </c>
      <c r="I151" s="200">
        <f t="shared" si="17"/>
        <v>1.0252390635675495E-2</v>
      </c>
      <c r="J151" s="189"/>
      <c r="K151" s="199">
        <f t="shared" si="17"/>
        <v>0.25375237308229298</v>
      </c>
      <c r="L151" s="212">
        <f t="shared" si="17"/>
        <v>1</v>
      </c>
      <c r="M151" s="201"/>
    </row>
    <row r="152" spans="1:13">
      <c r="A152" s="142">
        <v>1998</v>
      </c>
      <c r="B152" s="192">
        <f t="shared" si="15"/>
        <v>0.63744530486019102</v>
      </c>
      <c r="C152" s="193">
        <f t="shared" si="17"/>
        <v>0.15186439154269862</v>
      </c>
      <c r="D152" s="195">
        <f t="shared" si="17"/>
        <v>0.2627592577085221</v>
      </c>
      <c r="E152" s="199">
        <f t="shared" si="17"/>
        <v>0.18728550404284228</v>
      </c>
      <c r="F152" s="199">
        <f t="shared" si="17"/>
        <v>7.5473753665679835E-2</v>
      </c>
      <c r="G152" s="194">
        <f t="shared" si="17"/>
        <v>0.22282165560897035</v>
      </c>
      <c r="H152" s="189">
        <f t="shared" si="17"/>
        <v>9.2536612039828652E-3</v>
      </c>
      <c r="I152" s="200">
        <f t="shared" si="17"/>
        <v>9.5600511225482857E-3</v>
      </c>
      <c r="J152" s="189"/>
      <c r="K152" s="199">
        <f t="shared" si="17"/>
        <v>0.289451622358744</v>
      </c>
      <c r="L152" s="212">
        <f t="shared" si="17"/>
        <v>1</v>
      </c>
      <c r="M152" s="201"/>
    </row>
    <row r="153" spans="1:13">
      <c r="A153" s="238">
        <v>1999</v>
      </c>
      <c r="B153" s="257">
        <f t="shared" ref="B153" si="18">B74/$L74</f>
        <v>0.70572713928464037</v>
      </c>
      <c r="C153" s="258">
        <f t="shared" si="17"/>
        <v>0.16922237594913633</v>
      </c>
      <c r="D153" s="259">
        <f t="shared" si="17"/>
        <v>0.3053313157453556</v>
      </c>
      <c r="E153" s="264">
        <f t="shared" si="17"/>
        <v>0.23973725284479472</v>
      </c>
      <c r="F153" s="264">
        <f t="shared" si="17"/>
        <v>6.5594062900560926E-2</v>
      </c>
      <c r="G153" s="261">
        <f t="shared" si="17"/>
        <v>0.23117344759014841</v>
      </c>
      <c r="H153" s="260">
        <f t="shared" si="17"/>
        <v>1.0668982317565559E-2</v>
      </c>
      <c r="I153" s="265">
        <f t="shared" si="17"/>
        <v>9.0871382738682335E-3</v>
      </c>
      <c r="J153" s="260"/>
      <c r="K153" s="264">
        <f t="shared" si="17"/>
        <v>0.33975236656838598</v>
      </c>
      <c r="L153" s="266">
        <f t="shared" si="17"/>
        <v>1</v>
      </c>
      <c r="M153" s="201"/>
    </row>
    <row r="154" spans="1:13">
      <c r="A154" s="142">
        <v>2000</v>
      </c>
      <c r="B154" s="192">
        <f t="shared" ref="B154:L166" si="19">B75/$L75</f>
        <v>0.68990502211387217</v>
      </c>
      <c r="C154" s="193">
        <f t="shared" si="19"/>
        <v>0.17134194259639332</v>
      </c>
      <c r="D154" s="195">
        <f t="shared" si="19"/>
        <v>0.27134617913968812</v>
      </c>
      <c r="E154" s="199">
        <f t="shared" si="19"/>
        <v>0.20727872594222058</v>
      </c>
      <c r="F154" s="199">
        <f t="shared" si="19"/>
        <v>6.4067453197467553E-2</v>
      </c>
      <c r="G154" s="194">
        <f t="shared" si="19"/>
        <v>0.24721690037779065</v>
      </c>
      <c r="H154" s="189">
        <f t="shared" si="19"/>
        <v>1.3527292808673038E-2</v>
      </c>
      <c r="I154" s="200">
        <f t="shared" si="19"/>
        <v>8.0322041727926598E-3</v>
      </c>
      <c r="J154" s="189"/>
      <c r="K154" s="199">
        <f t="shared" si="19"/>
        <v>0.30138122386609623</v>
      </c>
      <c r="L154" s="212">
        <f t="shared" si="19"/>
        <v>1</v>
      </c>
      <c r="M154" s="201"/>
    </row>
    <row r="155" spans="1:13">
      <c r="A155" s="142">
        <v>2001</v>
      </c>
      <c r="B155" s="192">
        <f t="shared" si="19"/>
        <v>0.67895595201416192</v>
      </c>
      <c r="C155" s="193">
        <f t="shared" si="19"/>
        <v>0.18433231248931709</v>
      </c>
      <c r="D155" s="195">
        <f t="shared" si="19"/>
        <v>0.23622051101716784</v>
      </c>
      <c r="E155" s="199">
        <f t="shared" si="19"/>
        <v>0.17557279583155966</v>
      </c>
      <c r="F155" s="199">
        <f t="shared" si="19"/>
        <v>6.0647715185608173E-2</v>
      </c>
      <c r="G155" s="194">
        <f t="shared" si="19"/>
        <v>0.25840312850767688</v>
      </c>
      <c r="H155" s="189">
        <f t="shared" si="19"/>
        <v>1.5988747127175101E-2</v>
      </c>
      <c r="I155" s="200">
        <f t="shared" si="19"/>
        <v>7.8743980812632491E-3</v>
      </c>
      <c r="J155" s="189"/>
      <c r="K155" s="199">
        <f t="shared" si="19"/>
        <v>0.2520284239554676</v>
      </c>
      <c r="L155" s="212">
        <f t="shared" si="19"/>
        <v>1</v>
      </c>
      <c r="M155" s="201"/>
    </row>
    <row r="156" spans="1:13">
      <c r="A156" s="142">
        <v>2002</v>
      </c>
      <c r="B156" s="192">
        <f t="shared" si="19"/>
        <v>0.69705642392224842</v>
      </c>
      <c r="C156" s="193">
        <f t="shared" si="19"/>
        <v>0.19844161975097199</v>
      </c>
      <c r="D156" s="195">
        <f t="shared" si="19"/>
        <v>0.2207276840718066</v>
      </c>
      <c r="E156" s="199">
        <f t="shared" si="19"/>
        <v>0.14603563855007115</v>
      </c>
      <c r="F156" s="199">
        <f t="shared" si="19"/>
        <v>7.4692045521735473E-2</v>
      </c>
      <c r="G156" s="194">
        <f t="shared" si="19"/>
        <v>0.27788712009946981</v>
      </c>
      <c r="H156" s="189">
        <f t="shared" si="19"/>
        <v>1.8353673343472859E-2</v>
      </c>
      <c r="I156" s="200">
        <f t="shared" si="19"/>
        <v>9.65145940565202E-3</v>
      </c>
      <c r="J156" s="189"/>
      <c r="K156" s="199">
        <f t="shared" si="19"/>
        <v>0.21497396621763878</v>
      </c>
      <c r="L156" s="212">
        <f t="shared" si="19"/>
        <v>1</v>
      </c>
      <c r="M156" s="201"/>
    </row>
    <row r="157" spans="1:13">
      <c r="A157" s="142">
        <v>2003</v>
      </c>
      <c r="B157" s="192">
        <f t="shared" si="19"/>
        <v>0.76515102627747988</v>
      </c>
      <c r="C157" s="193">
        <f t="shared" si="19"/>
        <v>0.20878327875266448</v>
      </c>
      <c r="D157" s="195">
        <f t="shared" si="19"/>
        <v>0.29962576885065562</v>
      </c>
      <c r="E157" s="199">
        <f t="shared" si="19"/>
        <v>0.2113196157588661</v>
      </c>
      <c r="F157" s="199">
        <f t="shared" si="19"/>
        <v>8.8306153091789533E-2</v>
      </c>
      <c r="G157" s="194">
        <f t="shared" si="19"/>
        <v>0.25674197867415982</v>
      </c>
      <c r="H157" s="189">
        <f t="shared" si="19"/>
        <v>2.0172608718849006E-2</v>
      </c>
      <c r="I157" s="200">
        <f t="shared" si="19"/>
        <v>1.1063421128181155E-2</v>
      </c>
      <c r="J157" s="189"/>
      <c r="K157" s="199">
        <f t="shared" si="19"/>
        <v>0.27734527079040772</v>
      </c>
      <c r="L157" s="212">
        <f t="shared" si="19"/>
        <v>1</v>
      </c>
      <c r="M157" s="201"/>
    </row>
    <row r="158" spans="1:13">
      <c r="A158" s="142">
        <v>2004</v>
      </c>
      <c r="B158" s="192">
        <f t="shared" si="19"/>
        <v>0.87589141255073366</v>
      </c>
      <c r="C158" s="193">
        <f t="shared" si="19"/>
        <v>0.23718258123522917</v>
      </c>
      <c r="D158" s="195">
        <f t="shared" si="19"/>
        <v>0.33656521679902235</v>
      </c>
      <c r="E158" s="199">
        <f t="shared" si="19"/>
        <v>0.24306104008300319</v>
      </c>
      <c r="F158" s="199">
        <f t="shared" si="19"/>
        <v>9.3504176716019141E-2</v>
      </c>
      <c r="G158" s="194">
        <f t="shared" si="19"/>
        <v>0.30214361451648208</v>
      </c>
      <c r="H158" s="189">
        <f t="shared" si="19"/>
        <v>2.2142283594819411E-2</v>
      </c>
      <c r="I158" s="200">
        <f t="shared" si="19"/>
        <v>1.0817013602598468E-2</v>
      </c>
      <c r="J158" s="189"/>
      <c r="K158" s="199">
        <f t="shared" si="19"/>
        <v>0.319230958908648</v>
      </c>
      <c r="L158" s="212">
        <f t="shared" si="19"/>
        <v>1</v>
      </c>
      <c r="M158" s="201"/>
    </row>
    <row r="159" spans="1:13">
      <c r="A159" s="142">
        <v>2005</v>
      </c>
      <c r="B159" s="192">
        <f t="shared" si="19"/>
        <v>0.94354367764457758</v>
      </c>
      <c r="C159" s="193">
        <f t="shared" si="19"/>
        <v>0.23521037239990239</v>
      </c>
      <c r="D159" s="195">
        <f t="shared" si="19"/>
        <v>0.38400971354287611</v>
      </c>
      <c r="E159" s="199">
        <f t="shared" si="19"/>
        <v>0.29428383625691318</v>
      </c>
      <c r="F159" s="199">
        <f t="shared" si="19"/>
        <v>8.9725877285962916E-2</v>
      </c>
      <c r="G159" s="194">
        <f t="shared" si="19"/>
        <v>0.32432359170179909</v>
      </c>
      <c r="H159" s="189">
        <f t="shared" si="19"/>
        <v>2.3347972668872292E-2</v>
      </c>
      <c r="I159" s="200">
        <f t="shared" si="19"/>
        <v>1.1901460114679073E-2</v>
      </c>
      <c r="J159" s="189">
        <f t="shared" si="19"/>
        <v>0.10555679283630648</v>
      </c>
      <c r="K159" s="199">
        <f t="shared" si="19"/>
        <v>0.32269397645881875</v>
      </c>
      <c r="L159" s="212">
        <f t="shared" si="19"/>
        <v>1</v>
      </c>
      <c r="M159" s="201"/>
    </row>
    <row r="160" spans="1:13">
      <c r="A160" s="142">
        <v>2006</v>
      </c>
      <c r="B160" s="192">
        <f t="shared" si="19"/>
        <v>1.0825057585761415</v>
      </c>
      <c r="C160" s="193">
        <f t="shared" si="19"/>
        <v>0.24504328913422005</v>
      </c>
      <c r="D160" s="195">
        <f t="shared" si="19"/>
        <v>0.46582729497142905</v>
      </c>
      <c r="E160" s="199">
        <f t="shared" si="19"/>
        <v>0.35981028139826077</v>
      </c>
      <c r="F160" s="199">
        <f t="shared" si="19"/>
        <v>0.10601701357316828</v>
      </c>
      <c r="G160" s="194">
        <f t="shared" si="19"/>
        <v>0.37163517447049227</v>
      </c>
      <c r="H160" s="189">
        <f t="shared" si="19"/>
        <v>3.0576842218442299E-2</v>
      </c>
      <c r="I160" s="200">
        <f t="shared" si="19"/>
        <v>1.3736501555996442E-2</v>
      </c>
      <c r="J160" s="199">
        <f t="shared" si="19"/>
        <v>0.10298157977921672</v>
      </c>
      <c r="K160" s="199">
        <f t="shared" si="19"/>
        <v>0.37156161590237496</v>
      </c>
      <c r="L160" s="212">
        <f t="shared" si="19"/>
        <v>1</v>
      </c>
      <c r="M160" s="201"/>
    </row>
    <row r="161" spans="1:13">
      <c r="A161" s="142">
        <v>2007</v>
      </c>
      <c r="B161" s="192">
        <f t="shared" si="19"/>
        <v>1.260228072261496</v>
      </c>
      <c r="C161" s="193">
        <f t="shared" si="19"/>
        <v>0.28662262385065623</v>
      </c>
      <c r="D161" s="195">
        <f t="shared" si="19"/>
        <v>0.5513751467963901</v>
      </c>
      <c r="E161" s="199">
        <f t="shared" si="19"/>
        <v>0.42334715613908591</v>
      </c>
      <c r="F161" s="199">
        <f t="shared" si="19"/>
        <v>0.12802799065730416</v>
      </c>
      <c r="G161" s="194">
        <f t="shared" si="19"/>
        <v>0.42223030161444974</v>
      </c>
      <c r="H161" s="189">
        <f t="shared" si="19"/>
        <v>2.8795647647361474E-2</v>
      </c>
      <c r="I161" s="200">
        <f t="shared" si="19"/>
        <v>1.7587736203236708E-2</v>
      </c>
      <c r="J161" s="199">
        <f t="shared" si="19"/>
        <v>0.20645731486069124</v>
      </c>
      <c r="K161" s="199">
        <f t="shared" si="19"/>
        <v>0.42552528463455019</v>
      </c>
      <c r="L161" s="212">
        <f t="shared" si="19"/>
        <v>1</v>
      </c>
      <c r="M161" s="201"/>
    </row>
    <row r="162" spans="1:13">
      <c r="A162" s="142">
        <v>2008</v>
      </c>
      <c r="B162" s="192">
        <f t="shared" si="19"/>
        <v>1.0439587658748415</v>
      </c>
      <c r="C162" s="193">
        <f t="shared" si="19"/>
        <v>0.29850063337116506</v>
      </c>
      <c r="D162" s="195">
        <f t="shared" si="19"/>
        <v>0.31738928845233871</v>
      </c>
      <c r="E162" s="199">
        <f t="shared" si="19"/>
        <v>0.21886217751871795</v>
      </c>
      <c r="F162" s="199">
        <f t="shared" si="19"/>
        <v>9.8527110933620765E-2</v>
      </c>
      <c r="G162" s="194">
        <f t="shared" si="19"/>
        <v>0.42806884405133777</v>
      </c>
      <c r="H162" s="189">
        <f t="shared" si="19"/>
        <v>2.2484347878540055E-2</v>
      </c>
      <c r="I162" s="200">
        <f t="shared" si="19"/>
        <v>1.811136940559465E-2</v>
      </c>
      <c r="J162" s="199">
        <f t="shared" si="19"/>
        <v>0.48793966938084909</v>
      </c>
      <c r="K162" s="199">
        <f t="shared" si="19"/>
        <v>0.24705102664259931</v>
      </c>
      <c r="L162" s="212">
        <f t="shared" si="19"/>
        <v>1</v>
      </c>
      <c r="M162" s="201"/>
    </row>
    <row r="163" spans="1:13">
      <c r="A163" s="255">
        <v>2009</v>
      </c>
      <c r="B163" s="257">
        <f t="shared" si="19"/>
        <v>1.2055188635992009</v>
      </c>
      <c r="C163" s="258">
        <f t="shared" si="19"/>
        <v>0.32960650559142768</v>
      </c>
      <c r="D163" s="259">
        <f t="shared" si="19"/>
        <v>0.45526477472122212</v>
      </c>
      <c r="E163" s="264">
        <f t="shared" si="19"/>
        <v>0.32681208007850765</v>
      </c>
      <c r="F163" s="264">
        <f t="shared" si="19"/>
        <v>0.12845269464271442</v>
      </c>
      <c r="G163" s="261">
        <f t="shared" si="19"/>
        <v>0.420647583286551</v>
      </c>
      <c r="H163" s="260">
        <f t="shared" si="19"/>
        <v>3.167503650086425E-2</v>
      </c>
      <c r="I163" s="265">
        <f t="shared" si="19"/>
        <v>2.3262066839301227E-2</v>
      </c>
      <c r="J163" s="260">
        <f t="shared" si="19"/>
        <v>0.28546125730497857</v>
      </c>
      <c r="K163" s="264">
        <f t="shared" si="19"/>
        <v>0.35068993156921285</v>
      </c>
      <c r="L163" s="266">
        <f t="shared" si="19"/>
        <v>1</v>
      </c>
      <c r="M163" s="201"/>
    </row>
    <row r="164" spans="1:13">
      <c r="A164" s="160">
        <v>2010</v>
      </c>
      <c r="B164" s="192">
        <f t="shared" si="19"/>
        <v>1.26961774495157</v>
      </c>
      <c r="C164" s="193">
        <f t="shared" si="19"/>
        <v>0.33590460641522563</v>
      </c>
      <c r="D164" s="195">
        <f t="shared" si="19"/>
        <v>0.49419397710834678</v>
      </c>
      <c r="E164" s="199">
        <f t="shared" si="19"/>
        <v>0.36242737494442301</v>
      </c>
      <c r="F164" s="199">
        <f t="shared" si="19"/>
        <v>0.13176660216392377</v>
      </c>
      <c r="G164" s="194">
        <f t="shared" si="19"/>
        <v>0.43951916142799746</v>
      </c>
      <c r="H164" s="189">
        <f t="shared" si="19"/>
        <v>3.1304065639790608E-2</v>
      </c>
      <c r="I164" s="200">
        <f t="shared" si="19"/>
        <v>2.8665398605900606E-2</v>
      </c>
      <c r="J164" s="189">
        <f t="shared" si="19"/>
        <v>0.28485569610273975</v>
      </c>
      <c r="K164" s="199">
        <f t="shared" si="19"/>
        <v>0.37177268002052744</v>
      </c>
      <c r="L164" s="212">
        <f t="shared" si="19"/>
        <v>1</v>
      </c>
      <c r="M164" s="201"/>
    </row>
    <row r="165" spans="1:13">
      <c r="A165" s="160">
        <v>2011</v>
      </c>
      <c r="B165" s="192">
        <f t="shared" si="19"/>
        <v>1.1997517757373135</v>
      </c>
      <c r="C165" s="193">
        <f t="shared" si="19"/>
        <v>0.35044602329348162</v>
      </c>
      <c r="D165" s="195">
        <f t="shared" si="19"/>
        <v>0.44330046195837791</v>
      </c>
      <c r="E165" s="199">
        <f t="shared" si="19"/>
        <v>0.31127195284787001</v>
      </c>
      <c r="F165" s="199">
        <f t="shared" si="19"/>
        <v>0.13202850911050787</v>
      </c>
      <c r="G165" s="194">
        <f t="shared" si="19"/>
        <v>0.40600529048545414</v>
      </c>
      <c r="H165" s="189">
        <f t="shared" si="19"/>
        <v>2.6976048716631531E-2</v>
      </c>
      <c r="I165" s="200">
        <f t="shared" si="19"/>
        <v>2.9969187179695912E-2</v>
      </c>
      <c r="J165" s="189">
        <f t="shared" si="19"/>
        <v>0.3521749846310181</v>
      </c>
      <c r="K165" s="199">
        <f t="shared" si="19"/>
        <v>0.3368515529455578</v>
      </c>
      <c r="L165" s="212">
        <f t="shared" si="19"/>
        <v>1</v>
      </c>
      <c r="M165" s="201"/>
    </row>
    <row r="166" spans="1:13" ht="16" thickBot="1">
      <c r="A166" s="161">
        <v>2012</v>
      </c>
      <c r="B166" s="202">
        <f t="shared" si="19"/>
        <v>1.2041475507894985</v>
      </c>
      <c r="C166" s="203">
        <f t="shared" si="19"/>
        <v>0.35633198567300139</v>
      </c>
      <c r="D166" s="204">
        <f t="shared" si="19"/>
        <v>0.48740427647936352</v>
      </c>
      <c r="E166" s="205">
        <f t="shared" si="19"/>
        <v>0.35453873262274882</v>
      </c>
      <c r="F166" s="205">
        <f t="shared" si="19"/>
        <v>0.1328655438566147</v>
      </c>
      <c r="G166" s="206">
        <f t="shared" si="19"/>
        <v>0.36041128863713356</v>
      </c>
      <c r="H166" s="207">
        <f t="shared" si="19"/>
        <v>2.6976048716631527E-2</v>
      </c>
      <c r="I166" s="208">
        <f t="shared" si="19"/>
        <v>3.1112504414128092E-2</v>
      </c>
      <c r="J166" s="207">
        <f t="shared" si="19"/>
        <v>0.26086675458889153</v>
      </c>
      <c r="K166" s="205">
        <f t="shared" si="19"/>
        <v>0.37411021987762955</v>
      </c>
      <c r="L166" s="213">
        <f t="shared" si="19"/>
        <v>1</v>
      </c>
      <c r="M166" s="201"/>
    </row>
    <row r="167" spans="1:13" ht="17" thickTop="1" thickBot="1"/>
    <row r="168" spans="1:13">
      <c r="A168" s="468" t="s">
        <v>173</v>
      </c>
      <c r="B168" s="469"/>
      <c r="C168" s="469"/>
      <c r="D168" s="469"/>
      <c r="E168" s="469"/>
      <c r="F168" s="469"/>
      <c r="G168" s="469"/>
      <c r="H168" s="469"/>
      <c r="I168" s="469"/>
      <c r="J168" s="469"/>
      <c r="K168" s="469"/>
      <c r="L168" s="470"/>
      <c r="M168" s="280"/>
    </row>
    <row r="169" spans="1:13" ht="16" thickBot="1">
      <c r="A169" s="471"/>
      <c r="B169" s="472"/>
      <c r="C169" s="472"/>
      <c r="D169" s="472"/>
      <c r="E169" s="472"/>
      <c r="F169" s="472"/>
      <c r="G169" s="472"/>
      <c r="H169" s="472"/>
      <c r="I169" s="472"/>
      <c r="J169" s="472"/>
      <c r="K169" s="472"/>
      <c r="L169" s="473"/>
      <c r="M169" s="280"/>
    </row>
  </sheetData>
  <mergeCells count="15">
    <mergeCell ref="L6:L8"/>
    <mergeCell ref="B9:L9"/>
    <mergeCell ref="B88:L88"/>
    <mergeCell ref="A168:L169"/>
    <mergeCell ref="A3:L3"/>
    <mergeCell ref="B6:B8"/>
    <mergeCell ref="D6:D8"/>
    <mergeCell ref="J6:J8"/>
    <mergeCell ref="K6:K8"/>
    <mergeCell ref="I6:I8"/>
    <mergeCell ref="E6:E8"/>
    <mergeCell ref="F6:F8"/>
    <mergeCell ref="H6:H8"/>
    <mergeCell ref="C6:C8"/>
    <mergeCell ref="G6:G8"/>
  </mergeCells>
  <phoneticPr fontId="37" type="noConversion"/>
  <pageMargins left="0.75000000000000011" right="0.75000000000000011" top="1" bottom="1" header="0.5" footer="0.5"/>
  <pageSetup paperSize="9" scale="26" orientation="portrait" horizontalDpi="4294967292" verticalDpi="4294967292"/>
  <ignoredErrors>
    <ignoredError sqref="D18" formula="1"/>
  </ignoredError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169"/>
  <sheetViews>
    <sheetView workbookViewId="0">
      <pane xSplit="1" ySplit="8" topLeftCell="B49" activePane="bottomRight" state="frozen"/>
      <selection pane="topRight" activeCell="C1" sqref="C1"/>
      <selection pane="bottomLeft" activeCell="A8" sqref="A8"/>
      <selection pane="bottomRight" activeCell="A3" sqref="A3:M3"/>
    </sheetView>
  </sheetViews>
  <sheetFormatPr baseColWidth="10" defaultRowHeight="15" x14ac:dyDescent="0"/>
  <cols>
    <col min="1" max="1" width="10.83203125" style="93"/>
    <col min="2" max="2" width="12.6640625" style="93" customWidth="1"/>
    <col min="3" max="7" width="10.83203125" style="93"/>
    <col min="8" max="8" width="10.83203125" style="97"/>
    <col min="9" max="12" width="10.83203125" style="93"/>
    <col min="13" max="13" width="13" style="93" bestFit="1" customWidth="1"/>
    <col min="14" max="16384" width="10.83203125" style="93"/>
  </cols>
  <sheetData>
    <row r="2" spans="1:13" ht="16" thickBot="1">
      <c r="B2" s="96"/>
    </row>
    <row r="3" spans="1:13" ht="18" thickTop="1">
      <c r="A3" s="449" t="s">
        <v>178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</row>
    <row r="4" spans="1:13">
      <c r="A4" s="7"/>
      <c r="B4" s="8"/>
      <c r="C4" s="8"/>
      <c r="D4" s="9"/>
      <c r="E4" s="9"/>
      <c r="F4" s="9"/>
      <c r="G4" s="8"/>
      <c r="H4" s="86"/>
      <c r="I4" s="9"/>
      <c r="J4" s="9"/>
      <c r="K4" s="9"/>
      <c r="L4" s="9"/>
      <c r="M4" s="10"/>
    </row>
    <row r="5" spans="1:13" ht="16" thickBot="1">
      <c r="A5" s="129"/>
      <c r="B5" s="11" t="s">
        <v>17</v>
      </c>
      <c r="C5" s="12" t="s">
        <v>18</v>
      </c>
      <c r="D5" s="11" t="s">
        <v>19</v>
      </c>
      <c r="E5" s="2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22" t="s">
        <v>26</v>
      </c>
      <c r="K5" s="22" t="s">
        <v>27</v>
      </c>
      <c r="L5" s="22" t="s">
        <v>28</v>
      </c>
      <c r="M5" s="39" t="s">
        <v>29</v>
      </c>
    </row>
    <row r="6" spans="1:13" ht="15" customHeight="1">
      <c r="A6" s="129"/>
      <c r="B6" s="485" t="s">
        <v>124</v>
      </c>
      <c r="C6" s="454" t="s">
        <v>136</v>
      </c>
      <c r="D6" s="489" t="s">
        <v>137</v>
      </c>
      <c r="E6" s="458" t="s">
        <v>133</v>
      </c>
      <c r="F6" s="458" t="s">
        <v>134</v>
      </c>
      <c r="G6" s="462" t="s">
        <v>146</v>
      </c>
      <c r="H6" s="460" t="s">
        <v>135</v>
      </c>
      <c r="I6" s="466" t="s">
        <v>169</v>
      </c>
      <c r="J6" s="466" t="s">
        <v>174</v>
      </c>
      <c r="K6" s="466" t="s">
        <v>130</v>
      </c>
      <c r="L6" s="466" t="s">
        <v>131</v>
      </c>
      <c r="M6" s="474" t="s">
        <v>170</v>
      </c>
    </row>
    <row r="7" spans="1:13" ht="15" customHeight="1">
      <c r="A7" s="129"/>
      <c r="B7" s="486"/>
      <c r="C7" s="455"/>
      <c r="D7" s="490"/>
      <c r="E7" s="459"/>
      <c r="F7" s="459"/>
      <c r="G7" s="463"/>
      <c r="H7" s="461"/>
      <c r="I7" s="467"/>
      <c r="J7" s="467"/>
      <c r="K7" s="467"/>
      <c r="L7" s="467"/>
      <c r="M7" s="475"/>
    </row>
    <row r="8" spans="1:13" ht="100" customHeight="1" thickBot="1">
      <c r="A8" s="130"/>
      <c r="B8" s="487"/>
      <c r="C8" s="488"/>
      <c r="D8" s="491"/>
      <c r="E8" s="492"/>
      <c r="F8" s="492"/>
      <c r="G8" s="493"/>
      <c r="H8" s="483"/>
      <c r="I8" s="482"/>
      <c r="J8" s="482"/>
      <c r="K8" s="482"/>
      <c r="L8" s="482"/>
      <c r="M8" s="484"/>
    </row>
    <row r="9" spans="1:13" ht="31" customHeight="1">
      <c r="A9" s="129"/>
      <c r="B9" s="476" t="s">
        <v>171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8"/>
    </row>
    <row r="10" spans="1:13">
      <c r="A10" s="132">
        <v>1853</v>
      </c>
      <c r="B10" s="121">
        <v>0.22220000000000001</v>
      </c>
      <c r="C10" s="133" t="s">
        <v>129</v>
      </c>
      <c r="D10" s="136" t="s">
        <v>129</v>
      </c>
      <c r="E10" s="74" t="s">
        <v>129</v>
      </c>
      <c r="F10" s="74" t="s">
        <v>129</v>
      </c>
      <c r="G10" s="137">
        <f>H10</f>
        <v>0</v>
      </c>
      <c r="H10" s="90">
        <v>0</v>
      </c>
      <c r="I10" s="89"/>
      <c r="J10" s="73">
        <v>2.7E-2</v>
      </c>
      <c r="K10" s="89"/>
      <c r="L10" s="89"/>
      <c r="M10" s="267">
        <v>2.367</v>
      </c>
    </row>
    <row r="11" spans="1:13">
      <c r="A11" s="132">
        <v>1869</v>
      </c>
      <c r="B11" s="121">
        <f>1.3905+H11</f>
        <v>1.4905000000000002</v>
      </c>
      <c r="C11" s="133" t="s">
        <v>129</v>
      </c>
      <c r="D11" s="140" t="s">
        <v>129</v>
      </c>
      <c r="E11" s="74" t="s">
        <v>129</v>
      </c>
      <c r="F11" s="74" t="s">
        <v>129</v>
      </c>
      <c r="G11" s="137">
        <f>H11</f>
        <v>0.1</v>
      </c>
      <c r="H11" s="90">
        <v>0.1</v>
      </c>
      <c r="I11" s="89"/>
      <c r="J11" s="74">
        <v>1</v>
      </c>
      <c r="K11" s="89"/>
      <c r="L11" s="89"/>
      <c r="M11" s="268">
        <v>7.5859910581222065</v>
      </c>
    </row>
    <row r="12" spans="1:13">
      <c r="A12" s="132">
        <v>1899</v>
      </c>
      <c r="B12" s="121">
        <v>3.145</v>
      </c>
      <c r="C12" s="133" t="s">
        <v>129</v>
      </c>
      <c r="D12" s="140" t="s">
        <v>129</v>
      </c>
      <c r="E12" s="74" t="s">
        <v>129</v>
      </c>
      <c r="F12" s="74" t="s">
        <v>129</v>
      </c>
      <c r="G12" s="141">
        <f>H12</f>
        <v>0</v>
      </c>
      <c r="H12" s="90">
        <v>0</v>
      </c>
      <c r="I12" s="89"/>
      <c r="J12" s="74">
        <v>0.01</v>
      </c>
      <c r="K12" s="89"/>
      <c r="L12" s="89"/>
      <c r="M12" s="269">
        <v>15.9375</v>
      </c>
    </row>
    <row r="13" spans="1:13">
      <c r="A13" s="238">
        <v>1914</v>
      </c>
      <c r="B13" s="242">
        <f>D13+C13+H13</f>
        <v>7.59</v>
      </c>
      <c r="C13" s="243">
        <v>1.6839999999999999</v>
      </c>
      <c r="D13" s="275">
        <f>RawData!I11/1000</f>
        <v>5.4059999999999997</v>
      </c>
      <c r="E13" s="244">
        <f>RawData!G11/1000</f>
        <v>1.7</v>
      </c>
      <c r="F13" s="244">
        <f>D13-E13</f>
        <v>3.7059999999999995</v>
      </c>
      <c r="G13" s="220">
        <f>H13</f>
        <v>0.5</v>
      </c>
      <c r="H13" s="248">
        <v>0.5</v>
      </c>
      <c r="I13" s="244"/>
      <c r="J13" s="247">
        <v>0.01</v>
      </c>
      <c r="K13" s="244"/>
      <c r="L13" s="244"/>
      <c r="M13" s="270">
        <v>30.464010282776353</v>
      </c>
    </row>
    <row r="14" spans="1:13">
      <c r="A14" s="142">
        <v>1918</v>
      </c>
      <c r="B14" s="122">
        <v>3.04</v>
      </c>
      <c r="C14" s="146">
        <v>1.04</v>
      </c>
      <c r="D14" s="276">
        <f>RawData!I12/1000</f>
        <v>2</v>
      </c>
      <c r="E14" s="87" t="s">
        <v>129</v>
      </c>
      <c r="F14" s="87" t="s">
        <v>129</v>
      </c>
      <c r="G14" s="141">
        <v>0</v>
      </c>
      <c r="H14" s="127">
        <v>0</v>
      </c>
      <c r="I14" s="168"/>
      <c r="J14" s="221"/>
      <c r="K14" s="168"/>
      <c r="L14" s="168"/>
      <c r="M14" s="269">
        <v>62.332826815642463</v>
      </c>
    </row>
    <row r="15" spans="1:13">
      <c r="A15" s="142">
        <v>1924</v>
      </c>
      <c r="B15" s="122">
        <f>C15+H15+D15</f>
        <v>3.9079999999999999</v>
      </c>
      <c r="C15" s="146">
        <v>0.97499999999999998</v>
      </c>
      <c r="D15" s="277">
        <f>E15+F15</f>
        <v>1.9329999999999998</v>
      </c>
      <c r="E15" s="87">
        <f>RawData!J14/1000</f>
        <v>0.96299999999999997</v>
      </c>
      <c r="F15" s="87">
        <f>RawData!K14/1000</f>
        <v>0.97</v>
      </c>
      <c r="G15" s="141">
        <f>H15</f>
        <v>1</v>
      </c>
      <c r="H15" s="126">
        <v>1</v>
      </c>
      <c r="I15" s="87"/>
      <c r="J15" s="159"/>
      <c r="K15" s="87"/>
      <c r="L15" s="87"/>
      <c r="M15" s="269">
        <v>79.612457075471696</v>
      </c>
    </row>
    <row r="16" spans="1:13">
      <c r="A16" s="142">
        <v>1929</v>
      </c>
      <c r="B16" s="122">
        <f>C16+H16+D16</f>
        <v>5.8100000000000005</v>
      </c>
      <c r="C16" s="146">
        <v>1.4850000000000001</v>
      </c>
      <c r="D16" s="277">
        <f>E16+F16</f>
        <v>4.3250000000000002</v>
      </c>
      <c r="E16" s="87">
        <f>RawData!J16/1000</f>
        <v>2.9799250000000002</v>
      </c>
      <c r="F16" s="87">
        <f>RawData!K16/1000</f>
        <v>1.345075</v>
      </c>
      <c r="G16" s="141">
        <f>H16</f>
        <v>0</v>
      </c>
      <c r="H16" s="127">
        <v>0</v>
      </c>
      <c r="I16" s="168"/>
      <c r="J16" s="159"/>
      <c r="K16" s="168"/>
      <c r="L16" s="168"/>
      <c r="M16" s="269">
        <v>93.9</v>
      </c>
    </row>
    <row r="17" spans="1:13">
      <c r="A17" s="142">
        <v>1934</v>
      </c>
      <c r="B17" s="122">
        <f>C17+H17+D17</f>
        <v>6.1429999999999998</v>
      </c>
      <c r="C17" s="146">
        <v>1.8</v>
      </c>
      <c r="D17" s="277">
        <f>E17+F17</f>
        <v>3.1429999999999998</v>
      </c>
      <c r="E17" s="87">
        <f>RawData!G18/1000</f>
        <v>1.6</v>
      </c>
      <c r="F17" s="87">
        <f>RawData!I18/1000-E17</f>
        <v>1.5429999999999997</v>
      </c>
      <c r="G17" s="141">
        <f>H17</f>
        <v>1.2</v>
      </c>
      <c r="H17" s="127">
        <v>1.2</v>
      </c>
      <c r="I17" s="168"/>
      <c r="J17" s="159"/>
      <c r="K17" s="168"/>
      <c r="L17" s="168"/>
      <c r="M17" s="269">
        <v>58.1</v>
      </c>
    </row>
    <row r="18" spans="1:13">
      <c r="A18" s="238">
        <v>1937</v>
      </c>
      <c r="B18" s="242">
        <f>C18+D18+H18</f>
        <v>8.206999999999999</v>
      </c>
      <c r="C18" s="243">
        <v>1.883</v>
      </c>
      <c r="D18" s="278">
        <f>7.007-C18</f>
        <v>5.1239999999999997</v>
      </c>
      <c r="E18" s="244" t="s">
        <v>129</v>
      </c>
      <c r="F18" s="244" t="s">
        <v>129</v>
      </c>
      <c r="G18" s="220">
        <f>H18</f>
        <v>1.2</v>
      </c>
      <c r="H18" s="245">
        <f>H17</f>
        <v>1.2</v>
      </c>
      <c r="I18" s="246"/>
      <c r="J18" s="236"/>
      <c r="K18" s="246"/>
      <c r="L18" s="246"/>
      <c r="M18" s="270">
        <v>83.3</v>
      </c>
    </row>
    <row r="19" spans="1:13">
      <c r="A19" s="142">
        <v>1941</v>
      </c>
      <c r="B19" s="122">
        <f>C19+D19+G19</f>
        <v>8.0663</v>
      </c>
      <c r="C19" s="146">
        <v>2.2999999999999998</v>
      </c>
      <c r="D19" s="277">
        <f t="shared" ref="D19:D50" si="0">E19+F19</f>
        <v>3.5663</v>
      </c>
      <c r="E19" s="147">
        <f>RawData!J25/1000</f>
        <v>2.1486999999999998</v>
      </c>
      <c r="F19" s="147">
        <f>RawData!K25/1000</f>
        <v>1.4176</v>
      </c>
      <c r="G19" s="75">
        <v>2.2000000000000002</v>
      </c>
      <c r="H19" s="128">
        <v>0</v>
      </c>
      <c r="I19" s="30"/>
      <c r="J19" s="221">
        <v>0.2137</v>
      </c>
      <c r="K19" s="30"/>
      <c r="L19" s="30"/>
      <c r="M19" s="269">
        <v>115.8</v>
      </c>
    </row>
    <row r="20" spans="1:13">
      <c r="A20" s="142">
        <v>1945</v>
      </c>
      <c r="B20" s="123">
        <v>16.321000000000002</v>
      </c>
      <c r="C20" s="125">
        <v>2.5070000000000001</v>
      </c>
      <c r="D20" s="277">
        <f t="shared" si="0"/>
        <v>5.5683100802102583</v>
      </c>
      <c r="E20" s="147">
        <v>2.7</v>
      </c>
      <c r="F20" s="147">
        <f>F19*B20/B19</f>
        <v>2.8683100802102577</v>
      </c>
      <c r="G20" s="76">
        <f t="shared" ref="G20:G51" si="1">B20-C20-D20</f>
        <v>8.2456899197897435</v>
      </c>
      <c r="H20" s="172">
        <f>I20-F20</f>
        <v>-0.21633361035552801</v>
      </c>
      <c r="I20" s="169">
        <v>2.6519764698547297</v>
      </c>
      <c r="J20" s="159"/>
      <c r="K20" s="222"/>
      <c r="L20" s="159"/>
      <c r="M20" s="269">
        <v>198.3</v>
      </c>
    </row>
    <row r="21" spans="1:13">
      <c r="A21" s="142">
        <v>1946</v>
      </c>
      <c r="B21" s="123">
        <v>15.111000000000001</v>
      </c>
      <c r="C21" s="125">
        <v>2.5030000000000001</v>
      </c>
      <c r="D21" s="277">
        <f t="shared" si="0"/>
        <v>5.3742641093942956</v>
      </c>
      <c r="E21" s="147">
        <v>2.69</v>
      </c>
      <c r="F21" s="147">
        <f>F20*(F$24/F$20)^(1/4)</f>
        <v>2.6842641093942956</v>
      </c>
      <c r="G21" s="76">
        <f t="shared" si="1"/>
        <v>7.233735890605705</v>
      </c>
      <c r="H21" s="172">
        <v>0</v>
      </c>
      <c r="I21" s="169">
        <v>2.0295825051437126</v>
      </c>
      <c r="J21" s="159"/>
      <c r="K21" s="222"/>
      <c r="L21" s="159"/>
      <c r="M21" s="269">
        <v>198.6</v>
      </c>
    </row>
    <row r="22" spans="1:13">
      <c r="A22" s="142">
        <v>1947</v>
      </c>
      <c r="B22" s="123">
        <v>13.577999999999999</v>
      </c>
      <c r="C22" s="125">
        <v>2.6030000000000002</v>
      </c>
      <c r="D22" s="277">
        <f t="shared" si="0"/>
        <v>4.9920275031262236</v>
      </c>
      <c r="E22" s="147">
        <v>2.48</v>
      </c>
      <c r="F22" s="147">
        <f>F21*(F$24/F$20)^(1/4)</f>
        <v>2.5120275031262231</v>
      </c>
      <c r="G22" s="76">
        <f t="shared" si="1"/>
        <v>5.9829724968737761</v>
      </c>
      <c r="H22" s="172">
        <f t="shared" ref="H22:H52" si="2">I22-F22</f>
        <v>7.6179093295000833E-2</v>
      </c>
      <c r="I22" s="169">
        <v>2.588206596421224</v>
      </c>
      <c r="J22" s="159"/>
      <c r="K22" s="222"/>
      <c r="L22" s="159"/>
      <c r="M22" s="269">
        <v>216.3</v>
      </c>
    </row>
    <row r="23" spans="1:13">
      <c r="A23" s="142">
        <v>1948</v>
      </c>
      <c r="B23" s="123">
        <v>14.173999999999999</v>
      </c>
      <c r="C23" s="125">
        <v>2.7869999999999999</v>
      </c>
      <c r="D23" s="277">
        <f t="shared" si="0"/>
        <v>4.6558425100116114</v>
      </c>
      <c r="E23" s="147">
        <v>2.3050000000000002</v>
      </c>
      <c r="F23" s="147">
        <f>F22*(F$24/F$20)^(1/4)</f>
        <v>2.3508425100116108</v>
      </c>
      <c r="G23" s="76">
        <f t="shared" si="1"/>
        <v>6.731157489988389</v>
      </c>
      <c r="H23" s="172">
        <f t="shared" si="2"/>
        <v>0.3232408493000678</v>
      </c>
      <c r="I23" s="169">
        <v>2.6740833593116786</v>
      </c>
      <c r="J23" s="159"/>
      <c r="K23" s="222"/>
      <c r="L23" s="159"/>
      <c r="M23" s="269">
        <v>242.6</v>
      </c>
    </row>
    <row r="24" spans="1:13">
      <c r="A24" s="223">
        <v>1949</v>
      </c>
      <c r="B24" s="229">
        <v>14.505000000000001</v>
      </c>
      <c r="C24" s="230">
        <v>2.9409999999999998</v>
      </c>
      <c r="D24" s="278">
        <f t="shared" si="0"/>
        <v>4.6900000000000004</v>
      </c>
      <c r="E24" s="231">
        <v>2.4900000000000002</v>
      </c>
      <c r="F24" s="231">
        <f>RawData!H27/1000</f>
        <v>2.2000000000000002</v>
      </c>
      <c r="G24" s="233">
        <f t="shared" si="1"/>
        <v>6.8739999999999997</v>
      </c>
      <c r="H24" s="234">
        <f t="shared" si="2"/>
        <v>0.66624324459130957</v>
      </c>
      <c r="I24" s="235">
        <v>2.8662432445913097</v>
      </c>
      <c r="J24" s="236"/>
      <c r="K24" s="237"/>
      <c r="L24" s="236"/>
      <c r="M24" s="270">
        <v>237.5</v>
      </c>
    </row>
    <row r="25" spans="1:13">
      <c r="A25" s="151">
        <v>1950</v>
      </c>
      <c r="B25" s="123">
        <v>17.241</v>
      </c>
      <c r="C25" s="125">
        <v>3.391</v>
      </c>
      <c r="D25" s="277">
        <f t="shared" si="0"/>
        <v>5.2667681615064676</v>
      </c>
      <c r="E25" s="147">
        <v>2.9249999999999998</v>
      </c>
      <c r="F25" s="147">
        <f>F24*(F$30/F$24)^(1/6)</f>
        <v>2.3417681615064678</v>
      </c>
      <c r="G25" s="76">
        <f t="shared" si="1"/>
        <v>8.583231838493532</v>
      </c>
      <c r="H25" s="172">
        <f t="shared" si="2"/>
        <v>1.7556587728410618</v>
      </c>
      <c r="I25" s="169">
        <v>4.0974269343475296</v>
      </c>
      <c r="J25" s="159"/>
      <c r="K25" s="222"/>
      <c r="L25" s="159"/>
      <c r="M25" s="269">
        <v>263.89999999999998</v>
      </c>
    </row>
    <row r="26" spans="1:13">
      <c r="A26" s="151">
        <v>1951</v>
      </c>
      <c r="B26" s="123">
        <v>18.471</v>
      </c>
      <c r="C26" s="125">
        <v>3.6579999999999999</v>
      </c>
      <c r="D26" s="277">
        <f t="shared" si="0"/>
        <v>5.9426718737479014</v>
      </c>
      <c r="E26" s="147">
        <v>3.45</v>
      </c>
      <c r="F26" s="147">
        <f>F25*(F$30/F$24)^(1/6)</f>
        <v>2.4926718737479008</v>
      </c>
      <c r="G26" s="76">
        <f t="shared" si="1"/>
        <v>8.8703281262520992</v>
      </c>
      <c r="H26" s="172">
        <f t="shared" si="2"/>
        <v>1.6685249340331345</v>
      </c>
      <c r="I26" s="169">
        <v>4.1611968077810353</v>
      </c>
      <c r="J26" s="159"/>
      <c r="K26" s="222"/>
      <c r="L26" s="159"/>
      <c r="M26" s="269">
        <v>303.8</v>
      </c>
    </row>
    <row r="27" spans="1:13">
      <c r="A27" s="151">
        <v>1952</v>
      </c>
      <c r="B27" s="123">
        <v>20.49</v>
      </c>
      <c r="C27" s="125">
        <v>3.9449999999999998</v>
      </c>
      <c r="D27" s="277">
        <f t="shared" si="0"/>
        <v>6.3582998322843203</v>
      </c>
      <c r="E27" s="147">
        <v>3.7050000000000001</v>
      </c>
      <c r="F27" s="147">
        <f>F26*(F$30/F$24)^(1/6)</f>
        <v>2.6532998322843198</v>
      </c>
      <c r="G27" s="76">
        <f t="shared" si="1"/>
        <v>10.186700167715678</v>
      </c>
      <c r="H27" s="172">
        <f t="shared" si="2"/>
        <v>1.7136611004421609</v>
      </c>
      <c r="I27" s="169">
        <v>4.3669609327264807</v>
      </c>
      <c r="J27" s="159"/>
      <c r="K27" s="222"/>
      <c r="L27" s="159"/>
      <c r="M27" s="269">
        <v>321.3</v>
      </c>
    </row>
    <row r="28" spans="1:13">
      <c r="A28" s="151">
        <v>1953</v>
      </c>
      <c r="B28" s="123">
        <v>21.545999999999999</v>
      </c>
      <c r="C28" s="125">
        <v>4.2510000000000003</v>
      </c>
      <c r="D28" s="277">
        <f t="shared" si="0"/>
        <v>6.4742786682608502</v>
      </c>
      <c r="E28" s="147">
        <v>3.65</v>
      </c>
      <c r="F28" s="147">
        <f>F27*(F$30/F$24)^(1/6)</f>
        <v>2.8242786682608503</v>
      </c>
      <c r="G28" s="76">
        <f t="shared" si="1"/>
        <v>10.820721331739147</v>
      </c>
      <c r="H28" s="172">
        <f t="shared" si="2"/>
        <v>2.1157608603880695</v>
      </c>
      <c r="I28" s="169">
        <v>4.9400395286489198</v>
      </c>
      <c r="J28" s="159"/>
      <c r="K28" s="222"/>
      <c r="L28" s="159"/>
      <c r="M28" s="269">
        <v>338.6</v>
      </c>
    </row>
    <row r="29" spans="1:13">
      <c r="A29" s="151">
        <v>1954</v>
      </c>
      <c r="B29" s="123">
        <v>24.600999999999999</v>
      </c>
      <c r="C29" s="125">
        <v>4.633</v>
      </c>
      <c r="D29" s="277">
        <f t="shared" si="0"/>
        <v>8.2602753929796116</v>
      </c>
      <c r="E29" s="147">
        <v>5.2539999999999996</v>
      </c>
      <c r="F29" s="147">
        <f>F28*(F$30/F$24)^(1/6)</f>
        <v>3.006275392979612</v>
      </c>
      <c r="G29" s="76">
        <f t="shared" si="1"/>
        <v>11.707724607020388</v>
      </c>
      <c r="H29" s="172">
        <f t="shared" si="2"/>
        <v>2.4609284227196229</v>
      </c>
      <c r="I29" s="169">
        <v>5.4672038156992349</v>
      </c>
      <c r="J29" s="159"/>
      <c r="K29" s="222"/>
      <c r="L29" s="159"/>
      <c r="M29" s="269">
        <v>338.7</v>
      </c>
    </row>
    <row r="30" spans="1:13">
      <c r="A30" s="151">
        <v>1955</v>
      </c>
      <c r="B30" s="123">
        <v>27.411999999999999</v>
      </c>
      <c r="C30" s="125">
        <v>5.0759999999999996</v>
      </c>
      <c r="D30" s="277">
        <f t="shared" si="0"/>
        <v>9.7750000000000004</v>
      </c>
      <c r="E30" s="147">
        <v>6.5750000000000002</v>
      </c>
      <c r="F30" s="147">
        <f>RawData!H28/1000</f>
        <v>3.2</v>
      </c>
      <c r="G30" s="76">
        <f t="shared" si="1"/>
        <v>12.560999999999998</v>
      </c>
      <c r="H30" s="172">
        <f t="shared" si="2"/>
        <v>2.4763690005611343</v>
      </c>
      <c r="I30" s="169">
        <v>5.6763690005611345</v>
      </c>
      <c r="J30" s="159"/>
      <c r="K30" s="222"/>
      <c r="L30" s="159"/>
      <c r="M30" s="269">
        <v>372</v>
      </c>
    </row>
    <row r="31" spans="1:13">
      <c r="A31" s="151">
        <v>1956</v>
      </c>
      <c r="B31" s="123">
        <v>30.096</v>
      </c>
      <c r="C31" s="125">
        <v>5.4589999999999996</v>
      </c>
      <c r="D31" s="277">
        <f t="shared" si="0"/>
        <v>10.386803789341318</v>
      </c>
      <c r="E31" s="147">
        <v>6.9610000000000003</v>
      </c>
      <c r="F31" s="147">
        <f>F30*(F$35/F$30)^(1/5)</f>
        <v>3.4258037893413182</v>
      </c>
      <c r="G31" s="76">
        <f t="shared" si="1"/>
        <v>14.250196210658682</v>
      </c>
      <c r="H31" s="172">
        <f t="shared" si="2"/>
        <v>2.7479702240011616</v>
      </c>
      <c r="I31" s="169">
        <v>6.1737740133424799</v>
      </c>
      <c r="J31" s="159"/>
      <c r="K31" s="222"/>
      <c r="L31" s="159"/>
      <c r="M31" s="269">
        <v>394.9</v>
      </c>
    </row>
    <row r="32" spans="1:13">
      <c r="A32" s="151">
        <v>1957</v>
      </c>
      <c r="B32" s="123">
        <v>30.24</v>
      </c>
      <c r="C32" s="125">
        <v>5.71</v>
      </c>
      <c r="D32" s="277">
        <f t="shared" si="0"/>
        <v>9.7585411259579171</v>
      </c>
      <c r="E32" s="147">
        <v>6.0910000000000002</v>
      </c>
      <c r="F32" s="147">
        <f>F31*(F$35/F$30)^(1/5)</f>
        <v>3.6675411259579169</v>
      </c>
      <c r="G32" s="76">
        <f t="shared" si="1"/>
        <v>14.77145887404208</v>
      </c>
      <c r="H32" s="172">
        <f t="shared" si="2"/>
        <v>2.6881895929148332</v>
      </c>
      <c r="I32" s="169">
        <v>6.3557307188727501</v>
      </c>
      <c r="J32" s="159"/>
      <c r="K32" s="222"/>
      <c r="L32" s="159"/>
      <c r="M32" s="269">
        <v>413.3</v>
      </c>
    </row>
    <row r="33" spans="1:13">
      <c r="A33" s="151">
        <v>1958</v>
      </c>
      <c r="B33" s="123">
        <v>33.881999999999998</v>
      </c>
      <c r="C33" s="125">
        <v>6.1150000000000002</v>
      </c>
      <c r="D33" s="277">
        <f t="shared" si="0"/>
        <v>12.231336339647424</v>
      </c>
      <c r="E33" s="147">
        <v>8.3049999999999997</v>
      </c>
      <c r="F33" s="147">
        <f>F32*(F$35/F$30)^(1/5)</f>
        <v>3.926336339647424</v>
      </c>
      <c r="G33" s="76">
        <f t="shared" si="1"/>
        <v>15.535663660352572</v>
      </c>
      <c r="H33" s="172">
        <f t="shared" si="2"/>
        <v>2.4702070982227697</v>
      </c>
      <c r="I33" s="169">
        <v>6.3965434378701937</v>
      </c>
      <c r="J33" s="159"/>
      <c r="K33" s="222"/>
      <c r="L33" s="159"/>
      <c r="M33" s="269">
        <v>415.6</v>
      </c>
    </row>
    <row r="34" spans="1:13">
      <c r="A34" s="223">
        <v>1959</v>
      </c>
      <c r="B34" s="229">
        <v>38.555</v>
      </c>
      <c r="C34" s="230">
        <v>6.6040000000000001</v>
      </c>
      <c r="D34" s="278">
        <f t="shared" si="0"/>
        <v>13.566393097060207</v>
      </c>
      <c r="E34" s="231">
        <v>9.3629999999999995</v>
      </c>
      <c r="F34" s="231">
        <f>F33*(F$35/F$30)^(1/5)</f>
        <v>4.203393097060208</v>
      </c>
      <c r="G34" s="233">
        <f t="shared" si="1"/>
        <v>18.384606902939794</v>
      </c>
      <c r="H34" s="234">
        <f t="shared" si="2"/>
        <v>5.749808748441386</v>
      </c>
      <c r="I34" s="235">
        <v>9.953201845501594</v>
      </c>
      <c r="J34" s="236"/>
      <c r="K34" s="237"/>
      <c r="L34" s="236"/>
      <c r="M34" s="270">
        <v>453.5</v>
      </c>
    </row>
    <row r="35" spans="1:13">
      <c r="A35" s="151">
        <v>1960</v>
      </c>
      <c r="B35" s="123">
        <v>40.515000000000001</v>
      </c>
      <c r="C35" s="125">
        <v>6.9249999999999998</v>
      </c>
      <c r="D35" s="277">
        <f t="shared" si="0"/>
        <v>13.802</v>
      </c>
      <c r="E35" s="147">
        <v>9.3019999999999996</v>
      </c>
      <c r="F35" s="147">
        <f>RawData!H29/1000</f>
        <v>4.5</v>
      </c>
      <c r="G35" s="76">
        <f t="shared" si="1"/>
        <v>19.788000000000004</v>
      </c>
      <c r="H35" s="172">
        <f t="shared" si="2"/>
        <v>6.2218413866201168</v>
      </c>
      <c r="I35" s="169">
        <v>10.721841386620117</v>
      </c>
      <c r="J35" s="159"/>
      <c r="K35" s="222"/>
      <c r="L35" s="159"/>
      <c r="M35" s="269">
        <v>473.9205</v>
      </c>
    </row>
    <row r="36" spans="1:13">
      <c r="A36" s="151">
        <v>1961</v>
      </c>
      <c r="B36" s="123">
        <v>45.125</v>
      </c>
      <c r="C36" s="125">
        <v>7.2530000000000001</v>
      </c>
      <c r="D36" s="277">
        <f t="shared" si="0"/>
        <v>16.651426151316649</v>
      </c>
      <c r="E36" s="147">
        <v>11.808</v>
      </c>
      <c r="F36" s="147">
        <f>F35*(F$40/F$35)^(1/5)</f>
        <v>4.843426151316649</v>
      </c>
      <c r="G36" s="76">
        <f t="shared" si="1"/>
        <v>21.220573848683351</v>
      </c>
      <c r="H36" s="172">
        <f t="shared" si="2"/>
        <v>6.264435535820958</v>
      </c>
      <c r="I36" s="169">
        <v>11.107861687137607</v>
      </c>
      <c r="J36" s="159"/>
      <c r="K36" s="222"/>
      <c r="L36" s="159"/>
      <c r="M36" s="269">
        <v>490.68349999999998</v>
      </c>
    </row>
    <row r="37" spans="1:13">
      <c r="A37" s="151">
        <v>1962</v>
      </c>
      <c r="B37" s="123">
        <v>45.35</v>
      </c>
      <c r="C37" s="125">
        <v>7.5549999999999997</v>
      </c>
      <c r="D37" s="277">
        <f t="shared" si="0"/>
        <v>15.54906152961289</v>
      </c>
      <c r="E37" s="147">
        <v>10.336</v>
      </c>
      <c r="F37" s="147">
        <f>F36*(F$40/F$35)^(1/5)</f>
        <v>5.2130615296128902</v>
      </c>
      <c r="G37" s="76">
        <f t="shared" si="1"/>
        <v>22.245938470387109</v>
      </c>
      <c r="H37" s="172">
        <f t="shared" si="2"/>
        <v>7.3683093663282584</v>
      </c>
      <c r="I37" s="169">
        <v>12.581370895941149</v>
      </c>
      <c r="J37" s="159"/>
      <c r="K37" s="222"/>
      <c r="L37" s="159"/>
      <c r="M37" s="269">
        <v>528.87450000000001</v>
      </c>
    </row>
    <row r="38" spans="1:13">
      <c r="A38" s="151">
        <v>1963</v>
      </c>
      <c r="B38" s="123">
        <v>50.584000000000003</v>
      </c>
      <c r="C38" s="125">
        <v>7.835</v>
      </c>
      <c r="D38" s="277">
        <f t="shared" si="0"/>
        <v>18.095906342433299</v>
      </c>
      <c r="E38" s="147">
        <v>12.484999999999999</v>
      </c>
      <c r="F38" s="147">
        <f>F37*(F$40/F$35)^(1/5)</f>
        <v>5.6109063424332986</v>
      </c>
      <c r="G38" s="76">
        <f t="shared" si="1"/>
        <v>24.653093657566703</v>
      </c>
      <c r="H38" s="172">
        <f t="shared" si="2"/>
        <v>7.9023549706161491</v>
      </c>
      <c r="I38" s="169">
        <v>13.513261313049448</v>
      </c>
      <c r="J38" s="159"/>
      <c r="K38" s="222"/>
      <c r="L38" s="159"/>
      <c r="M38" s="269">
        <v>559.72680000000003</v>
      </c>
    </row>
    <row r="39" spans="1:13">
      <c r="A39" s="151">
        <v>1964</v>
      </c>
      <c r="B39" s="123">
        <v>59.555</v>
      </c>
      <c r="C39" s="125">
        <v>8.1470000000000002</v>
      </c>
      <c r="D39" s="277">
        <f t="shared" si="0"/>
        <v>19.874113447006643</v>
      </c>
      <c r="E39" s="147">
        <v>13.835000000000001</v>
      </c>
      <c r="F39" s="147">
        <f>F38*(F$40/F$35)^(1/5)</f>
        <v>6.039113447006641</v>
      </c>
      <c r="G39" s="76">
        <f t="shared" si="1"/>
        <v>31.533886552993359</v>
      </c>
      <c r="H39" s="172">
        <f t="shared" si="2"/>
        <v>8.3371668198429205</v>
      </c>
      <c r="I39" s="169">
        <v>14.376280266849561</v>
      </c>
      <c r="J39" s="159"/>
      <c r="K39" s="222"/>
      <c r="L39" s="159"/>
      <c r="M39" s="269">
        <v>601.41830000000004</v>
      </c>
    </row>
    <row r="40" spans="1:13">
      <c r="A40" s="151">
        <v>1965</v>
      </c>
      <c r="B40" s="123">
        <v>61.506</v>
      </c>
      <c r="C40" s="125">
        <v>8.532</v>
      </c>
      <c r="D40" s="277">
        <f t="shared" si="0"/>
        <v>21.099</v>
      </c>
      <c r="E40" s="147">
        <v>14.599</v>
      </c>
      <c r="F40" s="147">
        <f>RawData!H30/1000</f>
        <v>6.5</v>
      </c>
      <c r="G40" s="76">
        <f t="shared" si="1"/>
        <v>31.875000000000004</v>
      </c>
      <c r="H40" s="172">
        <f t="shared" si="2"/>
        <v>8.2818566618866569</v>
      </c>
      <c r="I40" s="169">
        <v>14.781856661886657</v>
      </c>
      <c r="J40" s="159"/>
      <c r="K40" s="222"/>
      <c r="L40" s="159"/>
      <c r="M40" s="269">
        <v>652.17580000000009</v>
      </c>
    </row>
    <row r="41" spans="1:13">
      <c r="A41" s="151">
        <v>1966</v>
      </c>
      <c r="B41" s="123">
        <v>63.094000000000001</v>
      </c>
      <c r="C41" s="125">
        <v>8.9469999999999992</v>
      </c>
      <c r="D41" s="277">
        <f t="shared" si="0"/>
        <v>20.698294179816696</v>
      </c>
      <c r="E41" s="147">
        <v>12.643000000000001</v>
      </c>
      <c r="F41" s="147">
        <f>F40*(F$45/F$40)^(1/5)</f>
        <v>8.0552941798166948</v>
      </c>
      <c r="G41" s="76">
        <f t="shared" si="1"/>
        <v>33.448705820183307</v>
      </c>
      <c r="H41" s="172">
        <f t="shared" si="2"/>
        <v>6.6211296246598987</v>
      </c>
      <c r="I41" s="169">
        <v>14.676423804476594</v>
      </c>
      <c r="J41" s="159"/>
      <c r="K41" s="222"/>
      <c r="L41" s="159"/>
      <c r="M41" s="269">
        <v>710.13499999999999</v>
      </c>
    </row>
    <row r="42" spans="1:13">
      <c r="A42" s="151">
        <v>1967</v>
      </c>
      <c r="B42" s="123">
        <v>82.51</v>
      </c>
      <c r="C42" s="125">
        <v>9.7080000000000002</v>
      </c>
      <c r="D42" s="277">
        <f t="shared" si="0"/>
        <v>35.493732972829036</v>
      </c>
      <c r="E42" s="147">
        <v>25.510999999999999</v>
      </c>
      <c r="F42" s="152">
        <f>F41*(F$45/F$40)^(1/5)</f>
        <v>9.9827329728290337</v>
      </c>
      <c r="G42" s="76">
        <f t="shared" si="1"/>
        <v>37.30826702717097</v>
      </c>
      <c r="H42" s="172">
        <f t="shared" si="2"/>
        <v>7.0540264136663886</v>
      </c>
      <c r="I42" s="169">
        <v>17.036759386495422</v>
      </c>
      <c r="J42" s="159"/>
      <c r="K42" s="222"/>
      <c r="L42" s="159"/>
      <c r="M42" s="269">
        <v>750.39549999999997</v>
      </c>
    </row>
    <row r="43" spans="1:13">
      <c r="A43" s="151">
        <v>1968</v>
      </c>
      <c r="B43" s="123">
        <v>94.456999999999994</v>
      </c>
      <c r="C43" s="125">
        <v>10.468</v>
      </c>
      <c r="D43" s="277">
        <f t="shared" si="0"/>
        <v>41.888361663799067</v>
      </c>
      <c r="E43" s="147">
        <v>29.516999999999999</v>
      </c>
      <c r="F43" s="152">
        <f>F42*(F$45/F$40)^(1/5)</f>
        <v>12.371361663799066</v>
      </c>
      <c r="G43" s="76">
        <f t="shared" si="1"/>
        <v>42.100638336200923</v>
      </c>
      <c r="H43" s="172">
        <f t="shared" si="2"/>
        <v>6.8497284540387096</v>
      </c>
      <c r="I43" s="169">
        <v>19.221090117837775</v>
      </c>
      <c r="J43" s="159"/>
      <c r="K43" s="222"/>
      <c r="L43" s="159"/>
      <c r="M43" s="269">
        <v>821.18880000000001</v>
      </c>
    </row>
    <row r="44" spans="1:13">
      <c r="A44" s="223">
        <v>1969</v>
      </c>
      <c r="B44" s="229">
        <v>101.25</v>
      </c>
      <c r="C44" s="230">
        <v>11.683999999999999</v>
      </c>
      <c r="D44" s="278">
        <f t="shared" si="0"/>
        <v>42.092531939508923</v>
      </c>
      <c r="E44" s="231">
        <v>26.760999999999999</v>
      </c>
      <c r="F44" s="232">
        <f>F43*(F$45/F$40)^(1/5)</f>
        <v>15.331531939508922</v>
      </c>
      <c r="G44" s="233">
        <f t="shared" si="1"/>
        <v>47.473468060491079</v>
      </c>
      <c r="H44" s="234">
        <f t="shared" si="2"/>
        <v>4.3640060366741356</v>
      </c>
      <c r="I44" s="235">
        <v>19.695537976183058</v>
      </c>
      <c r="J44" s="236"/>
      <c r="K44" s="237"/>
      <c r="L44" s="236"/>
      <c r="M44" s="270">
        <v>888.48450000000003</v>
      </c>
    </row>
    <row r="45" spans="1:13">
      <c r="A45" s="151">
        <v>1970</v>
      </c>
      <c r="B45" s="123">
        <v>108.485</v>
      </c>
      <c r="C45" s="125">
        <v>13.224</v>
      </c>
      <c r="D45" s="277">
        <f t="shared" si="0"/>
        <v>46.209000000000003</v>
      </c>
      <c r="E45" s="147">
        <v>27.209</v>
      </c>
      <c r="F45" s="152">
        <f>RawData!H31/1000</f>
        <v>19</v>
      </c>
      <c r="G45" s="76">
        <f t="shared" si="1"/>
        <v>49.051999999999992</v>
      </c>
      <c r="H45" s="172">
        <f t="shared" si="2"/>
        <v>10.725263669804857</v>
      </c>
      <c r="I45" s="169">
        <v>29.725263669804857</v>
      </c>
      <c r="J45" s="159"/>
      <c r="K45" s="222"/>
      <c r="L45" s="159"/>
      <c r="M45" s="269">
        <v>929.52949999999998</v>
      </c>
    </row>
    <row r="46" spans="1:13">
      <c r="A46" s="151">
        <v>1971</v>
      </c>
      <c r="B46" s="123">
        <v>136.221</v>
      </c>
      <c r="C46" s="125">
        <v>13.622</v>
      </c>
      <c r="D46" s="277">
        <f t="shared" si="0"/>
        <v>54.033376657612948</v>
      </c>
      <c r="E46" s="147">
        <v>30.811</v>
      </c>
      <c r="F46" s="152">
        <f>F45*(F$49/F$45)^(1/4)</f>
        <v>23.222376657612944</v>
      </c>
      <c r="G46" s="76">
        <f t="shared" si="1"/>
        <v>68.565623342387056</v>
      </c>
      <c r="H46" s="172">
        <f t="shared" si="2"/>
        <v>30.214226484727615</v>
      </c>
      <c r="I46" s="169">
        <v>53.436603142340559</v>
      </c>
      <c r="J46" s="159"/>
      <c r="K46" s="222"/>
      <c r="L46" s="159"/>
      <c r="M46" s="269">
        <v>1005.6213</v>
      </c>
    </row>
    <row r="47" spans="1:13">
      <c r="A47" s="151">
        <v>1972</v>
      </c>
      <c r="B47" s="123">
        <v>163.779</v>
      </c>
      <c r="C47" s="125">
        <v>14.737</v>
      </c>
      <c r="D47" s="277">
        <f t="shared" si="0"/>
        <v>67.567426892704205</v>
      </c>
      <c r="E47" s="147">
        <v>39.184333333333335</v>
      </c>
      <c r="F47" s="152">
        <f>F46*(F$49/F$45)^(1/4)</f>
        <v>28.38309355937087</v>
      </c>
      <c r="G47" s="76">
        <f t="shared" si="1"/>
        <v>81.474573107295797</v>
      </c>
      <c r="H47" s="172">
        <f t="shared" si="2"/>
        <v>33.837597082190342</v>
      </c>
      <c r="I47" s="169">
        <v>62.220690641561212</v>
      </c>
      <c r="J47" s="159"/>
      <c r="K47" s="222"/>
      <c r="L47" s="159"/>
      <c r="M47" s="269">
        <v>1110.3395</v>
      </c>
    </row>
    <row r="48" spans="1:13">
      <c r="A48" s="151">
        <v>1973</v>
      </c>
      <c r="B48" s="123">
        <v>142.012</v>
      </c>
      <c r="C48" s="125">
        <v>17.844999999999999</v>
      </c>
      <c r="D48" s="277">
        <f t="shared" si="0"/>
        <v>68.544011719858517</v>
      </c>
      <c r="E48" s="147">
        <v>33.853333333333339</v>
      </c>
      <c r="F48" s="152">
        <f>F47*(F$49/F$45)^(1/4)</f>
        <v>34.690678386525178</v>
      </c>
      <c r="G48" s="76">
        <f t="shared" si="1"/>
        <v>55.622988280141485</v>
      </c>
      <c r="H48" s="172">
        <f t="shared" si="2"/>
        <v>28.795206543956795</v>
      </c>
      <c r="I48" s="169">
        <v>63.485884930481973</v>
      </c>
      <c r="J48" s="159"/>
      <c r="K48" s="222"/>
      <c r="L48" s="159"/>
      <c r="M48" s="269">
        <v>1246.0858000000001</v>
      </c>
    </row>
    <row r="49" spans="1:13">
      <c r="A49" s="151">
        <v>1974</v>
      </c>
      <c r="B49" s="123">
        <v>187.166</v>
      </c>
      <c r="C49" s="125">
        <v>22.606000000000002</v>
      </c>
      <c r="D49" s="277">
        <f t="shared" si="0"/>
        <v>67.052333333333337</v>
      </c>
      <c r="E49" s="147">
        <v>24.652333333333331</v>
      </c>
      <c r="F49" s="152">
        <f>RawData!H32/1000</f>
        <v>42.4</v>
      </c>
      <c r="G49" s="76">
        <f t="shared" si="1"/>
        <v>97.507666666666665</v>
      </c>
      <c r="H49" s="172">
        <f t="shared" si="2"/>
        <v>25.23432776357631</v>
      </c>
      <c r="I49" s="169">
        <v>67.634327763576309</v>
      </c>
      <c r="J49" s="159"/>
      <c r="K49" s="222"/>
      <c r="L49" s="159"/>
      <c r="M49" s="269">
        <v>1341.4728</v>
      </c>
    </row>
    <row r="50" spans="1:13">
      <c r="A50" s="151">
        <v>1975</v>
      </c>
      <c r="B50" s="124">
        <v>201.46299999999999</v>
      </c>
      <c r="C50" s="125">
        <v>25.209</v>
      </c>
      <c r="D50" s="277">
        <f t="shared" si="0"/>
        <v>81.571028915300246</v>
      </c>
      <c r="E50" s="147">
        <v>37.232999999999997</v>
      </c>
      <c r="F50" s="152">
        <f>F49*(F$53/F$49)^(1/4)</f>
        <v>44.338028915300249</v>
      </c>
      <c r="G50" s="76">
        <f t="shared" si="1"/>
        <v>94.682971084699744</v>
      </c>
      <c r="H50" s="172">
        <f t="shared" si="2"/>
        <v>30.478487126847035</v>
      </c>
      <c r="I50" s="169">
        <v>74.816516042147285</v>
      </c>
      <c r="J50" s="159"/>
      <c r="K50" s="222"/>
      <c r="L50" s="159"/>
      <c r="M50" s="269">
        <v>1444.0184999999999</v>
      </c>
    </row>
    <row r="51" spans="1:13">
      <c r="A51" s="151">
        <v>1976</v>
      </c>
      <c r="B51" s="83">
        <v>294.255</v>
      </c>
      <c r="C51" s="148">
        <v>47.527999999999999</v>
      </c>
      <c r="D51" s="277">
        <f t="shared" ref="D51:D82" si="3">E51+F51</f>
        <v>93.168308366996882</v>
      </c>
      <c r="E51" s="147">
        <v>46.803666666666665</v>
      </c>
      <c r="F51" s="152">
        <f>F50*(F$53/F$49)^(1/4)</f>
        <v>46.364641700330218</v>
      </c>
      <c r="G51" s="76">
        <f t="shared" si="1"/>
        <v>153.55869163300312</v>
      </c>
      <c r="H51" s="172">
        <f t="shared" si="2"/>
        <v>37.725714469007038</v>
      </c>
      <c r="I51" s="169">
        <v>84.090356169337255</v>
      </c>
      <c r="J51" s="159"/>
      <c r="K51" s="222"/>
      <c r="L51" s="159"/>
      <c r="M51" s="271">
        <v>1609.7895000000001</v>
      </c>
    </row>
    <row r="52" spans="1:13">
      <c r="A52" s="151">
        <v>1977</v>
      </c>
      <c r="B52" s="83">
        <v>342.67</v>
      </c>
      <c r="C52" s="148">
        <v>55.412999999999997</v>
      </c>
      <c r="D52" s="277">
        <f t="shared" si="3"/>
        <v>93.074220700238456</v>
      </c>
      <c r="E52" s="147">
        <v>44.590333333333334</v>
      </c>
      <c r="F52" s="152">
        <f>F51*(F$53/F$49)^(1/4)</f>
        <v>48.483887366905122</v>
      </c>
      <c r="G52" s="76">
        <f t="shared" ref="G52:G87" si="4">B52-C52-D52</f>
        <v>194.18277929976153</v>
      </c>
      <c r="H52" s="152">
        <f t="shared" si="2"/>
        <v>66.124179432770688</v>
      </c>
      <c r="I52" s="413">
        <v>114.60806679967581</v>
      </c>
      <c r="J52" s="159"/>
      <c r="K52" s="222"/>
      <c r="L52" s="159"/>
      <c r="M52" s="271">
        <v>1797.4318000000001</v>
      </c>
    </row>
    <row r="53" spans="1:13">
      <c r="A53" s="151">
        <v>1978</v>
      </c>
      <c r="B53" s="83">
        <v>416.16399999999999</v>
      </c>
      <c r="C53" s="148">
        <v>68.975999999999999</v>
      </c>
      <c r="D53" s="277">
        <f t="shared" si="3"/>
        <v>98.443666666666672</v>
      </c>
      <c r="E53" s="155">
        <v>47.743666666666662</v>
      </c>
      <c r="F53" s="152">
        <f>RawData!H36/1000</f>
        <v>50.7</v>
      </c>
      <c r="G53" s="76">
        <f t="shared" si="4"/>
        <v>248.74433333333332</v>
      </c>
      <c r="H53" s="173">
        <f>RawData!CF36/1000</f>
        <v>85.674000000000007</v>
      </c>
      <c r="I53" s="169">
        <f t="shared" ref="I53:I87" si="5">H53+F53</f>
        <v>136.37400000000002</v>
      </c>
      <c r="J53" s="158"/>
      <c r="K53" s="222"/>
      <c r="L53" s="158"/>
      <c r="M53" s="271">
        <v>2027.8733</v>
      </c>
    </row>
    <row r="54" spans="1:13">
      <c r="A54" s="223">
        <v>1979</v>
      </c>
      <c r="B54" s="249">
        <v>471.03800000000001</v>
      </c>
      <c r="C54" s="225">
        <v>88.578999999999994</v>
      </c>
      <c r="D54" s="278">
        <f t="shared" si="3"/>
        <v>116.54161217182613</v>
      </c>
      <c r="E54" s="231">
        <v>54.933333333333337</v>
      </c>
      <c r="F54" s="232">
        <f>F53*(F$59/F$53)^(1/6)</f>
        <v>61.608278838492794</v>
      </c>
      <c r="G54" s="233">
        <f t="shared" si="4"/>
        <v>265.9173878281739</v>
      </c>
      <c r="H54" s="253">
        <f>RawData!CF37/1000</f>
        <v>67.968999999999994</v>
      </c>
      <c r="I54" s="235">
        <f t="shared" si="5"/>
        <v>129.57727883849279</v>
      </c>
      <c r="J54" s="254"/>
      <c r="K54" s="237"/>
      <c r="L54" s="254"/>
      <c r="M54" s="272">
        <v>2248.2842999999998</v>
      </c>
    </row>
    <row r="55" spans="1:13">
      <c r="A55" s="151">
        <v>1980</v>
      </c>
      <c r="B55" s="83">
        <v>569.45899999999995</v>
      </c>
      <c r="C55" s="148">
        <v>127.105</v>
      </c>
      <c r="D55" s="277">
        <f t="shared" si="3"/>
        <v>148.84917793770177</v>
      </c>
      <c r="E55" s="147">
        <v>73.985666666666674</v>
      </c>
      <c r="F55" s="152">
        <f>F54*(F$59/F$53)^(1/6)</f>
        <v>74.86351127103508</v>
      </c>
      <c r="G55" s="76">
        <f t="shared" si="4"/>
        <v>293.50482206229816</v>
      </c>
      <c r="H55" s="173">
        <f>RawData!CF38/1000</f>
        <v>77.674000000000007</v>
      </c>
      <c r="I55" s="169">
        <f t="shared" si="5"/>
        <v>152.5375112710351</v>
      </c>
      <c r="J55" s="158"/>
      <c r="K55" s="222"/>
      <c r="L55" s="158"/>
      <c r="M55" s="271">
        <v>2432.9507999999996</v>
      </c>
    </row>
    <row r="56" spans="1:13">
      <c r="A56" s="151">
        <v>1981</v>
      </c>
      <c r="B56" s="83">
        <v>661.28200000000004</v>
      </c>
      <c r="C56" s="148">
        <v>164.62299999999999</v>
      </c>
      <c r="D56" s="277">
        <f t="shared" si="3"/>
        <v>165.71431907721058</v>
      </c>
      <c r="E56" s="147">
        <v>74.74366666666667</v>
      </c>
      <c r="F56" s="152">
        <f>F55*(F$59/F$53)^(1/6)</f>
        <v>90.97065241054392</v>
      </c>
      <c r="G56" s="76">
        <f t="shared" si="4"/>
        <v>330.94468092278947</v>
      </c>
      <c r="H56" s="173">
        <f>RawData!CF39/1000</f>
        <v>74.102999999999994</v>
      </c>
      <c r="I56" s="169">
        <f t="shared" si="5"/>
        <v>165.0736524105439</v>
      </c>
      <c r="J56" s="158"/>
      <c r="K56" s="222"/>
      <c r="L56" s="158"/>
      <c r="M56" s="271">
        <v>2729.8482999999997</v>
      </c>
    </row>
    <row r="57" spans="1:13">
      <c r="A57" s="151">
        <v>1982</v>
      </c>
      <c r="B57" s="83">
        <v>777.06299999999999</v>
      </c>
      <c r="C57" s="148">
        <v>184.84200000000001</v>
      </c>
      <c r="D57" s="277">
        <f t="shared" si="3"/>
        <v>198.86730019385396</v>
      </c>
      <c r="E57" s="147">
        <v>88.323999999999998</v>
      </c>
      <c r="F57" s="152">
        <f>F56*(F$59/F$53)^(1/6)</f>
        <v>110.54330019385397</v>
      </c>
      <c r="G57" s="76">
        <f t="shared" si="4"/>
        <v>393.35369980614604</v>
      </c>
      <c r="H57" s="173">
        <f>RawData!CF40/1000</f>
        <v>76.263999999999996</v>
      </c>
      <c r="I57" s="169">
        <f t="shared" si="5"/>
        <v>186.80730019385396</v>
      </c>
      <c r="J57" s="158"/>
      <c r="K57" s="222"/>
      <c r="L57" s="32">
        <v>130.428</v>
      </c>
      <c r="M57" s="271">
        <v>2851.4112999999998</v>
      </c>
    </row>
    <row r="58" spans="1:13">
      <c r="A58" s="151">
        <v>1983</v>
      </c>
      <c r="B58" s="83">
        <v>908.57</v>
      </c>
      <c r="C58" s="148">
        <v>193.708</v>
      </c>
      <c r="D58" s="277">
        <f t="shared" si="3"/>
        <v>243.88207025779428</v>
      </c>
      <c r="E58" s="156">
        <v>109.55500000000001</v>
      </c>
      <c r="F58" s="152">
        <f>F57*(F$59/F$53)^(1/6)</f>
        <v>134.32707025779428</v>
      </c>
      <c r="G58" s="76">
        <f t="shared" si="4"/>
        <v>470.9799297422058</v>
      </c>
      <c r="H58" s="173">
        <f>RawData!CF41/1000</f>
        <v>86.135999999999996</v>
      </c>
      <c r="I58" s="169">
        <f t="shared" si="5"/>
        <v>220.46307025779427</v>
      </c>
      <c r="J58" s="158"/>
      <c r="K58" s="222"/>
      <c r="L58" s="32">
        <v>153.31800000000001</v>
      </c>
      <c r="M58" s="271">
        <v>3070.893</v>
      </c>
    </row>
    <row r="59" spans="1:13">
      <c r="A59" s="142">
        <v>1984</v>
      </c>
      <c r="B59" s="83">
        <v>1038.153</v>
      </c>
      <c r="C59" s="148">
        <v>223.53800000000001</v>
      </c>
      <c r="D59" s="277">
        <f t="shared" si="3"/>
        <v>268.08000000000004</v>
      </c>
      <c r="E59" s="152">
        <f>RawData!D42/1000</f>
        <v>104.852</v>
      </c>
      <c r="F59" s="152">
        <f>RawData!E42/1000</f>
        <v>163.22800000000001</v>
      </c>
      <c r="G59" s="76">
        <f t="shared" si="4"/>
        <v>546.53499999999997</v>
      </c>
      <c r="H59" s="173">
        <f>RawData!CF42/1000</f>
        <v>95.114999999999995</v>
      </c>
      <c r="I59" s="169">
        <f t="shared" si="5"/>
        <v>258.34300000000002</v>
      </c>
      <c r="J59" s="158"/>
      <c r="K59" s="222"/>
      <c r="L59" s="32">
        <v>172.37700000000001</v>
      </c>
      <c r="M59" s="271">
        <v>3461.2997999999998</v>
      </c>
    </row>
    <row r="60" spans="1:13">
      <c r="A60" s="142">
        <v>1985</v>
      </c>
      <c r="B60" s="83">
        <v>1225.6569999999999</v>
      </c>
      <c r="C60" s="148">
        <v>247.22300000000001</v>
      </c>
      <c r="D60" s="178">
        <f t="shared" si="3"/>
        <v>397.04300000000001</v>
      </c>
      <c r="E60" s="152">
        <f>RawData!D43/1000</f>
        <v>138.19900000000001</v>
      </c>
      <c r="F60" s="152">
        <f>RawData!E43/1000</f>
        <v>258.84399999999999</v>
      </c>
      <c r="G60" s="76">
        <f t="shared" si="4"/>
        <v>581.39099999999996</v>
      </c>
      <c r="H60" s="173">
        <f>RawData!CF43/1000</f>
        <v>87.096999999999994</v>
      </c>
      <c r="I60" s="169">
        <f t="shared" si="5"/>
        <v>345.94099999999997</v>
      </c>
      <c r="J60" s="158"/>
      <c r="K60" s="222"/>
      <c r="L60" s="32">
        <v>219.99600000000001</v>
      </c>
      <c r="M60" s="271">
        <v>3696.2440000000001</v>
      </c>
    </row>
    <row r="61" spans="1:13">
      <c r="A61" s="142">
        <v>1986</v>
      </c>
      <c r="B61" s="83">
        <v>1497.155</v>
      </c>
      <c r="C61" s="148">
        <v>284.70100000000002</v>
      </c>
      <c r="D61" s="178">
        <f t="shared" si="3"/>
        <v>523.91699999999992</v>
      </c>
      <c r="E61" s="152">
        <f>RawData!D44/1000</f>
        <v>175.72399999999999</v>
      </c>
      <c r="F61" s="152">
        <f>RawData!E44/1000</f>
        <v>348.19299999999998</v>
      </c>
      <c r="G61" s="76">
        <f t="shared" si="4"/>
        <v>688.53700000000003</v>
      </c>
      <c r="H61" s="173">
        <f>RawData!CF44/1000</f>
        <v>105.815</v>
      </c>
      <c r="I61" s="169">
        <f t="shared" si="5"/>
        <v>454.00799999999998</v>
      </c>
      <c r="J61" s="158"/>
      <c r="K61" s="222"/>
      <c r="L61" s="32">
        <v>272.96600000000001</v>
      </c>
      <c r="M61" s="271">
        <v>3871.4479999999999</v>
      </c>
    </row>
    <row r="62" spans="1:13">
      <c r="A62" s="142">
        <v>1987</v>
      </c>
      <c r="B62" s="83">
        <v>1717.4459999999999</v>
      </c>
      <c r="C62" s="148">
        <v>334.55200000000002</v>
      </c>
      <c r="D62" s="178">
        <f t="shared" si="3"/>
        <v>571.10500000000002</v>
      </c>
      <c r="E62" s="152">
        <f>RawData!D45/1000</f>
        <v>189.136</v>
      </c>
      <c r="F62" s="152">
        <f>RawData!E45/1000</f>
        <v>381.96899999999999</v>
      </c>
      <c r="G62" s="76">
        <f t="shared" si="4"/>
        <v>811.78899999999976</v>
      </c>
      <c r="H62" s="173">
        <f>RawData!CF45/1000</f>
        <v>118.51900000000001</v>
      </c>
      <c r="I62" s="169">
        <f t="shared" si="5"/>
        <v>500.488</v>
      </c>
      <c r="J62" s="158"/>
      <c r="K62" s="222"/>
      <c r="L62" s="32">
        <v>316.2</v>
      </c>
      <c r="M62" s="271">
        <v>4150.0437999999995</v>
      </c>
    </row>
    <row r="63" spans="1:13">
      <c r="A63" s="142">
        <v>1988</v>
      </c>
      <c r="B63" s="83">
        <v>1997.123</v>
      </c>
      <c r="C63" s="148">
        <v>401.76600000000002</v>
      </c>
      <c r="D63" s="178">
        <f t="shared" si="3"/>
        <v>665.76</v>
      </c>
      <c r="E63" s="152">
        <f>RawData!D46/1000</f>
        <v>208.95500000000001</v>
      </c>
      <c r="F63" s="152">
        <f>RawData!E46/1000</f>
        <v>456.80500000000001</v>
      </c>
      <c r="G63" s="76">
        <f t="shared" si="4"/>
        <v>929.59699999999998</v>
      </c>
      <c r="H63" s="173">
        <f>RawData!CF46/1000</f>
        <v>131.482</v>
      </c>
      <c r="I63" s="169">
        <f t="shared" si="5"/>
        <v>588.28700000000003</v>
      </c>
      <c r="J63" s="158"/>
      <c r="K63" s="222"/>
      <c r="L63" s="32">
        <v>391.53</v>
      </c>
      <c r="M63" s="271">
        <v>4522.3002999999999</v>
      </c>
    </row>
    <row r="64" spans="1:13">
      <c r="A64" s="238">
        <v>1989</v>
      </c>
      <c r="B64" s="249">
        <v>2317.1</v>
      </c>
      <c r="C64" s="225">
        <v>467.88600000000002</v>
      </c>
      <c r="D64" s="219">
        <f t="shared" si="3"/>
        <v>847.67499999999995</v>
      </c>
      <c r="E64" s="232">
        <f>RawData!D47/1000</f>
        <v>276.10300000000001</v>
      </c>
      <c r="F64" s="232">
        <f>RawData!E47/1000</f>
        <v>571.572</v>
      </c>
      <c r="G64" s="233">
        <f t="shared" si="4"/>
        <v>1001.539</v>
      </c>
      <c r="H64" s="253">
        <f>RawData!CF47/1000</f>
        <v>110.626</v>
      </c>
      <c r="I64" s="235">
        <f t="shared" si="5"/>
        <v>682.19799999999998</v>
      </c>
      <c r="J64" s="254"/>
      <c r="K64" s="237"/>
      <c r="L64" s="250">
        <v>534.73400000000004</v>
      </c>
      <c r="M64" s="272">
        <v>4800.5129999999999</v>
      </c>
    </row>
    <row r="65" spans="1:13">
      <c r="A65" s="142">
        <v>1990</v>
      </c>
      <c r="B65" s="83">
        <v>2409.3530000000001</v>
      </c>
      <c r="C65" s="148">
        <v>505.346</v>
      </c>
      <c r="D65" s="178">
        <f t="shared" si="3"/>
        <v>831.23099999999999</v>
      </c>
      <c r="E65" s="152">
        <f>RawData!D48/1000</f>
        <v>248.251</v>
      </c>
      <c r="F65" s="152">
        <f>RawData!E48/1000</f>
        <v>582.98</v>
      </c>
      <c r="G65" s="76">
        <f t="shared" si="4"/>
        <v>1072.7760000000001</v>
      </c>
      <c r="H65" s="173">
        <f>RawData!CF48/1000</f>
        <v>114.374</v>
      </c>
      <c r="I65" s="169">
        <f t="shared" si="5"/>
        <v>697.35400000000004</v>
      </c>
      <c r="J65" s="158"/>
      <c r="K65" s="222"/>
      <c r="L65" s="32">
        <v>539.601</v>
      </c>
      <c r="M65" s="271">
        <v>5059.5474999999997</v>
      </c>
    </row>
    <row r="66" spans="1:13">
      <c r="A66" s="142">
        <v>1991</v>
      </c>
      <c r="B66" s="83">
        <v>2578.21</v>
      </c>
      <c r="C66" s="148">
        <v>533.404</v>
      </c>
      <c r="D66" s="178">
        <f t="shared" si="3"/>
        <v>988.28</v>
      </c>
      <c r="E66" s="152">
        <f>RawData!D49/1000</f>
        <v>332.85599999999999</v>
      </c>
      <c r="F66" s="152">
        <f>RawData!E49/1000</f>
        <v>655.42399999999998</v>
      </c>
      <c r="G66" s="76">
        <f t="shared" si="4"/>
        <v>1056.5260000000001</v>
      </c>
      <c r="H66" s="173">
        <f>RawData!CF49/1000</f>
        <v>129.398</v>
      </c>
      <c r="I66" s="169">
        <f t="shared" si="5"/>
        <v>784.822</v>
      </c>
      <c r="J66" s="158"/>
      <c r="K66" s="222"/>
      <c r="L66" s="32">
        <v>669.13699999999994</v>
      </c>
      <c r="M66" s="271">
        <v>5217.9048000000003</v>
      </c>
    </row>
    <row r="67" spans="1:13">
      <c r="A67" s="142">
        <v>1992</v>
      </c>
      <c r="B67" s="83">
        <v>2742.7170000000001</v>
      </c>
      <c r="C67" s="148">
        <v>540.27</v>
      </c>
      <c r="D67" s="178">
        <f t="shared" si="3"/>
        <v>1060.162</v>
      </c>
      <c r="E67" s="152">
        <f>RawData!D50/1000</f>
        <v>344.85300000000001</v>
      </c>
      <c r="F67" s="152">
        <f>RawData!E50/1000</f>
        <v>715.30899999999997</v>
      </c>
      <c r="G67" s="76">
        <f t="shared" si="4"/>
        <v>1142.2850000000001</v>
      </c>
      <c r="H67" s="173">
        <f>RawData!CF50/1000</f>
        <v>149.61799999999999</v>
      </c>
      <c r="I67" s="169">
        <f t="shared" si="5"/>
        <v>864.92699999999991</v>
      </c>
      <c r="J67" s="158"/>
      <c r="K67" s="222"/>
      <c r="L67" s="32">
        <v>696.17700000000002</v>
      </c>
      <c r="M67" s="271">
        <v>5517.1017999999995</v>
      </c>
    </row>
    <row r="68" spans="1:13">
      <c r="A68" s="142">
        <v>1993</v>
      </c>
      <c r="B68" s="83">
        <v>3038.1080000000002</v>
      </c>
      <c r="C68" s="148">
        <v>593.31299999999999</v>
      </c>
      <c r="D68" s="178">
        <f t="shared" si="3"/>
        <v>1207.2090000000001</v>
      </c>
      <c r="E68" s="152">
        <f>RawData!D51/1000</f>
        <v>394.565</v>
      </c>
      <c r="F68" s="152">
        <f>RawData!E51/1000</f>
        <v>812.64400000000001</v>
      </c>
      <c r="G68" s="76">
        <f t="shared" si="4"/>
        <v>1237.586</v>
      </c>
      <c r="H68" s="173">
        <f>RawData!CF51/1000</f>
        <v>213.02799999999999</v>
      </c>
      <c r="I68" s="169">
        <f t="shared" si="5"/>
        <v>1025.672</v>
      </c>
      <c r="J68" s="158"/>
      <c r="K68" s="222"/>
      <c r="L68" s="32">
        <v>768.39800000000002</v>
      </c>
      <c r="M68" s="271">
        <v>5784.7214999999997</v>
      </c>
    </row>
    <row r="69" spans="1:13">
      <c r="A69" s="142">
        <v>1994</v>
      </c>
      <c r="B69" s="83">
        <v>3285.576</v>
      </c>
      <c r="C69" s="148">
        <v>617.98199999999997</v>
      </c>
      <c r="D69" s="178">
        <f t="shared" si="3"/>
        <v>1243.8629999999998</v>
      </c>
      <c r="E69" s="152">
        <f>RawData!D52/1000</f>
        <v>397.70299999999997</v>
      </c>
      <c r="F69" s="152">
        <f>RawData!E52/1000</f>
        <v>846.16</v>
      </c>
      <c r="G69" s="76">
        <f t="shared" si="4"/>
        <v>1423.7310000000002</v>
      </c>
      <c r="H69" s="173">
        <f>RawData!CF52/1000</f>
        <v>205.477</v>
      </c>
      <c r="I69" s="169">
        <f t="shared" si="5"/>
        <v>1051.6369999999999</v>
      </c>
      <c r="J69" s="158"/>
      <c r="K69" s="222"/>
      <c r="L69" s="32">
        <v>757.85299999999995</v>
      </c>
      <c r="M69" s="271">
        <v>6181.2584999999999</v>
      </c>
    </row>
    <row r="70" spans="1:13">
      <c r="A70" s="142">
        <v>1995</v>
      </c>
      <c r="B70" s="83">
        <v>3916.4659999999999</v>
      </c>
      <c r="C70" s="148">
        <v>680.06600000000003</v>
      </c>
      <c r="D70" s="178">
        <f t="shared" si="3"/>
        <v>1648.002</v>
      </c>
      <c r="E70" s="152">
        <f>RawData!D53/1000</f>
        <v>546.54100000000005</v>
      </c>
      <c r="F70" s="152">
        <f>RawData!E53/1000</f>
        <v>1101.461</v>
      </c>
      <c r="G70" s="76">
        <f t="shared" si="4"/>
        <v>1588.3979999999997</v>
      </c>
      <c r="H70" s="173">
        <f>RawData!CF53/1000</f>
        <v>249.55500000000001</v>
      </c>
      <c r="I70" s="169">
        <f t="shared" si="5"/>
        <v>1351.0160000000001</v>
      </c>
      <c r="J70" s="158"/>
      <c r="K70" s="222"/>
      <c r="L70" s="32">
        <v>1005.726</v>
      </c>
      <c r="M70" s="271">
        <v>6522.3239999999996</v>
      </c>
    </row>
    <row r="71" spans="1:13">
      <c r="A71" s="142">
        <v>1996</v>
      </c>
      <c r="B71" s="83">
        <v>4495.6450000000004</v>
      </c>
      <c r="C71" s="148">
        <v>745.61900000000003</v>
      </c>
      <c r="D71" s="178">
        <f t="shared" si="3"/>
        <v>2016.5720000000001</v>
      </c>
      <c r="E71" s="152">
        <f>RawData!D54/1000</f>
        <v>675.35400000000004</v>
      </c>
      <c r="F71" s="152">
        <f>RawData!E54/1000</f>
        <v>1341.2180000000001</v>
      </c>
      <c r="G71" s="76">
        <f t="shared" si="4"/>
        <v>1733.4540000000002</v>
      </c>
      <c r="H71" s="173">
        <f>RawData!CF54/1000</f>
        <v>308.88499999999999</v>
      </c>
      <c r="I71" s="169">
        <f t="shared" si="5"/>
        <v>1650.1030000000001</v>
      </c>
      <c r="J71" s="158"/>
      <c r="K71" s="222"/>
      <c r="L71" s="32">
        <v>1229.1179999999999</v>
      </c>
      <c r="M71" s="271">
        <v>6931.6875</v>
      </c>
    </row>
    <row r="72" spans="1:13">
      <c r="A72" s="142">
        <v>1997</v>
      </c>
      <c r="B72" s="83">
        <v>5354.08</v>
      </c>
      <c r="C72" s="148">
        <v>824.13599999999997</v>
      </c>
      <c r="D72" s="178">
        <f t="shared" si="3"/>
        <v>2564.7939999999999</v>
      </c>
      <c r="E72" s="152">
        <f>RawData!D55/1000</f>
        <v>953.77</v>
      </c>
      <c r="F72" s="152">
        <f>RawData!E55/1000</f>
        <v>1611.0239999999999</v>
      </c>
      <c r="G72" s="76">
        <f t="shared" si="4"/>
        <v>1965.1499999999996</v>
      </c>
      <c r="H72" s="173">
        <f>RawData!CF55/1000</f>
        <v>286.88</v>
      </c>
      <c r="I72" s="169">
        <f t="shared" si="5"/>
        <v>1897.904</v>
      </c>
      <c r="J72" s="158"/>
      <c r="K72" s="222"/>
      <c r="L72" s="32">
        <v>1637.4079999999999</v>
      </c>
      <c r="M72" s="271">
        <v>7405.98</v>
      </c>
    </row>
    <row r="73" spans="1:13">
      <c r="A73" s="142">
        <v>1998</v>
      </c>
      <c r="B73" s="83">
        <v>5953.9089999999997</v>
      </c>
      <c r="C73" s="148">
        <v>920.04399999999998</v>
      </c>
      <c r="D73" s="178">
        <f t="shared" si="3"/>
        <v>3054.3559999999998</v>
      </c>
      <c r="E73" s="152">
        <f>RawData!D56/1000</f>
        <v>1265.0650000000001</v>
      </c>
      <c r="F73" s="152">
        <f>RawData!E56/1000</f>
        <v>1789.2909999999999</v>
      </c>
      <c r="G73" s="76">
        <f t="shared" si="4"/>
        <v>1979.509</v>
      </c>
      <c r="H73" s="173">
        <f>RawData!CF56/1000</f>
        <v>325.19299999999998</v>
      </c>
      <c r="I73" s="169">
        <f t="shared" si="5"/>
        <v>2114.4839999999999</v>
      </c>
      <c r="J73" s="158"/>
      <c r="K73" s="222"/>
      <c r="L73" s="32">
        <v>2179.0349999999999</v>
      </c>
      <c r="M73" s="271">
        <v>7875.5855000000001</v>
      </c>
    </row>
    <row r="74" spans="1:13">
      <c r="A74" s="238">
        <v>1999</v>
      </c>
      <c r="B74" s="249">
        <v>6705.4620000000004</v>
      </c>
      <c r="C74" s="225">
        <v>1101.7090000000001</v>
      </c>
      <c r="D74" s="219">
        <f t="shared" si="3"/>
        <v>3409.4669999999996</v>
      </c>
      <c r="E74" s="232">
        <f>RawData!D57/1000</f>
        <v>1624.5309999999999</v>
      </c>
      <c r="F74" s="232">
        <f>RawData!E57/1000</f>
        <v>1784.9359999999999</v>
      </c>
      <c r="G74" s="233">
        <f t="shared" si="4"/>
        <v>2194.286000000001</v>
      </c>
      <c r="H74" s="253">
        <f>RawData!CF57/1000</f>
        <v>318.29300000000001</v>
      </c>
      <c r="I74" s="235">
        <f t="shared" si="5"/>
        <v>2103.2289999999998</v>
      </c>
      <c r="J74" s="254"/>
      <c r="K74" s="237"/>
      <c r="L74" s="250">
        <v>2798.1930000000002</v>
      </c>
      <c r="M74" s="272">
        <v>8357.9668000000001</v>
      </c>
    </row>
    <row r="75" spans="1:13">
      <c r="A75" s="142">
        <v>2000</v>
      </c>
      <c r="B75" s="83">
        <v>7575.799</v>
      </c>
      <c r="C75" s="148">
        <v>1421.0170000000001</v>
      </c>
      <c r="D75" s="178">
        <f t="shared" si="3"/>
        <v>3661.1289999999999</v>
      </c>
      <c r="E75" s="152">
        <f>RawData!D58/1000</f>
        <v>1620.943</v>
      </c>
      <c r="F75" s="152">
        <f>RawData!E58/1000</f>
        <v>2040.1859999999999</v>
      </c>
      <c r="G75" s="76">
        <f t="shared" si="4"/>
        <v>2493.6530000000002</v>
      </c>
      <c r="H75" s="173">
        <f>RawData!CF58/1000</f>
        <v>323.68599999999998</v>
      </c>
      <c r="I75" s="169">
        <f t="shared" si="5"/>
        <v>2363.8719999999998</v>
      </c>
      <c r="J75" s="158"/>
      <c r="K75" s="222"/>
      <c r="L75" s="32">
        <v>2783.2350000000001</v>
      </c>
      <c r="M75" s="271">
        <v>8938.8913000000011</v>
      </c>
    </row>
    <row r="76" spans="1:13">
      <c r="A76" s="142">
        <v>2001</v>
      </c>
      <c r="B76" s="83">
        <v>8183.7129999999997</v>
      </c>
      <c r="C76" s="148">
        <v>1518.473</v>
      </c>
      <c r="D76" s="178">
        <f t="shared" si="3"/>
        <v>3934.1539999999995</v>
      </c>
      <c r="E76" s="152">
        <f>RawData!D59/1000</f>
        <v>1573.079</v>
      </c>
      <c r="F76" s="152">
        <f>RawData!E59/1000</f>
        <v>2361.0749999999998</v>
      </c>
      <c r="G76" s="76">
        <f t="shared" si="4"/>
        <v>2731.0860000000002</v>
      </c>
      <c r="H76" s="173">
        <f>RawData!CF59/1000</f>
        <v>325.92200000000003</v>
      </c>
      <c r="I76" s="169">
        <f t="shared" si="5"/>
        <v>2686.9969999999998</v>
      </c>
      <c r="J76" s="158"/>
      <c r="K76" s="222"/>
      <c r="L76" s="32">
        <v>2560.2939999999999</v>
      </c>
      <c r="M76" s="271">
        <v>9185.2099999999991</v>
      </c>
    </row>
    <row r="77" spans="1:13">
      <c r="A77" s="142">
        <v>2002</v>
      </c>
      <c r="B77" s="83">
        <v>8693.7099999999991</v>
      </c>
      <c r="C77" s="148">
        <v>1499.952</v>
      </c>
      <c r="D77" s="178">
        <f t="shared" si="3"/>
        <v>4049.1880000000001</v>
      </c>
      <c r="E77" s="152">
        <f>RawData!D60/1000</f>
        <v>1328.771</v>
      </c>
      <c r="F77" s="152">
        <f>RawData!E60/1000</f>
        <v>2720.4169999999999</v>
      </c>
      <c r="G77" s="76">
        <f t="shared" si="4"/>
        <v>3144.5699999999988</v>
      </c>
      <c r="H77" s="173">
        <f>RawData!CF60/1000</f>
        <v>423.97699999999998</v>
      </c>
      <c r="I77" s="169">
        <f t="shared" si="5"/>
        <v>3144.3939999999998</v>
      </c>
      <c r="J77" s="158"/>
      <c r="K77" s="158"/>
      <c r="L77" s="32">
        <v>2021.817</v>
      </c>
      <c r="M77" s="271">
        <v>9408.5253000000012</v>
      </c>
    </row>
    <row r="78" spans="1:13">
      <c r="A78" s="142">
        <v>2003</v>
      </c>
      <c r="B78" s="83">
        <v>9731.8799999999992</v>
      </c>
      <c r="C78" s="148">
        <v>1580.9939999999999</v>
      </c>
      <c r="D78" s="178">
        <f t="shared" si="3"/>
        <v>4980.7690000000002</v>
      </c>
      <c r="E78" s="152">
        <f>RawData!D61/1000</f>
        <v>1838.8789999999999</v>
      </c>
      <c r="F78" s="152">
        <f>RawData!E61/1000</f>
        <v>3141.89</v>
      </c>
      <c r="G78" s="76">
        <f t="shared" si="4"/>
        <v>3170.1169999999993</v>
      </c>
      <c r="H78" s="173">
        <f>RawData!CF61/1000</f>
        <v>461.57100000000003</v>
      </c>
      <c r="I78" s="169">
        <f t="shared" si="5"/>
        <v>3603.4609999999998</v>
      </c>
      <c r="J78" s="158"/>
      <c r="K78" s="158"/>
      <c r="L78" s="32">
        <v>2454.877</v>
      </c>
      <c r="M78" s="271">
        <v>9840.1749999999993</v>
      </c>
    </row>
    <row r="79" spans="1:13">
      <c r="A79" s="142">
        <v>2004</v>
      </c>
      <c r="B79" s="83">
        <v>11593.66</v>
      </c>
      <c r="C79" s="148">
        <v>1742.7159999999999</v>
      </c>
      <c r="D79" s="178">
        <f t="shared" si="3"/>
        <v>5971.9140000000007</v>
      </c>
      <c r="E79" s="152">
        <f>RawData!D62/1000</f>
        <v>2124.3580000000002</v>
      </c>
      <c r="F79" s="152">
        <f>RawData!E62/1000</f>
        <v>3847.556</v>
      </c>
      <c r="G79" s="76">
        <f t="shared" si="4"/>
        <v>3879.0299999999988</v>
      </c>
      <c r="H79" s="173">
        <f>RawData!CF62/1000</f>
        <v>633.952</v>
      </c>
      <c r="I79" s="169">
        <f t="shared" si="5"/>
        <v>4481.5079999999998</v>
      </c>
      <c r="J79" s="158"/>
      <c r="K79" s="158"/>
      <c r="L79" s="32">
        <v>2717.3829999999998</v>
      </c>
      <c r="M79" s="271">
        <v>10534.0535</v>
      </c>
    </row>
    <row r="80" spans="1:13">
      <c r="A80" s="142">
        <v>2005</v>
      </c>
      <c r="B80" s="83">
        <v>12761.587</v>
      </c>
      <c r="C80" s="148">
        <v>1905.979</v>
      </c>
      <c r="D80" s="178">
        <f t="shared" si="3"/>
        <v>6733.3159999999998</v>
      </c>
      <c r="E80" s="152">
        <f>RawData!D63/1000</f>
        <v>2308.9340000000002</v>
      </c>
      <c r="F80" s="152">
        <f>RawData!E63/1000</f>
        <v>4424.3819999999996</v>
      </c>
      <c r="G80" s="76">
        <f t="shared" si="4"/>
        <v>4122.2920000000004</v>
      </c>
      <c r="H80" s="173">
        <f>RawData!CF63/1000</f>
        <v>579.44100000000003</v>
      </c>
      <c r="I80" s="169">
        <f t="shared" si="5"/>
        <v>5003.8229999999994</v>
      </c>
      <c r="J80" s="158"/>
      <c r="K80" s="31">
        <v>1132.114</v>
      </c>
      <c r="L80" s="32">
        <v>2817.97</v>
      </c>
      <c r="M80" s="271">
        <v>11273.826800000001</v>
      </c>
    </row>
    <row r="81" spans="1:13">
      <c r="A81" s="142">
        <v>2006</v>
      </c>
      <c r="B81" s="83">
        <v>15440.630999999999</v>
      </c>
      <c r="C81" s="148">
        <v>2154.0619999999999</v>
      </c>
      <c r="D81" s="178">
        <f t="shared" si="3"/>
        <v>8221.7380000000012</v>
      </c>
      <c r="E81" s="152">
        <f>RawData!D64/1000</f>
        <v>2787.3429999999998</v>
      </c>
      <c r="F81" s="152">
        <f>RawData!E64/1000</f>
        <v>5434.3950000000004</v>
      </c>
      <c r="G81" s="76">
        <f t="shared" si="4"/>
        <v>5064.8309999999983</v>
      </c>
      <c r="H81" s="173">
        <f>RawData!CF64/1000</f>
        <v>622.61800000000005</v>
      </c>
      <c r="I81" s="169">
        <f t="shared" si="5"/>
        <v>6057.0130000000008</v>
      </c>
      <c r="J81" s="158"/>
      <c r="K81" s="32">
        <v>1179.1590000000001</v>
      </c>
      <c r="L81" s="32">
        <v>3293.0529999999999</v>
      </c>
      <c r="M81" s="271">
        <v>12031.229300000001</v>
      </c>
    </row>
    <row r="82" spans="1:13">
      <c r="A82" s="142">
        <v>2007</v>
      </c>
      <c r="B82" s="83">
        <v>17707.821</v>
      </c>
      <c r="C82" s="148">
        <v>2345.9229999999998</v>
      </c>
      <c r="D82" s="178">
        <f t="shared" si="3"/>
        <v>9484.6759999999995</v>
      </c>
      <c r="E82" s="152">
        <f>RawData!D65/1000</f>
        <v>3231.8319999999999</v>
      </c>
      <c r="F82" s="152">
        <f>RawData!E65/1000</f>
        <v>6252.8440000000001</v>
      </c>
      <c r="G82" s="76">
        <f t="shared" si="4"/>
        <v>5877.2220000000016</v>
      </c>
      <c r="H82" s="173">
        <f>RawData!CF65/1000</f>
        <v>804.476</v>
      </c>
      <c r="I82" s="169">
        <f t="shared" si="5"/>
        <v>7057.32</v>
      </c>
      <c r="J82" s="158"/>
      <c r="K82" s="32">
        <v>2487.86</v>
      </c>
      <c r="L82" s="32">
        <v>3551.3069999999998</v>
      </c>
      <c r="M82" s="271">
        <v>12396.422</v>
      </c>
    </row>
    <row r="83" spans="1:13">
      <c r="A83" s="142">
        <v>2008</v>
      </c>
      <c r="B83" s="83">
        <v>16757.060000000001</v>
      </c>
      <c r="C83" s="148">
        <v>2397.3960000000002</v>
      </c>
      <c r="D83" s="178">
        <f t="shared" ref="D83:D87" si="6">E83+F83</f>
        <v>8276.2219999999998</v>
      </c>
      <c r="E83" s="152">
        <f>RawData!D66/1000</f>
        <v>2115.348</v>
      </c>
      <c r="F83" s="152">
        <f>RawData!E66/1000</f>
        <v>6160.8739999999998</v>
      </c>
      <c r="G83" s="76">
        <f t="shared" si="4"/>
        <v>6083.4420000000009</v>
      </c>
      <c r="H83" s="173">
        <f>RawData!CF66/1000</f>
        <v>1099.95</v>
      </c>
      <c r="I83" s="169">
        <f t="shared" si="5"/>
        <v>7260.8239999999996</v>
      </c>
      <c r="J83" s="158"/>
      <c r="K83" s="32">
        <v>5967.8149999999996</v>
      </c>
      <c r="L83" s="32">
        <v>2486.4459999999999</v>
      </c>
      <c r="M83" s="271">
        <v>12557.8025</v>
      </c>
    </row>
    <row r="84" spans="1:13">
      <c r="A84" s="255">
        <v>2009</v>
      </c>
      <c r="B84" s="249">
        <v>17470.017</v>
      </c>
      <c r="C84" s="225">
        <v>2398.2080000000001</v>
      </c>
      <c r="D84" s="219">
        <f t="shared" si="6"/>
        <v>9503.8230000000003</v>
      </c>
      <c r="E84" s="232">
        <f>RawData!D67/1000</f>
        <v>2922.8020000000001</v>
      </c>
      <c r="F84" s="232">
        <f>RawData!E67/1000</f>
        <v>6581.0209999999997</v>
      </c>
      <c r="G84" s="256">
        <f t="shared" si="4"/>
        <v>5567.985999999999</v>
      </c>
      <c r="H84" s="253">
        <f>RawData!CF67/1000</f>
        <v>979.01700000000005</v>
      </c>
      <c r="I84" s="235">
        <f t="shared" si="5"/>
        <v>7560.0379999999996</v>
      </c>
      <c r="J84" s="236"/>
      <c r="K84" s="227">
        <v>3363.444</v>
      </c>
      <c r="L84" s="250">
        <v>2995.4589999999998</v>
      </c>
      <c r="M84" s="272">
        <v>12225.053</v>
      </c>
    </row>
    <row r="85" spans="1:13">
      <c r="A85" s="160">
        <v>2010</v>
      </c>
      <c r="B85" s="83">
        <v>19230.080999999998</v>
      </c>
      <c r="C85" s="148">
        <v>2597.7069999999999</v>
      </c>
      <c r="D85" s="178">
        <f t="shared" si="6"/>
        <v>10985.405000000001</v>
      </c>
      <c r="E85" s="152">
        <f>RawData!D68/1000</f>
        <v>3590.7840000000001</v>
      </c>
      <c r="F85" s="152">
        <f>RawData!E68/1000</f>
        <v>7394.6210000000001</v>
      </c>
      <c r="G85" s="171">
        <f t="shared" si="4"/>
        <v>5646.9689999999991</v>
      </c>
      <c r="H85" s="173">
        <f>RawData!CF68/1000</f>
        <v>921.56600000000003</v>
      </c>
      <c r="I85" s="169">
        <f t="shared" si="5"/>
        <v>8316.1869999999999</v>
      </c>
      <c r="J85" s="159"/>
      <c r="K85" s="31">
        <v>3541.931</v>
      </c>
      <c r="L85" s="32">
        <v>3397.4110000000001</v>
      </c>
      <c r="M85" s="271">
        <v>12821.625300000002</v>
      </c>
    </row>
    <row r="86" spans="1:13">
      <c r="A86" s="160">
        <v>2011</v>
      </c>
      <c r="B86" s="83">
        <v>20584.205999999998</v>
      </c>
      <c r="C86" s="148">
        <v>2908.7910000000002</v>
      </c>
      <c r="D86" s="179">
        <f t="shared" si="6"/>
        <v>11561.196</v>
      </c>
      <c r="E86" s="152">
        <f>RawData!D69/1000</f>
        <v>3829.8960000000002</v>
      </c>
      <c r="F86" s="152">
        <f>RawData!E69/1000</f>
        <v>7731.3</v>
      </c>
      <c r="G86" s="171">
        <f t="shared" si="4"/>
        <v>6114.2189999999973</v>
      </c>
      <c r="H86" s="173">
        <f>RawData!CF69/1000</f>
        <v>878.38</v>
      </c>
      <c r="I86" s="169">
        <f t="shared" si="5"/>
        <v>8609.68</v>
      </c>
      <c r="J86" s="159"/>
      <c r="K86" s="31">
        <v>4578.4139999999998</v>
      </c>
      <c r="L86" s="32">
        <v>3509.3589999999999</v>
      </c>
      <c r="M86" s="271">
        <v>13358.887500000001</v>
      </c>
    </row>
    <row r="87" spans="1:13" ht="16" thickBot="1">
      <c r="A87" s="161">
        <v>2012</v>
      </c>
      <c r="B87" s="85">
        <v>21614.364000000001</v>
      </c>
      <c r="C87" s="162">
        <v>3070.3829999999998</v>
      </c>
      <c r="D87" s="180">
        <f t="shared" si="6"/>
        <v>12450.544</v>
      </c>
      <c r="E87" s="164">
        <f>RawData!D70/1000</f>
        <v>4237.3580000000002</v>
      </c>
      <c r="F87" s="164">
        <f>RawData!E70/1000</f>
        <v>8213.1859999999997</v>
      </c>
      <c r="G87" s="165">
        <f t="shared" si="4"/>
        <v>6093.4369999999999</v>
      </c>
      <c r="H87" s="174">
        <f>RawData!CF70/1000</f>
        <v>810.726</v>
      </c>
      <c r="I87" s="170">
        <f t="shared" si="5"/>
        <v>9023.9120000000003</v>
      </c>
      <c r="J87" s="166"/>
      <c r="K87" s="38">
        <v>3561.9850000000001</v>
      </c>
      <c r="L87" s="36">
        <v>3931.9760000000001</v>
      </c>
      <c r="M87" s="273">
        <v>13875.9</v>
      </c>
    </row>
    <row r="88" spans="1:13" ht="31" customHeight="1" thickTop="1">
      <c r="B88" s="479" t="s">
        <v>172</v>
      </c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1"/>
    </row>
    <row r="89" spans="1:13">
      <c r="A89" s="132">
        <v>1853</v>
      </c>
      <c r="B89" s="181">
        <f>B10/$M10</f>
        <v>9.3874102239121252E-2</v>
      </c>
      <c r="C89" s="182"/>
      <c r="D89" s="214"/>
      <c r="E89" s="183"/>
      <c r="F89" s="183"/>
      <c r="G89" s="184">
        <f t="shared" ref="G89:H91" si="7">G10/$M10</f>
        <v>0</v>
      </c>
      <c r="H89" s="183">
        <f t="shared" si="7"/>
        <v>0</v>
      </c>
      <c r="I89" s="185"/>
      <c r="J89" s="183">
        <f>J10/$M10</f>
        <v>1.1406844106463879E-2</v>
      </c>
      <c r="K89" s="183"/>
      <c r="L89" s="183"/>
      <c r="M89" s="209">
        <f>M10/$M10</f>
        <v>1</v>
      </c>
    </row>
    <row r="90" spans="1:13">
      <c r="A90" s="132">
        <v>1869</v>
      </c>
      <c r="B90" s="181">
        <f>B11/$M11</f>
        <v>0.19648059015362854</v>
      </c>
      <c r="C90" s="182"/>
      <c r="D90" s="215"/>
      <c r="E90" s="187"/>
      <c r="F90" s="187"/>
      <c r="G90" s="184">
        <f t="shared" si="7"/>
        <v>1.31821932340576E-2</v>
      </c>
      <c r="H90" s="188">
        <f t="shared" si="7"/>
        <v>1.31821932340576E-2</v>
      </c>
      <c r="I90" s="184"/>
      <c r="J90" s="187">
        <f>J11/$M11</f>
        <v>0.13182193234057599</v>
      </c>
      <c r="K90" s="187"/>
      <c r="L90" s="187"/>
      <c r="M90" s="210">
        <f>M11/$M11</f>
        <v>1</v>
      </c>
    </row>
    <row r="91" spans="1:13">
      <c r="A91" s="132">
        <v>1899</v>
      </c>
      <c r="B91" s="181">
        <f>B12/$M12</f>
        <v>0.19733333333333333</v>
      </c>
      <c r="C91" s="182"/>
      <c r="D91" s="214"/>
      <c r="E91" s="189"/>
      <c r="F91" s="189"/>
      <c r="G91" s="184">
        <f t="shared" si="7"/>
        <v>0</v>
      </c>
      <c r="H91" s="189">
        <f t="shared" si="7"/>
        <v>0</v>
      </c>
      <c r="I91" s="190"/>
      <c r="J91" s="189">
        <f>J12/$M12</f>
        <v>6.2745098039215688E-4</v>
      </c>
      <c r="K91" s="189"/>
      <c r="L91" s="189"/>
      <c r="M91" s="211">
        <f>M12/$M12</f>
        <v>1</v>
      </c>
    </row>
    <row r="92" spans="1:13">
      <c r="A92" s="238">
        <v>1914</v>
      </c>
      <c r="B92" s="257">
        <f t="shared" ref="B92:M92" si="8">B13/$M13</f>
        <v>0.24914644951689799</v>
      </c>
      <c r="C92" s="258">
        <f t="shared" si="8"/>
        <v>5.5278342685962607E-2</v>
      </c>
      <c r="D92" s="259">
        <f t="shared" si="8"/>
        <v>0.17745529724484196</v>
      </c>
      <c r="E92" s="260">
        <f t="shared" si="8"/>
        <v>5.5803552592717597E-2</v>
      </c>
      <c r="F92" s="260">
        <f t="shared" si="8"/>
        <v>0.12165174465212435</v>
      </c>
      <c r="G92" s="261">
        <f t="shared" si="8"/>
        <v>1.641280958609341E-2</v>
      </c>
      <c r="H92" s="260">
        <f t="shared" si="8"/>
        <v>1.641280958609341E-2</v>
      </c>
      <c r="I92" s="262"/>
      <c r="J92" s="260">
        <f t="shared" si="8"/>
        <v>3.2825619172186822E-4</v>
      </c>
      <c r="K92" s="260"/>
      <c r="L92" s="260"/>
      <c r="M92" s="263">
        <f t="shared" si="8"/>
        <v>1</v>
      </c>
    </row>
    <row r="93" spans="1:13">
      <c r="A93" s="142">
        <v>1918</v>
      </c>
      <c r="B93" s="192">
        <f t="shared" ref="B93:M93" si="9">B14/$M14</f>
        <v>4.8770449782282455E-2</v>
      </c>
      <c r="C93" s="193">
        <f t="shared" si="9"/>
        <v>1.668462755709663E-2</v>
      </c>
      <c r="D93" s="195">
        <f t="shared" si="9"/>
        <v>3.2085822225185828E-2</v>
      </c>
      <c r="E93" s="189"/>
      <c r="F93" s="189"/>
      <c r="G93" s="194">
        <f t="shared" si="9"/>
        <v>0</v>
      </c>
      <c r="H93" s="189">
        <f t="shared" si="9"/>
        <v>0</v>
      </c>
      <c r="I93" s="190"/>
      <c r="J93" s="189"/>
      <c r="K93" s="189"/>
      <c r="L93" s="189"/>
      <c r="M93" s="211">
        <f t="shared" si="9"/>
        <v>1</v>
      </c>
    </row>
    <row r="94" spans="1:13">
      <c r="A94" s="142">
        <v>1924</v>
      </c>
      <c r="B94" s="192">
        <f t="shared" ref="B94:M94" si="10">B15/$M15</f>
        <v>4.908779534709324E-2</v>
      </c>
      <c r="C94" s="193">
        <f t="shared" si="10"/>
        <v>1.2246827140075718E-2</v>
      </c>
      <c r="D94" s="195">
        <f t="shared" si="10"/>
        <v>2.4280119858221913E-2</v>
      </c>
      <c r="E94" s="189">
        <f t="shared" si="10"/>
        <v>1.2096096959890171E-2</v>
      </c>
      <c r="F94" s="189">
        <f t="shared" si="10"/>
        <v>1.2184022898331742E-2</v>
      </c>
      <c r="G94" s="194">
        <f t="shared" si="10"/>
        <v>1.256084834879561E-2</v>
      </c>
      <c r="H94" s="189">
        <f t="shared" si="10"/>
        <v>1.256084834879561E-2</v>
      </c>
      <c r="I94" s="190"/>
      <c r="J94" s="189"/>
      <c r="K94" s="189"/>
      <c r="L94" s="189"/>
      <c r="M94" s="211">
        <f t="shared" si="10"/>
        <v>1</v>
      </c>
    </row>
    <row r="95" spans="1:13">
      <c r="A95" s="142">
        <v>1929</v>
      </c>
      <c r="B95" s="192">
        <f t="shared" ref="B95:M95" si="11">B16/$M16</f>
        <v>6.1874334398296059E-2</v>
      </c>
      <c r="C95" s="193">
        <f t="shared" si="11"/>
        <v>1.5814696485623003E-2</v>
      </c>
      <c r="D95" s="195">
        <f t="shared" si="11"/>
        <v>4.6059637912673056E-2</v>
      </c>
      <c r="E95" s="189">
        <f t="shared" si="11"/>
        <v>3.1735090521831738E-2</v>
      </c>
      <c r="F95" s="189">
        <f t="shared" si="11"/>
        <v>1.4324547390841319E-2</v>
      </c>
      <c r="G95" s="194">
        <f t="shared" si="11"/>
        <v>0</v>
      </c>
      <c r="H95" s="189">
        <f t="shared" si="11"/>
        <v>0</v>
      </c>
      <c r="I95" s="190"/>
      <c r="J95" s="189"/>
      <c r="K95" s="189"/>
      <c r="L95" s="189"/>
      <c r="M95" s="211">
        <f t="shared" si="11"/>
        <v>1</v>
      </c>
    </row>
    <row r="96" spans="1:13">
      <c r="A96" s="142">
        <v>1934</v>
      </c>
      <c r="B96" s="192">
        <f t="shared" ref="B96:M96" si="12">B17/$M17</f>
        <v>0.10573149741824441</v>
      </c>
      <c r="C96" s="193">
        <f t="shared" si="12"/>
        <v>3.098106712564544E-2</v>
      </c>
      <c r="D96" s="195">
        <f t="shared" si="12"/>
        <v>5.4096385542168668E-2</v>
      </c>
      <c r="E96" s="189">
        <f t="shared" si="12"/>
        <v>2.7538726333907058E-2</v>
      </c>
      <c r="F96" s="189">
        <f t="shared" si="12"/>
        <v>2.6557659208261614E-2</v>
      </c>
      <c r="G96" s="194">
        <f t="shared" si="12"/>
        <v>2.0654044750430291E-2</v>
      </c>
      <c r="H96" s="189">
        <f t="shared" si="12"/>
        <v>2.0654044750430291E-2</v>
      </c>
      <c r="I96" s="190"/>
      <c r="J96" s="189"/>
      <c r="K96" s="189"/>
      <c r="L96" s="189"/>
      <c r="M96" s="211">
        <f t="shared" si="12"/>
        <v>1</v>
      </c>
    </row>
    <row r="97" spans="1:13">
      <c r="A97" s="238">
        <v>1937</v>
      </c>
      <c r="B97" s="257">
        <f t="shared" ref="B97:M97" si="13">B18/$M18</f>
        <v>9.8523409363745484E-2</v>
      </c>
      <c r="C97" s="258">
        <f t="shared" si="13"/>
        <v>2.2605042016806725E-2</v>
      </c>
      <c r="D97" s="259">
        <f t="shared" si="13"/>
        <v>6.1512605042016805E-2</v>
      </c>
      <c r="E97" s="260"/>
      <c r="F97" s="260"/>
      <c r="G97" s="261">
        <f t="shared" si="13"/>
        <v>1.4405762304921969E-2</v>
      </c>
      <c r="H97" s="260">
        <f t="shared" si="13"/>
        <v>1.4405762304921969E-2</v>
      </c>
      <c r="I97" s="262"/>
      <c r="J97" s="260"/>
      <c r="K97" s="260"/>
      <c r="L97" s="260"/>
      <c r="M97" s="263">
        <f t="shared" si="13"/>
        <v>1</v>
      </c>
    </row>
    <row r="98" spans="1:13">
      <c r="A98" s="142">
        <v>1941</v>
      </c>
      <c r="B98" s="192">
        <f t="shared" ref="B98:M98" si="14">B19/$M19</f>
        <v>6.9657167530224523E-2</v>
      </c>
      <c r="C98" s="193">
        <f t="shared" si="14"/>
        <v>1.9861830742659757E-2</v>
      </c>
      <c r="D98" s="195">
        <f t="shared" si="14"/>
        <v>3.0797063903281522E-2</v>
      </c>
      <c r="E98" s="189">
        <f t="shared" si="14"/>
        <v>1.8555267702936095E-2</v>
      </c>
      <c r="F98" s="189">
        <f t="shared" si="14"/>
        <v>1.2241796200345424E-2</v>
      </c>
      <c r="G98" s="194">
        <f t="shared" si="14"/>
        <v>1.8998272884283247E-2</v>
      </c>
      <c r="H98" s="189">
        <f t="shared" si="14"/>
        <v>0</v>
      </c>
      <c r="I98" s="190"/>
      <c r="J98" s="189"/>
      <c r="K98" s="189"/>
      <c r="L98" s="189"/>
      <c r="M98" s="211">
        <f t="shared" si="14"/>
        <v>1</v>
      </c>
    </row>
    <row r="99" spans="1:13">
      <c r="A99" s="142">
        <v>1945</v>
      </c>
      <c r="B99" s="192">
        <f t="shared" ref="B99:M99" si="15">B20/$M20</f>
        <v>8.2304589006555726E-2</v>
      </c>
      <c r="C99" s="193">
        <f t="shared" si="15"/>
        <v>1.2642460917801312E-2</v>
      </c>
      <c r="D99" s="195">
        <f t="shared" si="15"/>
        <v>2.808023237624941E-2</v>
      </c>
      <c r="E99" s="189">
        <f t="shared" si="15"/>
        <v>1.3615733736762481E-2</v>
      </c>
      <c r="F99" s="189">
        <f t="shared" si="15"/>
        <v>1.4464498639486926E-2</v>
      </c>
      <c r="G99" s="194">
        <f t="shared" si="15"/>
        <v>4.1581895712505007E-2</v>
      </c>
      <c r="H99" s="189">
        <f t="shared" si="15"/>
        <v>-1.0909410507086636E-3</v>
      </c>
      <c r="I99" s="190">
        <f t="shared" si="15"/>
        <v>1.3373557588778263E-2</v>
      </c>
      <c r="J99" s="189"/>
      <c r="K99" s="189"/>
      <c r="L99" s="189"/>
      <c r="M99" s="211">
        <f t="shared" si="15"/>
        <v>1</v>
      </c>
    </row>
    <row r="100" spans="1:13">
      <c r="A100" s="142">
        <v>1946</v>
      </c>
      <c r="B100" s="192">
        <f t="shared" ref="B100:M100" si="16">B21/$M21</f>
        <v>7.6087613293051359E-2</v>
      </c>
      <c r="C100" s="193">
        <f t="shared" si="16"/>
        <v>1.2603222557905339E-2</v>
      </c>
      <c r="D100" s="195">
        <f t="shared" si="16"/>
        <v>2.7060745767342877E-2</v>
      </c>
      <c r="E100" s="189">
        <f t="shared" si="16"/>
        <v>1.3544813695871098E-2</v>
      </c>
      <c r="F100" s="189">
        <f t="shared" si="16"/>
        <v>1.3515932071471781E-2</v>
      </c>
      <c r="G100" s="194">
        <f t="shared" si="16"/>
        <v>3.6423644967803148E-2</v>
      </c>
      <c r="H100" s="189">
        <f t="shared" si="16"/>
        <v>0</v>
      </c>
      <c r="I100" s="190">
        <f t="shared" si="16"/>
        <v>1.0219448666383246E-2</v>
      </c>
      <c r="J100" s="189"/>
      <c r="K100" s="189"/>
      <c r="L100" s="189"/>
      <c r="M100" s="211">
        <f t="shared" si="16"/>
        <v>1</v>
      </c>
    </row>
    <row r="101" spans="1:13">
      <c r="A101" s="142">
        <v>1947</v>
      </c>
      <c r="B101" s="192">
        <f t="shared" ref="B101:M101" si="17">B22/$M22</f>
        <v>6.2773925104022188E-2</v>
      </c>
      <c r="C101" s="193">
        <f t="shared" si="17"/>
        <v>1.2034211742949608E-2</v>
      </c>
      <c r="D101" s="195">
        <f t="shared" si="17"/>
        <v>2.307918401815175E-2</v>
      </c>
      <c r="E101" s="189">
        <f t="shared" si="17"/>
        <v>1.1465557096625056E-2</v>
      </c>
      <c r="F101" s="189">
        <f t="shared" si="17"/>
        <v>1.161362692152669E-2</v>
      </c>
      <c r="G101" s="194">
        <f t="shared" si="17"/>
        <v>2.766052934292083E-2</v>
      </c>
      <c r="H101" s="189">
        <f t="shared" si="17"/>
        <v>3.5219183215441901E-4</v>
      </c>
      <c r="I101" s="274">
        <f t="shared" si="17"/>
        <v>1.1965818753681108E-2</v>
      </c>
      <c r="J101" s="189"/>
      <c r="K101" s="189"/>
      <c r="L101" s="189"/>
      <c r="M101" s="211">
        <f t="shared" si="17"/>
        <v>1</v>
      </c>
    </row>
    <row r="102" spans="1:13">
      <c r="A102" s="142">
        <v>1948</v>
      </c>
      <c r="B102" s="192">
        <f t="shared" ref="B102:M102" si="18">B23/$M23</f>
        <v>5.8425391591096457E-2</v>
      </c>
      <c r="C102" s="193">
        <f t="shared" si="18"/>
        <v>1.1488046166529266E-2</v>
      </c>
      <c r="D102" s="195">
        <f t="shared" si="18"/>
        <v>1.9191436562290238E-2</v>
      </c>
      <c r="E102" s="189">
        <f t="shared" si="18"/>
        <v>9.5012366034624898E-3</v>
      </c>
      <c r="F102" s="189">
        <f t="shared" si="18"/>
        <v>9.6901999588277447E-3</v>
      </c>
      <c r="G102" s="194">
        <f t="shared" si="18"/>
        <v>2.7745908862276954E-2</v>
      </c>
      <c r="H102" s="189">
        <f t="shared" si="18"/>
        <v>1.3324025115419118E-3</v>
      </c>
      <c r="I102" s="190">
        <f t="shared" si="18"/>
        <v>1.1022602470369656E-2</v>
      </c>
      <c r="J102" s="189"/>
      <c r="K102" s="189"/>
      <c r="L102" s="189"/>
      <c r="M102" s="211">
        <f t="shared" si="18"/>
        <v>1</v>
      </c>
    </row>
    <row r="103" spans="1:13">
      <c r="A103" s="223">
        <v>1949</v>
      </c>
      <c r="B103" s="257">
        <f t="shared" ref="B103:M103" si="19">B24/$M24</f>
        <v>6.1073684210526322E-2</v>
      </c>
      <c r="C103" s="258">
        <f t="shared" si="19"/>
        <v>1.2383157894736841E-2</v>
      </c>
      <c r="D103" s="259">
        <f t="shared" si="19"/>
        <v>1.9747368421052632E-2</v>
      </c>
      <c r="E103" s="260">
        <f t="shared" si="19"/>
        <v>1.048421052631579E-2</v>
      </c>
      <c r="F103" s="260">
        <f t="shared" si="19"/>
        <v>9.2631578947368429E-3</v>
      </c>
      <c r="G103" s="261">
        <f t="shared" si="19"/>
        <v>2.8943157894736841E-2</v>
      </c>
      <c r="H103" s="260">
        <f t="shared" si="19"/>
        <v>2.805234714068672E-3</v>
      </c>
      <c r="I103" s="262">
        <f t="shared" si="19"/>
        <v>1.2068392608805515E-2</v>
      </c>
      <c r="J103" s="260"/>
      <c r="K103" s="260"/>
      <c r="L103" s="260"/>
      <c r="M103" s="263">
        <f t="shared" si="19"/>
        <v>1</v>
      </c>
    </row>
    <row r="104" spans="1:13">
      <c r="A104" s="151">
        <v>1950</v>
      </c>
      <c r="B104" s="192">
        <f t="shared" ref="B104:M104" si="20">B25/$M25</f>
        <v>6.5331564986737409E-2</v>
      </c>
      <c r="C104" s="193">
        <f t="shared" si="20"/>
        <v>1.2849564228874575E-2</v>
      </c>
      <c r="D104" s="195">
        <f t="shared" si="20"/>
        <v>1.9957439035644061E-2</v>
      </c>
      <c r="E104" s="189">
        <f t="shared" si="20"/>
        <v>1.1083743842364532E-2</v>
      </c>
      <c r="F104" s="189">
        <f t="shared" si="20"/>
        <v>8.8736951932795304E-3</v>
      </c>
      <c r="G104" s="194">
        <f t="shared" si="20"/>
        <v>3.2524561722218764E-2</v>
      </c>
      <c r="H104" s="189">
        <f t="shared" si="20"/>
        <v>6.6527426026565441E-3</v>
      </c>
      <c r="I104" s="190">
        <f t="shared" si="20"/>
        <v>1.5526437795936075E-2</v>
      </c>
      <c r="J104" s="189"/>
      <c r="K104" s="189"/>
      <c r="L104" s="189"/>
      <c r="M104" s="211">
        <f t="shared" si="20"/>
        <v>1</v>
      </c>
    </row>
    <row r="105" spans="1:13">
      <c r="A105" s="151">
        <v>1951</v>
      </c>
      <c r="B105" s="192">
        <f t="shared" ref="B105:M105" si="21">B26/$M26</f>
        <v>6.0799868334430546E-2</v>
      </c>
      <c r="C105" s="193">
        <f t="shared" si="21"/>
        <v>1.2040816326530611E-2</v>
      </c>
      <c r="D105" s="195">
        <f t="shared" si="21"/>
        <v>1.9561131908320938E-2</v>
      </c>
      <c r="E105" s="189">
        <f t="shared" si="21"/>
        <v>1.1356155365371955E-2</v>
      </c>
      <c r="F105" s="189">
        <f t="shared" si="21"/>
        <v>8.2049765429489819E-3</v>
      </c>
      <c r="G105" s="194">
        <f t="shared" si="21"/>
        <v>2.9197920099578997E-2</v>
      </c>
      <c r="H105" s="189">
        <f t="shared" si="21"/>
        <v>5.4921821396745705E-3</v>
      </c>
      <c r="I105" s="190">
        <f t="shared" si="21"/>
        <v>1.3697158682623552E-2</v>
      </c>
      <c r="J105" s="189"/>
      <c r="K105" s="189"/>
      <c r="L105" s="189"/>
      <c r="M105" s="211">
        <f t="shared" si="21"/>
        <v>1</v>
      </c>
    </row>
    <row r="106" spans="1:13">
      <c r="A106" s="151">
        <v>1952</v>
      </c>
      <c r="B106" s="192">
        <f t="shared" ref="B106:M106" si="22">B27/$M27</f>
        <v>6.3772175536881415E-2</v>
      </c>
      <c r="C106" s="193">
        <f t="shared" si="22"/>
        <v>1.2278244631185807E-2</v>
      </c>
      <c r="D106" s="195">
        <f t="shared" si="22"/>
        <v>1.9789292973184935E-2</v>
      </c>
      <c r="E106" s="189">
        <f t="shared" si="22"/>
        <v>1.1531279178338003E-2</v>
      </c>
      <c r="F106" s="189">
        <f t="shared" si="22"/>
        <v>8.2580137948469329E-3</v>
      </c>
      <c r="G106" s="194">
        <f t="shared" si="22"/>
        <v>3.1704637932510667E-2</v>
      </c>
      <c r="H106" s="189">
        <f t="shared" si="22"/>
        <v>5.333523499664366E-3</v>
      </c>
      <c r="I106" s="190">
        <f t="shared" si="22"/>
        <v>1.35915372945113E-2</v>
      </c>
      <c r="J106" s="189"/>
      <c r="K106" s="189"/>
      <c r="L106" s="189"/>
      <c r="M106" s="211">
        <f t="shared" si="22"/>
        <v>1</v>
      </c>
    </row>
    <row r="107" spans="1:13">
      <c r="A107" s="151">
        <v>1953</v>
      </c>
      <c r="B107" s="192">
        <f t="shared" ref="B107:M107" si="23">B28/$M28</f>
        <v>6.363260484347312E-2</v>
      </c>
      <c r="C107" s="193">
        <f t="shared" si="23"/>
        <v>1.2554636739515653E-2</v>
      </c>
      <c r="D107" s="195">
        <f t="shared" si="23"/>
        <v>1.9120728494568369E-2</v>
      </c>
      <c r="E107" s="189">
        <f t="shared" si="23"/>
        <v>1.0779681039574718E-2</v>
      </c>
      <c r="F107" s="189">
        <f t="shared" si="23"/>
        <v>8.3410474549936511E-3</v>
      </c>
      <c r="G107" s="194">
        <f t="shared" si="23"/>
        <v>3.1957239609389093E-2</v>
      </c>
      <c r="H107" s="189">
        <f t="shared" si="23"/>
        <v>6.2485554057533062E-3</v>
      </c>
      <c r="I107" s="190">
        <f t="shared" si="23"/>
        <v>1.4589602860746956E-2</v>
      </c>
      <c r="J107" s="189"/>
      <c r="K107" s="189"/>
      <c r="L107" s="189"/>
      <c r="M107" s="211">
        <f t="shared" si="23"/>
        <v>1</v>
      </c>
    </row>
    <row r="108" spans="1:13">
      <c r="A108" s="151">
        <v>1954</v>
      </c>
      <c r="B108" s="192">
        <f t="shared" ref="B108:M108" si="24">B29/$M29</f>
        <v>7.2633599055211107E-2</v>
      </c>
      <c r="C108" s="193">
        <f t="shared" si="24"/>
        <v>1.367877177443165E-2</v>
      </c>
      <c r="D108" s="195">
        <f t="shared" si="24"/>
        <v>2.4388176536697996E-2</v>
      </c>
      <c r="E108" s="189">
        <f t="shared" si="24"/>
        <v>1.5512252731030409E-2</v>
      </c>
      <c r="F108" s="189">
        <f t="shared" si="24"/>
        <v>8.8759238056675873E-3</v>
      </c>
      <c r="G108" s="194">
        <f t="shared" si="24"/>
        <v>3.4566650744081454E-2</v>
      </c>
      <c r="H108" s="189">
        <f t="shared" si="24"/>
        <v>7.2658057948615969E-3</v>
      </c>
      <c r="I108" s="190">
        <f t="shared" si="24"/>
        <v>1.6141729600529186E-2</v>
      </c>
      <c r="J108" s="189"/>
      <c r="K108" s="189"/>
      <c r="L108" s="189"/>
      <c r="M108" s="211">
        <f t="shared" si="24"/>
        <v>1</v>
      </c>
    </row>
    <row r="109" spans="1:13">
      <c r="A109" s="151">
        <v>1955</v>
      </c>
      <c r="B109" s="192">
        <f t="shared" ref="B109:M109" si="25">B30/$M30</f>
        <v>7.3688172043010744E-2</v>
      </c>
      <c r="C109" s="193">
        <f t="shared" si="25"/>
        <v>1.364516129032258E-2</v>
      </c>
      <c r="D109" s="195">
        <f t="shared" si="25"/>
        <v>2.627688172043011E-2</v>
      </c>
      <c r="E109" s="189">
        <f t="shared" si="25"/>
        <v>1.7674731182795698E-2</v>
      </c>
      <c r="F109" s="189">
        <f t="shared" si="25"/>
        <v>8.6021505376344086E-3</v>
      </c>
      <c r="G109" s="194">
        <f t="shared" si="25"/>
        <v>3.3766129032258056E-2</v>
      </c>
      <c r="H109" s="189">
        <f t="shared" si="25"/>
        <v>6.6569059154869201E-3</v>
      </c>
      <c r="I109" s="190">
        <f t="shared" si="25"/>
        <v>1.5259056453121329E-2</v>
      </c>
      <c r="J109" s="189"/>
      <c r="K109" s="189"/>
      <c r="L109" s="189"/>
      <c r="M109" s="211">
        <f t="shared" si="25"/>
        <v>1</v>
      </c>
    </row>
    <row r="110" spans="1:13">
      <c r="A110" s="151">
        <v>1956</v>
      </c>
      <c r="B110" s="192">
        <f t="shared" ref="B110:M110" si="26">B31/$M31</f>
        <v>7.6211699164345406E-2</v>
      </c>
      <c r="C110" s="193">
        <f t="shared" si="26"/>
        <v>1.3823752848822486E-2</v>
      </c>
      <c r="D110" s="195">
        <f t="shared" si="26"/>
        <v>2.6302364622287463E-2</v>
      </c>
      <c r="E110" s="189">
        <f t="shared" si="26"/>
        <v>1.7627247404406181E-2</v>
      </c>
      <c r="F110" s="189">
        <f t="shared" si="26"/>
        <v>8.675117217881282E-3</v>
      </c>
      <c r="G110" s="194">
        <f t="shared" si="26"/>
        <v>3.6085581693235461E-2</v>
      </c>
      <c r="H110" s="189">
        <f t="shared" si="26"/>
        <v>6.9586483261614629E-3</v>
      </c>
      <c r="I110" s="190">
        <f t="shared" si="26"/>
        <v>1.5633765544042746E-2</v>
      </c>
      <c r="J110" s="189"/>
      <c r="K110" s="189"/>
      <c r="L110" s="189"/>
      <c r="M110" s="211">
        <f t="shared" si="26"/>
        <v>1</v>
      </c>
    </row>
    <row r="111" spans="1:13">
      <c r="A111" s="151">
        <v>1957</v>
      </c>
      <c r="B111" s="192">
        <f t="shared" ref="B111:M111" si="27">B32/$M32</f>
        <v>7.316719090249213E-2</v>
      </c>
      <c r="C111" s="193">
        <f t="shared" si="27"/>
        <v>1.3815630292765545E-2</v>
      </c>
      <c r="D111" s="195">
        <f t="shared" si="27"/>
        <v>2.3611277827142309E-2</v>
      </c>
      <c r="E111" s="189">
        <f t="shared" si="27"/>
        <v>1.4737478828937818E-2</v>
      </c>
      <c r="F111" s="189">
        <f t="shared" si="27"/>
        <v>8.8737989982044935E-3</v>
      </c>
      <c r="G111" s="194">
        <f t="shared" si="27"/>
        <v>3.5740282782584273E-2</v>
      </c>
      <c r="H111" s="189">
        <f t="shared" si="27"/>
        <v>6.504209031973949E-3</v>
      </c>
      <c r="I111" s="190">
        <f t="shared" si="27"/>
        <v>1.5378008030178442E-2</v>
      </c>
      <c r="J111" s="189"/>
      <c r="K111" s="189"/>
      <c r="L111" s="189"/>
      <c r="M111" s="211">
        <f t="shared" si="27"/>
        <v>1</v>
      </c>
    </row>
    <row r="112" spans="1:13">
      <c r="A112" s="151">
        <v>1958</v>
      </c>
      <c r="B112" s="192">
        <f t="shared" ref="B112:M112" si="28">B33/$M33</f>
        <v>8.1525505293551487E-2</v>
      </c>
      <c r="C112" s="193">
        <f t="shared" si="28"/>
        <v>1.4713666987487968E-2</v>
      </c>
      <c r="D112" s="195">
        <f t="shared" si="28"/>
        <v>2.9430549421673297E-2</v>
      </c>
      <c r="E112" s="189">
        <f t="shared" si="28"/>
        <v>1.9983156881616938E-2</v>
      </c>
      <c r="F112" s="189">
        <f t="shared" si="28"/>
        <v>9.4473925400563614E-3</v>
      </c>
      <c r="G112" s="194">
        <f t="shared" si="28"/>
        <v>3.7381288884390212E-2</v>
      </c>
      <c r="H112" s="189">
        <f t="shared" si="28"/>
        <v>5.9437129408632574E-3</v>
      </c>
      <c r="I112" s="190">
        <f t="shared" si="28"/>
        <v>1.5391105480919619E-2</v>
      </c>
      <c r="J112" s="189"/>
      <c r="K112" s="189"/>
      <c r="L112" s="189"/>
      <c r="M112" s="211">
        <f t="shared" si="28"/>
        <v>1</v>
      </c>
    </row>
    <row r="113" spans="1:13">
      <c r="A113" s="223">
        <v>1959</v>
      </c>
      <c r="B113" s="257">
        <f t="shared" ref="B113:M113" si="29">B34/$M34</f>
        <v>8.5016538037486211E-2</v>
      </c>
      <c r="C113" s="258">
        <f t="shared" si="29"/>
        <v>1.4562293274531422E-2</v>
      </c>
      <c r="D113" s="259">
        <f t="shared" si="29"/>
        <v>2.9914869012260654E-2</v>
      </c>
      <c r="E113" s="260">
        <f t="shared" si="29"/>
        <v>2.0646085997794928E-2</v>
      </c>
      <c r="F113" s="260">
        <f t="shared" si="29"/>
        <v>9.2687830144657282E-3</v>
      </c>
      <c r="G113" s="261">
        <f t="shared" si="29"/>
        <v>4.0539375750694141E-2</v>
      </c>
      <c r="H113" s="260">
        <f t="shared" si="29"/>
        <v>1.2678740349374612E-2</v>
      </c>
      <c r="I113" s="262">
        <f t="shared" si="29"/>
        <v>2.194752336384034E-2</v>
      </c>
      <c r="J113" s="260"/>
      <c r="K113" s="260"/>
      <c r="L113" s="260"/>
      <c r="M113" s="263">
        <f t="shared" si="29"/>
        <v>1</v>
      </c>
    </row>
    <row r="114" spans="1:13">
      <c r="A114" s="151">
        <v>1960</v>
      </c>
      <c r="B114" s="192">
        <f t="shared" ref="B114:M114" si="30">B35/$M35</f>
        <v>8.5489021892912423E-2</v>
      </c>
      <c r="C114" s="193">
        <f t="shared" si="30"/>
        <v>1.4612155414251968E-2</v>
      </c>
      <c r="D114" s="195">
        <f t="shared" si="30"/>
        <v>2.9123028018412371E-2</v>
      </c>
      <c r="E114" s="189">
        <f t="shared" si="30"/>
        <v>1.9627764572328059E-2</v>
      </c>
      <c r="F114" s="189">
        <f t="shared" si="30"/>
        <v>9.4952634460843122E-3</v>
      </c>
      <c r="G114" s="194">
        <f t="shared" si="30"/>
        <v>4.1753838460248084E-2</v>
      </c>
      <c r="H114" s="189">
        <f t="shared" si="30"/>
        <v>1.3128449574601894E-2</v>
      </c>
      <c r="I114" s="190">
        <f t="shared" si="30"/>
        <v>2.2623713020686206E-2</v>
      </c>
      <c r="J114" s="189"/>
      <c r="K114" s="189"/>
      <c r="L114" s="189"/>
      <c r="M114" s="211">
        <f t="shared" si="30"/>
        <v>1</v>
      </c>
    </row>
    <row r="115" spans="1:13">
      <c r="A115" s="151">
        <v>1961</v>
      </c>
      <c r="B115" s="192">
        <f t="shared" ref="B115:M115" si="31">B36/$M36</f>
        <v>9.1963556956775605E-2</v>
      </c>
      <c r="C115" s="193">
        <f t="shared" si="31"/>
        <v>1.4781422240609273E-2</v>
      </c>
      <c r="D115" s="195">
        <f t="shared" si="31"/>
        <v>3.3935166255471501E-2</v>
      </c>
      <c r="E115" s="189">
        <f t="shared" si="31"/>
        <v>2.4064391812645015E-2</v>
      </c>
      <c r="F115" s="189">
        <f t="shared" si="31"/>
        <v>9.8707744428264844E-3</v>
      </c>
      <c r="G115" s="194">
        <f t="shared" si="31"/>
        <v>4.3246968460694833E-2</v>
      </c>
      <c r="H115" s="189">
        <f t="shared" si="31"/>
        <v>1.2766753998903485E-2</v>
      </c>
      <c r="I115" s="190">
        <f t="shared" si="31"/>
        <v>2.2637528441729969E-2</v>
      </c>
      <c r="J115" s="189"/>
      <c r="K115" s="189"/>
      <c r="L115" s="189"/>
      <c r="M115" s="211">
        <f t="shared" si="31"/>
        <v>1</v>
      </c>
    </row>
    <row r="116" spans="1:13">
      <c r="A116" s="151">
        <v>1962</v>
      </c>
      <c r="B116" s="192">
        <f t="shared" ref="B116:M116" si="32">B37/$M37</f>
        <v>8.5748131172896411E-2</v>
      </c>
      <c r="C116" s="193">
        <f t="shared" si="32"/>
        <v>1.428505250300402E-2</v>
      </c>
      <c r="D116" s="195">
        <f t="shared" si="32"/>
        <v>2.9400285946123116E-2</v>
      </c>
      <c r="E116" s="189">
        <f t="shared" si="32"/>
        <v>1.9543388837994648E-2</v>
      </c>
      <c r="F116" s="189">
        <f t="shared" si="32"/>
        <v>9.8568971081284696E-3</v>
      </c>
      <c r="G116" s="194">
        <f t="shared" si="32"/>
        <v>4.2062792723769268E-2</v>
      </c>
      <c r="H116" s="189">
        <f t="shared" si="32"/>
        <v>1.3932056407197281E-2</v>
      </c>
      <c r="I116" s="190">
        <f t="shared" si="32"/>
        <v>2.3788953515325749E-2</v>
      </c>
      <c r="J116" s="189"/>
      <c r="K116" s="189"/>
      <c r="L116" s="189"/>
      <c r="M116" s="211">
        <f t="shared" si="32"/>
        <v>1</v>
      </c>
    </row>
    <row r="117" spans="1:13">
      <c r="A117" s="151">
        <v>1963</v>
      </c>
      <c r="B117" s="192">
        <f t="shared" ref="B117:M117" si="33">B38/$M38</f>
        <v>9.0372660376455083E-2</v>
      </c>
      <c r="C117" s="193">
        <f t="shared" si="33"/>
        <v>1.3997900404268654E-2</v>
      </c>
      <c r="D117" s="195">
        <f t="shared" si="33"/>
        <v>3.2329890836803418E-2</v>
      </c>
      <c r="E117" s="189">
        <f t="shared" si="33"/>
        <v>2.2305524766725478E-2</v>
      </c>
      <c r="F117" s="189">
        <f t="shared" si="33"/>
        <v>1.0024366070077935E-2</v>
      </c>
      <c r="G117" s="194">
        <f t="shared" si="33"/>
        <v>4.4044869135383018E-2</v>
      </c>
      <c r="H117" s="189">
        <f t="shared" si="33"/>
        <v>1.4118235844015597E-2</v>
      </c>
      <c r="I117" s="190">
        <f t="shared" si="33"/>
        <v>2.414260191409353E-2</v>
      </c>
      <c r="J117" s="189"/>
      <c r="K117" s="189"/>
      <c r="L117" s="189"/>
      <c r="M117" s="211">
        <f t="shared" si="33"/>
        <v>1</v>
      </c>
    </row>
    <row r="118" spans="1:13">
      <c r="A118" s="151">
        <v>1964</v>
      </c>
      <c r="B118" s="192">
        <f t="shared" ref="B118:M118" si="34">B39/$M39</f>
        <v>9.9024256495021848E-2</v>
      </c>
      <c r="C118" s="193">
        <f t="shared" si="34"/>
        <v>1.3546312109225809E-2</v>
      </c>
      <c r="D118" s="195">
        <f t="shared" si="34"/>
        <v>3.3045408573378364E-2</v>
      </c>
      <c r="E118" s="189">
        <f t="shared" si="34"/>
        <v>2.3003955815777469E-2</v>
      </c>
      <c r="F118" s="189">
        <f t="shared" si="34"/>
        <v>1.0041452757600893E-2</v>
      </c>
      <c r="G118" s="194">
        <f t="shared" si="34"/>
        <v>5.243253581241767E-2</v>
      </c>
      <c r="H118" s="189">
        <f t="shared" si="34"/>
        <v>1.3862509371335924E-2</v>
      </c>
      <c r="I118" s="190">
        <f t="shared" si="34"/>
        <v>2.3903962128936813E-2</v>
      </c>
      <c r="J118" s="189"/>
      <c r="K118" s="189"/>
      <c r="L118" s="189"/>
      <c r="M118" s="211">
        <f t="shared" si="34"/>
        <v>1</v>
      </c>
    </row>
    <row r="119" spans="1:13">
      <c r="A119" s="151">
        <v>1965</v>
      </c>
      <c r="B119" s="192">
        <f t="shared" ref="B119:M119" si="35">B40/$M40</f>
        <v>9.4308927132837478E-2</v>
      </c>
      <c r="C119" s="193">
        <f t="shared" si="35"/>
        <v>1.3082362148365516E-2</v>
      </c>
      <c r="D119" s="195">
        <f t="shared" si="35"/>
        <v>3.2351706395729492E-2</v>
      </c>
      <c r="E119" s="189">
        <f t="shared" si="35"/>
        <v>2.238506856586828E-2</v>
      </c>
      <c r="F119" s="189">
        <f t="shared" si="35"/>
        <v>9.9666378298612114E-3</v>
      </c>
      <c r="G119" s="194">
        <f t="shared" si="35"/>
        <v>4.8874858588742479E-2</v>
      </c>
      <c r="H119" s="189">
        <f t="shared" si="35"/>
        <v>1.2698810139668868E-2</v>
      </c>
      <c r="I119" s="190">
        <f t="shared" si="35"/>
        <v>2.266544796953008E-2</v>
      </c>
      <c r="J119" s="189"/>
      <c r="K119" s="189"/>
      <c r="L119" s="189"/>
      <c r="M119" s="211">
        <f t="shared" si="35"/>
        <v>1</v>
      </c>
    </row>
    <row r="120" spans="1:13">
      <c r="A120" s="151">
        <v>1966</v>
      </c>
      <c r="B120" s="192">
        <f t="shared" ref="B120:M120" si="36">B41/$M41</f>
        <v>8.8847895118533804E-2</v>
      </c>
      <c r="C120" s="193">
        <f t="shared" si="36"/>
        <v>1.2599012863751258E-2</v>
      </c>
      <c r="D120" s="195">
        <f t="shared" si="36"/>
        <v>2.9146984981470701E-2</v>
      </c>
      <c r="E120" s="189">
        <f t="shared" si="36"/>
        <v>1.7803657051124085E-2</v>
      </c>
      <c r="F120" s="189">
        <f t="shared" si="36"/>
        <v>1.1343327930346618E-2</v>
      </c>
      <c r="G120" s="194">
        <f t="shared" si="36"/>
        <v>4.7101897273311842E-2</v>
      </c>
      <c r="H120" s="189">
        <f t="shared" si="36"/>
        <v>9.3237618546612947E-3</v>
      </c>
      <c r="I120" s="190">
        <f t="shared" si="36"/>
        <v>2.0667089785007912E-2</v>
      </c>
      <c r="J120" s="189"/>
      <c r="K120" s="189"/>
      <c r="L120" s="189"/>
      <c r="M120" s="211">
        <f t="shared" si="36"/>
        <v>1</v>
      </c>
    </row>
    <row r="121" spans="1:13">
      <c r="A121" s="151">
        <v>1967</v>
      </c>
      <c r="B121" s="192">
        <f t="shared" ref="B121:M121" si="37">B42/$M42</f>
        <v>0.10995535021198823</v>
      </c>
      <c r="C121" s="193">
        <f t="shared" si="37"/>
        <v>1.2937177794909485E-2</v>
      </c>
      <c r="D121" s="195">
        <f t="shared" si="37"/>
        <v>4.7300034412291969E-2</v>
      </c>
      <c r="E121" s="189">
        <f t="shared" si="37"/>
        <v>3.3996739052939415E-2</v>
      </c>
      <c r="F121" s="189">
        <f t="shared" si="37"/>
        <v>1.3303295359352547E-2</v>
      </c>
      <c r="G121" s="194">
        <f t="shared" si="37"/>
        <v>4.971813800478677E-2</v>
      </c>
      <c r="H121" s="189">
        <f t="shared" si="37"/>
        <v>9.4004114012762457E-3</v>
      </c>
      <c r="I121" s="190">
        <f t="shared" si="37"/>
        <v>2.2703706760628793E-2</v>
      </c>
      <c r="J121" s="189"/>
      <c r="K121" s="189"/>
      <c r="L121" s="189"/>
      <c r="M121" s="211">
        <f t="shared" si="37"/>
        <v>1</v>
      </c>
    </row>
    <row r="122" spans="1:13">
      <c r="A122" s="151">
        <v>1968</v>
      </c>
      <c r="B122" s="192">
        <f t="shared" ref="B122:M122" si="38">B43/$M43</f>
        <v>0.11502470564625332</v>
      </c>
      <c r="C122" s="193">
        <f t="shared" si="38"/>
        <v>1.2747373076690768E-2</v>
      </c>
      <c r="D122" s="195">
        <f t="shared" si="38"/>
        <v>5.1009416669831671E-2</v>
      </c>
      <c r="E122" s="189">
        <f t="shared" si="38"/>
        <v>3.5944231095212206E-2</v>
      </c>
      <c r="F122" s="189">
        <f t="shared" si="38"/>
        <v>1.5065185574619461E-2</v>
      </c>
      <c r="G122" s="194">
        <f t="shared" si="38"/>
        <v>5.1267915899730884E-2</v>
      </c>
      <c r="H122" s="189">
        <f t="shared" si="38"/>
        <v>8.3412346272120491E-3</v>
      </c>
      <c r="I122" s="190">
        <f t="shared" si="38"/>
        <v>2.3406420201831511E-2</v>
      </c>
      <c r="J122" s="189"/>
      <c r="K122" s="189"/>
      <c r="L122" s="189"/>
      <c r="M122" s="211">
        <f t="shared" si="38"/>
        <v>1</v>
      </c>
    </row>
    <row r="123" spans="1:13">
      <c r="A123" s="223">
        <v>1969</v>
      </c>
      <c r="B123" s="257">
        <f t="shared" ref="B123:M123" si="39">B44/$M44</f>
        <v>0.11395809381030282</v>
      </c>
      <c r="C123" s="258">
        <f t="shared" si="39"/>
        <v>1.3150482647699536E-2</v>
      </c>
      <c r="D123" s="259">
        <f t="shared" si="39"/>
        <v>4.7375651392352842E-2</v>
      </c>
      <c r="E123" s="260">
        <f t="shared" si="39"/>
        <v>3.0119827639086556E-2</v>
      </c>
      <c r="F123" s="260">
        <f t="shared" si="39"/>
        <v>1.725582375326629E-2</v>
      </c>
      <c r="G123" s="261">
        <f t="shared" si="39"/>
        <v>5.3431959770250441E-2</v>
      </c>
      <c r="H123" s="260">
        <f t="shared" si="39"/>
        <v>4.9117413265781628E-3</v>
      </c>
      <c r="I123" s="262">
        <f t="shared" si="39"/>
        <v>2.2167565079844451E-2</v>
      </c>
      <c r="J123" s="260"/>
      <c r="K123" s="260"/>
      <c r="L123" s="260"/>
      <c r="M123" s="263">
        <f t="shared" si="39"/>
        <v>1</v>
      </c>
    </row>
    <row r="124" spans="1:13">
      <c r="A124" s="151">
        <v>1970</v>
      </c>
      <c r="B124" s="192">
        <f t="shared" ref="B124:M124" si="40">B45/$M45</f>
        <v>0.11670958264369233</v>
      </c>
      <c r="C124" s="193">
        <f t="shared" si="40"/>
        <v>1.4226552250358919E-2</v>
      </c>
      <c r="D124" s="195">
        <f t="shared" si="40"/>
        <v>4.9712246894800007E-2</v>
      </c>
      <c r="E124" s="189">
        <f t="shared" si="40"/>
        <v>2.9271798259226847E-2</v>
      </c>
      <c r="F124" s="189">
        <f t="shared" si="40"/>
        <v>2.044044863557316E-2</v>
      </c>
      <c r="G124" s="194">
        <f t="shared" si="40"/>
        <v>5.277078349853339E-2</v>
      </c>
      <c r="H124" s="189">
        <f t="shared" si="40"/>
        <v>1.1538379007664476E-2</v>
      </c>
      <c r="I124" s="190">
        <f t="shared" si="40"/>
        <v>3.1978827643237638E-2</v>
      </c>
      <c r="J124" s="189"/>
      <c r="K124" s="189"/>
      <c r="L124" s="189"/>
      <c r="M124" s="211">
        <f t="shared" si="40"/>
        <v>1</v>
      </c>
    </row>
    <row r="125" spans="1:13">
      <c r="A125" s="151">
        <v>1971</v>
      </c>
      <c r="B125" s="192">
        <f t="shared" ref="B125:M125" si="41">B46/$M46</f>
        <v>0.13545954128059937</v>
      </c>
      <c r="C125" s="193">
        <f t="shared" si="41"/>
        <v>1.3545854687047698E-2</v>
      </c>
      <c r="D125" s="195">
        <f t="shared" si="41"/>
        <v>5.3731336694651306E-2</v>
      </c>
      <c r="E125" s="189">
        <f t="shared" si="41"/>
        <v>3.0638770280621543E-2</v>
      </c>
      <c r="F125" s="189">
        <f t="shared" si="41"/>
        <v>2.3092566414029757E-2</v>
      </c>
      <c r="G125" s="194">
        <f t="shared" si="41"/>
        <v>6.818234989890036E-2</v>
      </c>
      <c r="H125" s="189">
        <f t="shared" si="41"/>
        <v>3.0045332656266941E-2</v>
      </c>
      <c r="I125" s="190">
        <f t="shared" si="41"/>
        <v>5.3137899070296701E-2</v>
      </c>
      <c r="J125" s="189"/>
      <c r="K125" s="189"/>
      <c r="L125" s="189"/>
      <c r="M125" s="211">
        <f t="shared" si="41"/>
        <v>1</v>
      </c>
    </row>
    <row r="126" spans="1:13">
      <c r="A126" s="151">
        <v>1972</v>
      </c>
      <c r="B126" s="192">
        <f t="shared" ref="B126:M126" si="42">B47/$M47</f>
        <v>0.14750353382906758</v>
      </c>
      <c r="C126" s="193">
        <f t="shared" si="42"/>
        <v>1.3272517099499748E-2</v>
      </c>
      <c r="D126" s="195">
        <f t="shared" si="42"/>
        <v>6.0852943530068239E-2</v>
      </c>
      <c r="E126" s="189">
        <f t="shared" si="42"/>
        <v>3.5290407423435206E-2</v>
      </c>
      <c r="F126" s="189">
        <f t="shared" si="42"/>
        <v>2.5562536106633033E-2</v>
      </c>
      <c r="G126" s="194">
        <f t="shared" si="42"/>
        <v>7.3378073199499613E-2</v>
      </c>
      <c r="H126" s="189">
        <f t="shared" si="42"/>
        <v>3.0475000738233973E-2</v>
      </c>
      <c r="I126" s="190">
        <f t="shared" si="42"/>
        <v>5.6037536844867009E-2</v>
      </c>
      <c r="J126" s="189"/>
      <c r="K126" s="189"/>
      <c r="L126" s="189"/>
      <c r="M126" s="211">
        <f t="shared" si="42"/>
        <v>1</v>
      </c>
    </row>
    <row r="127" spans="1:13">
      <c r="A127" s="151">
        <v>1973</v>
      </c>
      <c r="B127" s="192">
        <f t="shared" ref="B127:M127" si="43">B48/$M48</f>
        <v>0.11396647004564212</v>
      </c>
      <c r="C127" s="193">
        <f t="shared" si="43"/>
        <v>1.4320843717182234E-2</v>
      </c>
      <c r="D127" s="195">
        <f t="shared" si="43"/>
        <v>5.5007457528091976E-2</v>
      </c>
      <c r="E127" s="189">
        <f t="shared" si="43"/>
        <v>2.7167738636724163E-2</v>
      </c>
      <c r="F127" s="189">
        <f t="shared" si="43"/>
        <v>2.7839718891367816E-2</v>
      </c>
      <c r="G127" s="194">
        <f t="shared" si="43"/>
        <v>4.4638168800367903E-2</v>
      </c>
      <c r="H127" s="189">
        <f t="shared" si="43"/>
        <v>2.3108526350237513E-2</v>
      </c>
      <c r="I127" s="190">
        <f t="shared" si="43"/>
        <v>5.0948245241605329E-2</v>
      </c>
      <c r="J127" s="189"/>
      <c r="K127" s="189"/>
      <c r="L127" s="189"/>
      <c r="M127" s="211">
        <f t="shared" si="43"/>
        <v>1</v>
      </c>
    </row>
    <row r="128" spans="1:13">
      <c r="A128" s="151">
        <v>1974</v>
      </c>
      <c r="B128" s="192">
        <f t="shared" ref="B128:M128" si="44">B49/$M49</f>
        <v>0.13952276930251586</v>
      </c>
      <c r="C128" s="193">
        <f t="shared" si="44"/>
        <v>1.6851627554431221E-2</v>
      </c>
      <c r="D128" s="195">
        <f t="shared" si="44"/>
        <v>4.9984116959608374E-2</v>
      </c>
      <c r="E128" s="189">
        <f t="shared" si="44"/>
        <v>1.8377065366762063E-2</v>
      </c>
      <c r="F128" s="189">
        <f t="shared" si="44"/>
        <v>3.1607051592846311E-2</v>
      </c>
      <c r="G128" s="194">
        <f t="shared" si="44"/>
        <v>7.2687024788476273E-2</v>
      </c>
      <c r="H128" s="189">
        <f t="shared" si="44"/>
        <v>1.8810912724862041E-2</v>
      </c>
      <c r="I128" s="190">
        <f t="shared" si="44"/>
        <v>5.0417964317708348E-2</v>
      </c>
      <c r="J128" s="189"/>
      <c r="K128" s="189"/>
      <c r="L128" s="189"/>
      <c r="M128" s="211">
        <f t="shared" si="44"/>
        <v>1</v>
      </c>
    </row>
    <row r="129" spans="1:13">
      <c r="A129" s="151">
        <v>1975</v>
      </c>
      <c r="B129" s="197">
        <f t="shared" ref="B129:M129" si="45">B50/$M50</f>
        <v>0.13951552559749061</v>
      </c>
      <c r="C129" s="193">
        <f t="shared" si="45"/>
        <v>1.7457532573163018E-2</v>
      </c>
      <c r="D129" s="195">
        <f t="shared" si="45"/>
        <v>5.6488908497571363E-2</v>
      </c>
      <c r="E129" s="189">
        <f t="shared" si="45"/>
        <v>2.578429569981271E-2</v>
      </c>
      <c r="F129" s="189">
        <f t="shared" si="45"/>
        <v>3.0704612797758653E-2</v>
      </c>
      <c r="G129" s="198">
        <f t="shared" si="45"/>
        <v>6.5569084526756236E-2</v>
      </c>
      <c r="H129" s="189">
        <f t="shared" si="45"/>
        <v>2.1106715133391324E-2</v>
      </c>
      <c r="I129" s="190">
        <f t="shared" si="45"/>
        <v>5.1811327931149974E-2</v>
      </c>
      <c r="J129" s="189"/>
      <c r="K129" s="189"/>
      <c r="L129" s="189"/>
      <c r="M129" s="211">
        <f t="shared" si="45"/>
        <v>1</v>
      </c>
    </row>
    <row r="130" spans="1:13">
      <c r="A130" s="151">
        <v>1976</v>
      </c>
      <c r="B130" s="192">
        <f t="shared" ref="B130:M130" si="46">B51/$M51</f>
        <v>0.18279097981444156</v>
      </c>
      <c r="C130" s="193">
        <f t="shared" si="46"/>
        <v>2.9524357066560564E-2</v>
      </c>
      <c r="D130" s="195">
        <f t="shared" si="46"/>
        <v>5.7876081541715162E-2</v>
      </c>
      <c r="E130" s="199">
        <f t="shared" si="46"/>
        <v>2.9074401756668596E-2</v>
      </c>
      <c r="F130" s="199">
        <f t="shared" si="46"/>
        <v>2.8801679785046563E-2</v>
      </c>
      <c r="G130" s="194">
        <f t="shared" si="46"/>
        <v>9.5390541206165844E-2</v>
      </c>
      <c r="H130" s="189">
        <f t="shared" si="46"/>
        <v>2.3435184829449462E-2</v>
      </c>
      <c r="I130" s="200">
        <f t="shared" si="46"/>
        <v>5.2236864614496024E-2</v>
      </c>
      <c r="J130" s="189"/>
      <c r="K130" s="199"/>
      <c r="L130" s="199"/>
      <c r="M130" s="212">
        <f t="shared" si="46"/>
        <v>1</v>
      </c>
    </row>
    <row r="131" spans="1:13">
      <c r="A131" s="151">
        <v>1977</v>
      </c>
      <c r="B131" s="192">
        <f t="shared" ref="B131:M131" si="47">B52/$M52</f>
        <v>0.19064422917186621</v>
      </c>
      <c r="C131" s="193">
        <f t="shared" si="47"/>
        <v>3.0828986112296442E-2</v>
      </c>
      <c r="D131" s="195">
        <f t="shared" si="47"/>
        <v>5.1781781484136674E-2</v>
      </c>
      <c r="E131" s="199">
        <f t="shared" si="47"/>
        <v>2.4807802628913838E-2</v>
      </c>
      <c r="F131" s="199">
        <f t="shared" si="47"/>
        <v>2.6973978855222836E-2</v>
      </c>
      <c r="G131" s="194">
        <f t="shared" si="47"/>
        <v>0.10803346157543309</v>
      </c>
      <c r="H131" s="189">
        <f t="shared" si="47"/>
        <v>3.6788143746411234E-2</v>
      </c>
      <c r="I131" s="200">
        <f t="shared" si="47"/>
        <v>6.3762122601634066E-2</v>
      </c>
      <c r="J131" s="189"/>
      <c r="K131" s="199"/>
      <c r="L131" s="199"/>
      <c r="M131" s="212">
        <f t="shared" si="47"/>
        <v>1</v>
      </c>
    </row>
    <row r="132" spans="1:13">
      <c r="A132" s="151">
        <v>1978</v>
      </c>
      <c r="B132" s="192">
        <f t="shared" ref="B132:M132" si="48">B53/$M53</f>
        <v>0.20522189428698528</v>
      </c>
      <c r="C132" s="193">
        <f t="shared" si="48"/>
        <v>3.4013959353377747E-2</v>
      </c>
      <c r="D132" s="195">
        <f t="shared" si="48"/>
        <v>4.8545274828889297E-2</v>
      </c>
      <c r="E132" s="199">
        <f t="shared" si="48"/>
        <v>2.3543712847674786E-2</v>
      </c>
      <c r="F132" s="199">
        <f t="shared" si="48"/>
        <v>2.5001561981214507E-2</v>
      </c>
      <c r="G132" s="194">
        <f t="shared" si="48"/>
        <v>0.12266266010471824</v>
      </c>
      <c r="H132" s="189">
        <f t="shared" si="48"/>
        <v>4.2248201601155264E-2</v>
      </c>
      <c r="I132" s="200">
        <f t="shared" si="48"/>
        <v>6.7249763582369781E-2</v>
      </c>
      <c r="J132" s="189"/>
      <c r="K132" s="199"/>
      <c r="L132" s="199"/>
      <c r="M132" s="212">
        <f t="shared" si="48"/>
        <v>1</v>
      </c>
    </row>
    <row r="133" spans="1:13">
      <c r="A133" s="223">
        <v>1979</v>
      </c>
      <c r="B133" s="257">
        <f t="shared" ref="B133:M133" si="49">B54/$M54</f>
        <v>0.2095099805660699</v>
      </c>
      <c r="C133" s="258">
        <f t="shared" si="49"/>
        <v>3.9398487104144259E-2</v>
      </c>
      <c r="D133" s="259">
        <f t="shared" si="49"/>
        <v>5.1835798600660128E-2</v>
      </c>
      <c r="E133" s="264">
        <f t="shared" si="49"/>
        <v>2.4433446131938628E-2</v>
      </c>
      <c r="F133" s="264">
        <f t="shared" si="49"/>
        <v>2.7402352468721504E-2</v>
      </c>
      <c r="G133" s="261">
        <f t="shared" si="49"/>
        <v>0.1182756948612655</v>
      </c>
      <c r="H133" s="260">
        <f t="shared" si="49"/>
        <v>3.0231496968599569E-2</v>
      </c>
      <c r="I133" s="265">
        <f t="shared" si="49"/>
        <v>5.7633849437321069E-2</v>
      </c>
      <c r="J133" s="260"/>
      <c r="K133" s="264"/>
      <c r="L133" s="264"/>
      <c r="M133" s="266">
        <f t="shared" si="49"/>
        <v>1</v>
      </c>
    </row>
    <row r="134" spans="1:13">
      <c r="A134" s="151">
        <v>1980</v>
      </c>
      <c r="B134" s="192">
        <f t="shared" ref="B134:M134" si="50">B55/$M55</f>
        <v>0.23406104225371102</v>
      </c>
      <c r="C134" s="193">
        <f t="shared" si="50"/>
        <v>5.2243144415415235E-2</v>
      </c>
      <c r="D134" s="195">
        <f t="shared" si="50"/>
        <v>6.1180512954763323E-2</v>
      </c>
      <c r="E134" s="199">
        <f t="shared" si="50"/>
        <v>3.0409849088056645E-2</v>
      </c>
      <c r="F134" s="199">
        <f t="shared" si="50"/>
        <v>3.0770663866706672E-2</v>
      </c>
      <c r="G134" s="194">
        <f t="shared" si="50"/>
        <v>0.12063738488353246</v>
      </c>
      <c r="H134" s="189">
        <f t="shared" si="50"/>
        <v>3.1925840834923593E-2</v>
      </c>
      <c r="I134" s="200">
        <f t="shared" si="50"/>
        <v>6.2696504701630268E-2</v>
      </c>
      <c r="J134" s="189"/>
      <c r="K134" s="199"/>
      <c r="L134" s="199"/>
      <c r="M134" s="212">
        <f t="shared" si="50"/>
        <v>1</v>
      </c>
    </row>
    <row r="135" spans="1:13">
      <c r="A135" s="151">
        <v>1981</v>
      </c>
      <c r="B135" s="192">
        <f t="shared" ref="B135:M135" si="51">B56/$M56</f>
        <v>0.24224129963558785</v>
      </c>
      <c r="C135" s="193">
        <f t="shared" si="51"/>
        <v>6.030481620535471E-2</v>
      </c>
      <c r="D135" s="195">
        <f t="shared" si="51"/>
        <v>6.0704588997568323E-2</v>
      </c>
      <c r="E135" s="199">
        <f t="shared" si="51"/>
        <v>2.7380153932607419E-2</v>
      </c>
      <c r="F135" s="199">
        <f t="shared" si="51"/>
        <v>3.3324435064960911E-2</v>
      </c>
      <c r="G135" s="194">
        <f t="shared" si="51"/>
        <v>0.12123189443266481</v>
      </c>
      <c r="H135" s="189">
        <f t="shared" si="51"/>
        <v>2.7145464456761206E-2</v>
      </c>
      <c r="I135" s="200">
        <f t="shared" si="51"/>
        <v>6.0469899521722111E-2</v>
      </c>
      <c r="J135" s="189"/>
      <c r="K135" s="199"/>
      <c r="L135" s="199"/>
      <c r="M135" s="212">
        <f t="shared" si="51"/>
        <v>1</v>
      </c>
    </row>
    <row r="136" spans="1:13">
      <c r="A136" s="151">
        <v>1982</v>
      </c>
      <c r="B136" s="192">
        <f t="shared" ref="B136:M136" si="52">B57/$M57</f>
        <v>0.27251873484544303</v>
      </c>
      <c r="C136" s="193">
        <f t="shared" si="52"/>
        <v>6.4824741348257983E-2</v>
      </c>
      <c r="D136" s="195">
        <f t="shared" si="52"/>
        <v>6.9743463594274871E-2</v>
      </c>
      <c r="E136" s="199">
        <f t="shared" si="52"/>
        <v>3.0975538323776721E-2</v>
      </c>
      <c r="F136" s="199">
        <f t="shared" si="52"/>
        <v>3.8767925270498146E-2</v>
      </c>
      <c r="G136" s="194">
        <f t="shared" si="52"/>
        <v>0.13795052990291021</v>
      </c>
      <c r="H136" s="189">
        <f t="shared" si="52"/>
        <v>2.6746053787470088E-2</v>
      </c>
      <c r="I136" s="200">
        <f t="shared" si="52"/>
        <v>6.5513979057968227E-2</v>
      </c>
      <c r="J136" s="189"/>
      <c r="K136" s="199"/>
      <c r="L136" s="199">
        <f t="shared" si="52"/>
        <v>4.5741559626981912E-2</v>
      </c>
      <c r="M136" s="212">
        <f t="shared" si="52"/>
        <v>1</v>
      </c>
    </row>
    <row r="137" spans="1:13">
      <c r="A137" s="151">
        <v>1983</v>
      </c>
      <c r="B137" s="192">
        <f t="shared" ref="B137:M137" si="53">B58/$M58</f>
        <v>0.29586507898516817</v>
      </c>
      <c r="C137" s="193">
        <f t="shared" si="53"/>
        <v>6.3078720098681387E-2</v>
      </c>
      <c r="D137" s="195">
        <f t="shared" si="53"/>
        <v>7.9417312898168155E-2</v>
      </c>
      <c r="E137" s="199">
        <f t="shared" si="53"/>
        <v>3.5675290542522976E-2</v>
      </c>
      <c r="F137" s="199">
        <f t="shared" si="53"/>
        <v>4.3742022355645171E-2</v>
      </c>
      <c r="G137" s="194">
        <f t="shared" si="53"/>
        <v>0.15336904598831863</v>
      </c>
      <c r="H137" s="189">
        <f t="shared" si="53"/>
        <v>2.8049170062258762E-2</v>
      </c>
      <c r="I137" s="200">
        <f t="shared" si="53"/>
        <v>7.1791192417903937E-2</v>
      </c>
      <c r="J137" s="189"/>
      <c r="K137" s="199"/>
      <c r="L137" s="199">
        <f t="shared" si="53"/>
        <v>4.9926194107056163E-2</v>
      </c>
      <c r="M137" s="212">
        <f t="shared" si="53"/>
        <v>1</v>
      </c>
    </row>
    <row r="138" spans="1:13">
      <c r="A138" s="142">
        <v>1984</v>
      </c>
      <c r="B138" s="192">
        <f t="shared" ref="B138:M138" si="54">B59/$M59</f>
        <v>0.2999315459469879</v>
      </c>
      <c r="C138" s="193">
        <f t="shared" si="54"/>
        <v>6.45820971647703E-2</v>
      </c>
      <c r="D138" s="195">
        <f t="shared" si="54"/>
        <v>7.7450673299088404E-2</v>
      </c>
      <c r="E138" s="199">
        <f t="shared" si="54"/>
        <v>3.0292666356147482E-2</v>
      </c>
      <c r="F138" s="199">
        <f t="shared" si="54"/>
        <v>4.7158006942940922E-2</v>
      </c>
      <c r="G138" s="194">
        <f t="shared" si="54"/>
        <v>0.15789877548312919</v>
      </c>
      <c r="H138" s="189">
        <f t="shared" si="54"/>
        <v>2.7479561290819132E-2</v>
      </c>
      <c r="I138" s="200">
        <f t="shared" si="54"/>
        <v>7.4637568233760054E-2</v>
      </c>
      <c r="J138" s="189"/>
      <c r="K138" s="199"/>
      <c r="L138" s="199">
        <f t="shared" si="54"/>
        <v>4.9801233629054614E-2</v>
      </c>
      <c r="M138" s="212">
        <f t="shared" si="54"/>
        <v>1</v>
      </c>
    </row>
    <row r="139" spans="1:13">
      <c r="A139" s="142">
        <v>1985</v>
      </c>
      <c r="B139" s="192">
        <f t="shared" ref="B139:M139" si="55">B60/$M60</f>
        <v>0.33159526265040939</v>
      </c>
      <c r="C139" s="193">
        <f t="shared" si="55"/>
        <v>6.6884924263657913E-2</v>
      </c>
      <c r="D139" s="195">
        <f t="shared" si="55"/>
        <v>0.10741796266696679</v>
      </c>
      <c r="E139" s="199">
        <f t="shared" si="55"/>
        <v>3.7389036005198793E-2</v>
      </c>
      <c r="F139" s="199">
        <f t="shared" si="55"/>
        <v>7.0028926661767993E-2</v>
      </c>
      <c r="G139" s="194">
        <f t="shared" si="55"/>
        <v>0.15729237571978472</v>
      </c>
      <c r="H139" s="189">
        <f t="shared" si="55"/>
        <v>2.3563650018775813E-2</v>
      </c>
      <c r="I139" s="200">
        <f t="shared" si="55"/>
        <v>9.3592576680543813E-2</v>
      </c>
      <c r="J139" s="189"/>
      <c r="K139" s="199"/>
      <c r="L139" s="199">
        <f t="shared" si="55"/>
        <v>5.9518798001430645E-2</v>
      </c>
      <c r="M139" s="212">
        <f t="shared" si="55"/>
        <v>1</v>
      </c>
    </row>
    <row r="140" spans="1:13">
      <c r="A140" s="142">
        <v>1986</v>
      </c>
      <c r="B140" s="192">
        <f t="shared" ref="B140:M140" si="56">B61/$M61</f>
        <v>0.38671706296972091</v>
      </c>
      <c r="C140" s="193">
        <f t="shared" si="56"/>
        <v>7.3538634640062328E-2</v>
      </c>
      <c r="D140" s="195">
        <f t="shared" si="56"/>
        <v>0.13532843525213303</v>
      </c>
      <c r="E140" s="199">
        <f t="shared" si="56"/>
        <v>4.5389735313505437E-2</v>
      </c>
      <c r="F140" s="199">
        <f t="shared" si="56"/>
        <v>8.9938699938627617E-2</v>
      </c>
      <c r="G140" s="194">
        <f t="shared" si="56"/>
        <v>0.17784999307752553</v>
      </c>
      <c r="H140" s="189">
        <f t="shared" si="56"/>
        <v>2.7332150657841718E-2</v>
      </c>
      <c r="I140" s="200">
        <f t="shared" si="56"/>
        <v>0.11727085059646933</v>
      </c>
      <c r="J140" s="189"/>
      <c r="K140" s="199"/>
      <c r="L140" s="199">
        <f t="shared" si="56"/>
        <v>7.0507469040007778E-2</v>
      </c>
      <c r="M140" s="212">
        <f t="shared" si="56"/>
        <v>1</v>
      </c>
    </row>
    <row r="141" spans="1:13">
      <c r="A141" s="142">
        <v>1987</v>
      </c>
      <c r="B141" s="192">
        <f t="shared" ref="B141:M141" si="57">B62/$M62</f>
        <v>0.41383804190211199</v>
      </c>
      <c r="C141" s="193">
        <f t="shared" si="57"/>
        <v>8.0614088940458906E-2</v>
      </c>
      <c r="D141" s="195">
        <f t="shared" si="57"/>
        <v>0.13761421024038351</v>
      </c>
      <c r="E141" s="199">
        <f t="shared" si="57"/>
        <v>4.5574458756314815E-2</v>
      </c>
      <c r="F141" s="199">
        <f t="shared" si="57"/>
        <v>9.2039751484068691E-2</v>
      </c>
      <c r="G141" s="194">
        <f t="shared" si="57"/>
        <v>0.19560974272126955</v>
      </c>
      <c r="H141" s="189">
        <f t="shared" si="57"/>
        <v>2.8558493768186258E-2</v>
      </c>
      <c r="I141" s="200">
        <f t="shared" si="57"/>
        <v>0.12059824525225495</v>
      </c>
      <c r="J141" s="189"/>
      <c r="K141" s="199"/>
      <c r="L141" s="199">
        <f t="shared" si="57"/>
        <v>7.6191966937794731E-2</v>
      </c>
      <c r="M141" s="212">
        <f t="shared" si="57"/>
        <v>1</v>
      </c>
    </row>
    <row r="142" spans="1:13">
      <c r="A142" s="142">
        <v>1988</v>
      </c>
      <c r="B142" s="192">
        <f t="shared" ref="B142:M142" si="58">B63/$M63</f>
        <v>0.44161662594587098</v>
      </c>
      <c r="C142" s="193">
        <f t="shared" si="58"/>
        <v>8.8841070549870393E-2</v>
      </c>
      <c r="D142" s="195">
        <f t="shared" si="58"/>
        <v>0.14721711426372991</v>
      </c>
      <c r="E142" s="199">
        <f t="shared" si="58"/>
        <v>4.6205467602405799E-2</v>
      </c>
      <c r="F142" s="199">
        <f t="shared" si="58"/>
        <v>0.1010116466613241</v>
      </c>
      <c r="G142" s="194">
        <f t="shared" si="58"/>
        <v>0.20555844113227068</v>
      </c>
      <c r="H142" s="189">
        <f t="shared" si="58"/>
        <v>2.9074141759228154E-2</v>
      </c>
      <c r="I142" s="200">
        <f t="shared" si="58"/>
        <v>0.13008578842055227</v>
      </c>
      <c r="J142" s="189"/>
      <c r="K142" s="199"/>
      <c r="L142" s="199">
        <f t="shared" si="58"/>
        <v>8.6577620685649725E-2</v>
      </c>
      <c r="M142" s="212">
        <f t="shared" si="58"/>
        <v>1</v>
      </c>
    </row>
    <row r="143" spans="1:13">
      <c r="A143" s="238">
        <v>1989</v>
      </c>
      <c r="B143" s="257">
        <f t="shared" ref="B143:M143" si="59">B64/$M64</f>
        <v>0.48267758050025067</v>
      </c>
      <c r="C143" s="258">
        <f t="shared" si="59"/>
        <v>9.7465833339061891E-2</v>
      </c>
      <c r="D143" s="259">
        <f t="shared" si="59"/>
        <v>0.1765800863366061</v>
      </c>
      <c r="E143" s="264">
        <f t="shared" si="59"/>
        <v>5.7515311384429127E-2</v>
      </c>
      <c r="F143" s="264">
        <f t="shared" si="59"/>
        <v>0.11906477495217699</v>
      </c>
      <c r="G143" s="261">
        <f t="shared" si="59"/>
        <v>0.2086316608245827</v>
      </c>
      <c r="H143" s="260">
        <f t="shared" si="59"/>
        <v>2.304462043952386E-2</v>
      </c>
      <c r="I143" s="265">
        <f t="shared" si="59"/>
        <v>0.14210939539170084</v>
      </c>
      <c r="J143" s="260"/>
      <c r="K143" s="264"/>
      <c r="L143" s="264">
        <f t="shared" si="59"/>
        <v>0.11139101175228565</v>
      </c>
      <c r="M143" s="266">
        <f t="shared" si="59"/>
        <v>1</v>
      </c>
    </row>
    <row r="144" spans="1:13">
      <c r="A144" s="142">
        <v>1990</v>
      </c>
      <c r="B144" s="192">
        <f t="shared" ref="B144:M144" si="60">B65/$M65</f>
        <v>0.47619930438443364</v>
      </c>
      <c r="C144" s="193">
        <f t="shared" si="60"/>
        <v>9.9879682916308235E-2</v>
      </c>
      <c r="D144" s="195">
        <f t="shared" si="60"/>
        <v>0.16428959309108176</v>
      </c>
      <c r="E144" s="199">
        <f t="shared" si="60"/>
        <v>4.9065850256371744E-2</v>
      </c>
      <c r="F144" s="199">
        <f t="shared" si="60"/>
        <v>0.11522374283471003</v>
      </c>
      <c r="G144" s="194">
        <f t="shared" si="60"/>
        <v>0.21203002837704363</v>
      </c>
      <c r="H144" s="189">
        <f t="shared" si="60"/>
        <v>2.2605578858583698E-2</v>
      </c>
      <c r="I144" s="200">
        <f t="shared" si="60"/>
        <v>0.13782932169329373</v>
      </c>
      <c r="J144" s="189"/>
      <c r="K144" s="199"/>
      <c r="L144" s="199">
        <f t="shared" si="60"/>
        <v>0.10665005121505432</v>
      </c>
      <c r="M144" s="212">
        <f t="shared" si="60"/>
        <v>1</v>
      </c>
    </row>
    <row r="145" spans="1:13">
      <c r="A145" s="142">
        <v>1991</v>
      </c>
      <c r="B145" s="192">
        <f t="shared" ref="B145:M145" si="61">B66/$M66</f>
        <v>0.49410828652910643</v>
      </c>
      <c r="C145" s="193">
        <f t="shared" si="61"/>
        <v>0.10222570561272026</v>
      </c>
      <c r="D145" s="195">
        <f t="shared" si="61"/>
        <v>0.18940169241876548</v>
      </c>
      <c r="E145" s="199">
        <f t="shared" si="61"/>
        <v>6.3791121677804472E-2</v>
      </c>
      <c r="F145" s="199">
        <f t="shared" si="61"/>
        <v>0.12561057074096099</v>
      </c>
      <c r="G145" s="194">
        <f t="shared" si="61"/>
        <v>0.20248088849762072</v>
      </c>
      <c r="H145" s="189">
        <f t="shared" si="61"/>
        <v>2.4798842631241564E-2</v>
      </c>
      <c r="I145" s="200">
        <f t="shared" si="61"/>
        <v>0.15040941337220257</v>
      </c>
      <c r="J145" s="189"/>
      <c r="K145" s="199"/>
      <c r="L145" s="199">
        <f t="shared" si="61"/>
        <v>0.12823863708667124</v>
      </c>
      <c r="M145" s="212">
        <f t="shared" si="61"/>
        <v>1</v>
      </c>
    </row>
    <row r="146" spans="1:13">
      <c r="A146" s="142">
        <v>1992</v>
      </c>
      <c r="B146" s="192">
        <f t="shared" ref="B146:M146" si="62">B67/$M67</f>
        <v>0.4971300330184229</v>
      </c>
      <c r="C146" s="193">
        <f t="shared" si="62"/>
        <v>9.7926414915889354E-2</v>
      </c>
      <c r="D146" s="195">
        <f t="shared" si="62"/>
        <v>0.19215922388816536</v>
      </c>
      <c r="E146" s="199">
        <f t="shared" si="62"/>
        <v>6.2506187578413003E-2</v>
      </c>
      <c r="F146" s="199">
        <f t="shared" si="62"/>
        <v>0.12965303630975236</v>
      </c>
      <c r="G146" s="194">
        <f t="shared" si="62"/>
        <v>0.20704439421436815</v>
      </c>
      <c r="H146" s="189">
        <f t="shared" si="62"/>
        <v>2.7118948575500276E-2</v>
      </c>
      <c r="I146" s="200">
        <f t="shared" si="62"/>
        <v>0.15677198488525262</v>
      </c>
      <c r="J146" s="189"/>
      <c r="K146" s="199"/>
      <c r="L146" s="199">
        <f t="shared" si="62"/>
        <v>0.12618527357968998</v>
      </c>
      <c r="M146" s="212">
        <f t="shared" si="62"/>
        <v>1</v>
      </c>
    </row>
    <row r="147" spans="1:13">
      <c r="A147" s="142">
        <v>1993</v>
      </c>
      <c r="B147" s="192">
        <f t="shared" ref="B147:M147" si="63">B68/$M68</f>
        <v>0.5251952060267725</v>
      </c>
      <c r="C147" s="193">
        <f t="shared" si="63"/>
        <v>0.10256552541034171</v>
      </c>
      <c r="D147" s="195">
        <f t="shared" si="63"/>
        <v>0.20868921693118678</v>
      </c>
      <c r="E147" s="199">
        <f t="shared" si="63"/>
        <v>6.8208123761878597E-2</v>
      </c>
      <c r="F147" s="199">
        <f t="shared" si="63"/>
        <v>0.14048109316930815</v>
      </c>
      <c r="G147" s="194">
        <f t="shared" si="63"/>
        <v>0.21394046368524397</v>
      </c>
      <c r="H147" s="189">
        <f t="shared" si="63"/>
        <v>3.6825973385235571E-2</v>
      </c>
      <c r="I147" s="200">
        <f t="shared" si="63"/>
        <v>0.17730706655454373</v>
      </c>
      <c r="J147" s="189"/>
      <c r="K147" s="199"/>
      <c r="L147" s="199">
        <f t="shared" si="63"/>
        <v>0.13283232390703686</v>
      </c>
      <c r="M147" s="212">
        <f t="shared" si="63"/>
        <v>1</v>
      </c>
    </row>
    <row r="148" spans="1:13">
      <c r="A148" s="142">
        <v>1994</v>
      </c>
      <c r="B148" s="192">
        <f t="shared" ref="B148:M148" si="64">B69/$M69</f>
        <v>0.53153835905746383</v>
      </c>
      <c r="C148" s="193">
        <f t="shared" si="64"/>
        <v>9.9976728040090862E-2</v>
      </c>
      <c r="D148" s="195">
        <f t="shared" si="64"/>
        <v>0.20123135118843516</v>
      </c>
      <c r="E148" s="199">
        <f t="shared" si="64"/>
        <v>6.4340133971099889E-2</v>
      </c>
      <c r="F148" s="199">
        <f t="shared" si="64"/>
        <v>0.13689121721733527</v>
      </c>
      <c r="G148" s="194">
        <f t="shared" si="64"/>
        <v>0.23033027982893778</v>
      </c>
      <c r="H148" s="189">
        <f t="shared" si="64"/>
        <v>3.3241936087934194E-2</v>
      </c>
      <c r="I148" s="200">
        <f t="shared" si="64"/>
        <v>0.17013315330526946</v>
      </c>
      <c r="J148" s="189"/>
      <c r="K148" s="199"/>
      <c r="L148" s="199">
        <f t="shared" si="64"/>
        <v>0.12260496790418973</v>
      </c>
      <c r="M148" s="212">
        <f t="shared" si="64"/>
        <v>1</v>
      </c>
    </row>
    <row r="149" spans="1:13">
      <c r="A149" s="142">
        <v>1995</v>
      </c>
      <c r="B149" s="192">
        <f t="shared" ref="B149:M149" si="65">B70/$M70</f>
        <v>0.60047093643308735</v>
      </c>
      <c r="C149" s="193">
        <f t="shared" si="65"/>
        <v>0.10426743596300951</v>
      </c>
      <c r="D149" s="195">
        <f t="shared" si="65"/>
        <v>0.2526709804664718</v>
      </c>
      <c r="E149" s="199">
        <f t="shared" si="65"/>
        <v>8.3795438558403434E-2</v>
      </c>
      <c r="F149" s="199">
        <f t="shared" si="65"/>
        <v>0.16887554190806836</v>
      </c>
      <c r="G149" s="194">
        <f t="shared" si="65"/>
        <v>0.24353252000360603</v>
      </c>
      <c r="H149" s="189">
        <f t="shared" si="65"/>
        <v>3.8261668693551569E-2</v>
      </c>
      <c r="I149" s="200">
        <f t="shared" si="65"/>
        <v>0.20713721060161994</v>
      </c>
      <c r="J149" s="189"/>
      <c r="K149" s="199"/>
      <c r="L149" s="199">
        <f t="shared" si="65"/>
        <v>0.1541974915689561</v>
      </c>
      <c r="M149" s="212">
        <f t="shared" si="65"/>
        <v>1</v>
      </c>
    </row>
    <row r="150" spans="1:13">
      <c r="A150" s="142">
        <v>1996</v>
      </c>
      <c r="B150" s="192">
        <f t="shared" ref="B150:M150" si="66">B71/$M71</f>
        <v>0.6485642926055164</v>
      </c>
      <c r="C150" s="193">
        <f t="shared" si="66"/>
        <v>0.10756673609420506</v>
      </c>
      <c r="D150" s="195">
        <f t="shared" si="66"/>
        <v>0.29092078949029371</v>
      </c>
      <c r="E150" s="199">
        <f t="shared" si="66"/>
        <v>9.7429954827017232E-2</v>
      </c>
      <c r="F150" s="199">
        <f t="shared" si="66"/>
        <v>0.19349083466327646</v>
      </c>
      <c r="G150" s="194">
        <f t="shared" si="66"/>
        <v>0.25007676702101761</v>
      </c>
      <c r="H150" s="189">
        <f t="shared" si="66"/>
        <v>4.4561299106458563E-2</v>
      </c>
      <c r="I150" s="200">
        <f t="shared" si="66"/>
        <v>0.23805213376973502</v>
      </c>
      <c r="J150" s="189"/>
      <c r="K150" s="199"/>
      <c r="L150" s="199">
        <f t="shared" si="66"/>
        <v>0.17731872650058156</v>
      </c>
      <c r="M150" s="212">
        <f t="shared" si="66"/>
        <v>1</v>
      </c>
    </row>
    <row r="151" spans="1:13">
      <c r="A151" s="142">
        <v>1997</v>
      </c>
      <c r="B151" s="192">
        <f t="shared" ref="B151:M151" si="67">B72/$M72</f>
        <v>0.72294011055930485</v>
      </c>
      <c r="C151" s="193">
        <f t="shared" si="67"/>
        <v>0.11127980361815722</v>
      </c>
      <c r="D151" s="195">
        <f t="shared" si="67"/>
        <v>0.34631392469328842</v>
      </c>
      <c r="E151" s="199">
        <f t="shared" si="67"/>
        <v>0.12878376663182997</v>
      </c>
      <c r="F151" s="199">
        <f t="shared" si="67"/>
        <v>0.21753015806145845</v>
      </c>
      <c r="G151" s="194">
        <f t="shared" si="67"/>
        <v>0.26534638224785911</v>
      </c>
      <c r="H151" s="189">
        <f t="shared" si="67"/>
        <v>3.8736264478164945E-2</v>
      </c>
      <c r="I151" s="200">
        <f t="shared" si="67"/>
        <v>0.2562664225396234</v>
      </c>
      <c r="J151" s="189"/>
      <c r="K151" s="199"/>
      <c r="L151" s="199">
        <f t="shared" si="67"/>
        <v>0.22109268456031478</v>
      </c>
      <c r="M151" s="212">
        <f t="shared" si="67"/>
        <v>1</v>
      </c>
    </row>
    <row r="152" spans="1:13">
      <c r="A152" s="142">
        <v>1998</v>
      </c>
      <c r="B152" s="192">
        <f t="shared" ref="B152:M152" si="68">B73/$M73</f>
        <v>0.75599572882549493</v>
      </c>
      <c r="C152" s="193">
        <f t="shared" si="68"/>
        <v>0.11682229848180811</v>
      </c>
      <c r="D152" s="195">
        <f t="shared" si="68"/>
        <v>0.38782589561118974</v>
      </c>
      <c r="E152" s="199">
        <f t="shared" si="68"/>
        <v>0.1606312317985755</v>
      </c>
      <c r="F152" s="199">
        <f t="shared" si="68"/>
        <v>0.2271946638126143</v>
      </c>
      <c r="G152" s="194">
        <f t="shared" si="68"/>
        <v>0.25134753473249705</v>
      </c>
      <c r="H152" s="189">
        <f t="shared" si="68"/>
        <v>4.1291279232509123E-2</v>
      </c>
      <c r="I152" s="200">
        <f t="shared" si="68"/>
        <v>0.26848594304512341</v>
      </c>
      <c r="J152" s="189"/>
      <c r="K152" s="199"/>
      <c r="L152" s="199">
        <f t="shared" si="68"/>
        <v>0.27668228603447959</v>
      </c>
      <c r="M152" s="212">
        <f t="shared" si="68"/>
        <v>1</v>
      </c>
    </row>
    <row r="153" spans="1:13">
      <c r="A153" s="238">
        <v>1999</v>
      </c>
      <c r="B153" s="257">
        <f t="shared" ref="B153:M153" si="69">B74/$M74</f>
        <v>0.80228387602592544</v>
      </c>
      <c r="C153" s="258">
        <f t="shared" si="69"/>
        <v>0.1318154314755115</v>
      </c>
      <c r="D153" s="259">
        <f t="shared" si="69"/>
        <v>0.40793019182607898</v>
      </c>
      <c r="E153" s="264">
        <f t="shared" si="69"/>
        <v>0.19436916164826115</v>
      </c>
      <c r="F153" s="264">
        <f t="shared" si="69"/>
        <v>0.21356103017781788</v>
      </c>
      <c r="G153" s="261">
        <f t="shared" si="69"/>
        <v>0.26253825272433495</v>
      </c>
      <c r="H153" s="260">
        <f t="shared" si="69"/>
        <v>3.8082587262729971E-2</v>
      </c>
      <c r="I153" s="265">
        <f t="shared" si="69"/>
        <v>0.25164361744054786</v>
      </c>
      <c r="J153" s="260"/>
      <c r="K153" s="264"/>
      <c r="L153" s="264">
        <f t="shared" si="69"/>
        <v>0.33479350504239863</v>
      </c>
      <c r="M153" s="266">
        <f t="shared" si="69"/>
        <v>1</v>
      </c>
    </row>
    <row r="154" spans="1:13">
      <c r="A154" s="142">
        <v>2000</v>
      </c>
      <c r="B154" s="192">
        <f t="shared" ref="B154:M154" si="70">B75/$M75</f>
        <v>0.84750991434474643</v>
      </c>
      <c r="C154" s="193">
        <f t="shared" si="70"/>
        <v>0.15897016221687357</v>
      </c>
      <c r="D154" s="195">
        <f t="shared" si="70"/>
        <v>0.40957305298029517</v>
      </c>
      <c r="E154" s="199">
        <f t="shared" si="70"/>
        <v>0.18133602318220379</v>
      </c>
      <c r="F154" s="199">
        <f t="shared" si="70"/>
        <v>0.22823702979809138</v>
      </c>
      <c r="G154" s="194">
        <f t="shared" si="70"/>
        <v>0.27896669914757771</v>
      </c>
      <c r="H154" s="189">
        <f t="shared" si="70"/>
        <v>3.6210978424136328E-2</v>
      </c>
      <c r="I154" s="200">
        <f t="shared" si="70"/>
        <v>0.26444800822222769</v>
      </c>
      <c r="J154" s="189"/>
      <c r="K154" s="199"/>
      <c r="L154" s="199">
        <f t="shared" si="70"/>
        <v>0.31136243932175345</v>
      </c>
      <c r="M154" s="212">
        <f t="shared" si="70"/>
        <v>1</v>
      </c>
    </row>
    <row r="155" spans="1:13">
      <c r="A155" s="142">
        <v>2001</v>
      </c>
      <c r="B155" s="192">
        <f t="shared" ref="B155:M155" si="71">B76/$M76</f>
        <v>0.89096634698607879</v>
      </c>
      <c r="C155" s="193">
        <f t="shared" si="71"/>
        <v>0.16531717837697779</v>
      </c>
      <c r="D155" s="195">
        <f t="shared" si="71"/>
        <v>0.42831399608718795</v>
      </c>
      <c r="E155" s="199">
        <f t="shared" si="71"/>
        <v>0.17126217038042679</v>
      </c>
      <c r="F155" s="199">
        <f t="shared" si="71"/>
        <v>0.25705182570676122</v>
      </c>
      <c r="G155" s="194">
        <f t="shared" si="71"/>
        <v>0.29733517252191299</v>
      </c>
      <c r="H155" s="189">
        <f t="shared" si="71"/>
        <v>3.5483347686117148E-2</v>
      </c>
      <c r="I155" s="200">
        <f t="shared" si="71"/>
        <v>0.29253517339287832</v>
      </c>
      <c r="J155" s="189"/>
      <c r="K155" s="199"/>
      <c r="L155" s="199">
        <f t="shared" si="71"/>
        <v>0.27874093243377124</v>
      </c>
      <c r="M155" s="212">
        <f t="shared" si="71"/>
        <v>1</v>
      </c>
    </row>
    <row r="156" spans="1:13">
      <c r="A156" s="142">
        <v>2002</v>
      </c>
      <c r="B156" s="192">
        <f t="shared" ref="B156:M156" si="72">B77/$M77</f>
        <v>0.92402472468241093</v>
      </c>
      <c r="C156" s="193">
        <f t="shared" si="72"/>
        <v>0.15942477191404267</v>
      </c>
      <c r="D156" s="195">
        <f t="shared" si="72"/>
        <v>0.43037435420405362</v>
      </c>
      <c r="E156" s="199">
        <f t="shared" si="72"/>
        <v>0.14123052844423981</v>
      </c>
      <c r="F156" s="199">
        <f t="shared" si="72"/>
        <v>0.28914382575981379</v>
      </c>
      <c r="G156" s="194">
        <f t="shared" si="72"/>
        <v>0.33422559856431466</v>
      </c>
      <c r="H156" s="189">
        <f t="shared" si="72"/>
        <v>4.5063066365990417E-2</v>
      </c>
      <c r="I156" s="200">
        <f t="shared" si="72"/>
        <v>0.33420689212580418</v>
      </c>
      <c r="J156" s="189"/>
      <c r="K156" s="199"/>
      <c r="L156" s="199">
        <f t="shared" si="72"/>
        <v>0.2148920192625724</v>
      </c>
      <c r="M156" s="212">
        <f t="shared" si="72"/>
        <v>1</v>
      </c>
    </row>
    <row r="157" spans="1:13">
      <c r="A157" s="142">
        <v>2003</v>
      </c>
      <c r="B157" s="192">
        <f t="shared" ref="B157:M157" si="73">B78/$M78</f>
        <v>0.9889946062951116</v>
      </c>
      <c r="C157" s="193">
        <f t="shared" si="73"/>
        <v>0.16066726455576247</v>
      </c>
      <c r="D157" s="195">
        <f t="shared" si="73"/>
        <v>0.50616670943352127</v>
      </c>
      <c r="E157" s="199">
        <f t="shared" si="73"/>
        <v>0.18687462367285135</v>
      </c>
      <c r="F157" s="199">
        <f t="shared" si="73"/>
        <v>0.31929208576066992</v>
      </c>
      <c r="G157" s="194">
        <f t="shared" si="73"/>
        <v>0.32216063230582787</v>
      </c>
      <c r="H157" s="189">
        <f t="shared" si="73"/>
        <v>4.6906787734974233E-2</v>
      </c>
      <c r="I157" s="200">
        <f t="shared" si="73"/>
        <v>0.36619887349564412</v>
      </c>
      <c r="J157" s="189"/>
      <c r="K157" s="199"/>
      <c r="L157" s="199">
        <f t="shared" si="73"/>
        <v>0.24947493311856753</v>
      </c>
      <c r="M157" s="212">
        <f t="shared" si="73"/>
        <v>1</v>
      </c>
    </row>
    <row r="158" spans="1:13">
      <c r="A158" s="142">
        <v>2004</v>
      </c>
      <c r="B158" s="192">
        <f t="shared" ref="B158:M158" si="74">B79/$M79</f>
        <v>1.1005886765241888</v>
      </c>
      <c r="C158" s="193">
        <f t="shared" si="74"/>
        <v>0.16543641058971267</v>
      </c>
      <c r="D158" s="195">
        <f t="shared" si="74"/>
        <v>0.56691510063054085</v>
      </c>
      <c r="E158" s="199">
        <f t="shared" si="74"/>
        <v>0.20166576902234265</v>
      </c>
      <c r="F158" s="199">
        <f t="shared" si="74"/>
        <v>0.36524933160819811</v>
      </c>
      <c r="G158" s="194">
        <f t="shared" si="74"/>
        <v>0.36823716530393535</v>
      </c>
      <c r="H158" s="189">
        <f t="shared" si="74"/>
        <v>6.0181201851689854E-2</v>
      </c>
      <c r="I158" s="200">
        <f t="shared" si="74"/>
        <v>0.42543053345988796</v>
      </c>
      <c r="J158" s="189"/>
      <c r="K158" s="199"/>
      <c r="L158" s="199">
        <f t="shared" si="74"/>
        <v>0.25796176182321456</v>
      </c>
      <c r="M158" s="212">
        <f t="shared" si="74"/>
        <v>1</v>
      </c>
    </row>
    <row r="159" spans="1:13">
      <c r="A159" s="142">
        <v>2005</v>
      </c>
      <c r="B159" s="192">
        <f t="shared" ref="B159:M159" si="75">B80/$M80</f>
        <v>1.131965855640074</v>
      </c>
      <c r="C159" s="193">
        <f t="shared" si="75"/>
        <v>0.16906229214023405</v>
      </c>
      <c r="D159" s="195">
        <f t="shared" si="75"/>
        <v>0.5972520351297218</v>
      </c>
      <c r="E159" s="199">
        <f t="shared" si="75"/>
        <v>0.20480481392529465</v>
      </c>
      <c r="F159" s="199">
        <f t="shared" si="75"/>
        <v>0.39244722120442715</v>
      </c>
      <c r="G159" s="194">
        <f t="shared" si="75"/>
        <v>0.36565152837011833</v>
      </c>
      <c r="H159" s="189">
        <f t="shared" si="75"/>
        <v>5.1397010995414619E-2</v>
      </c>
      <c r="I159" s="200">
        <f t="shared" si="75"/>
        <v>0.44384423219984176</v>
      </c>
      <c r="J159" s="189"/>
      <c r="K159" s="199">
        <f t="shared" si="75"/>
        <v>0.10041967293661101</v>
      </c>
      <c r="L159" s="199">
        <f t="shared" si="75"/>
        <v>0.24995682921082304</v>
      </c>
      <c r="M159" s="212">
        <f t="shared" si="75"/>
        <v>1</v>
      </c>
    </row>
    <row r="160" spans="1:13">
      <c r="A160" s="142">
        <v>2006</v>
      </c>
      <c r="B160" s="192">
        <f t="shared" ref="B160:M160" si="76">B81/$M81</f>
        <v>1.2833793301570604</v>
      </c>
      <c r="C160" s="193">
        <f t="shared" si="76"/>
        <v>0.17903922752099818</v>
      </c>
      <c r="D160" s="195">
        <f t="shared" si="76"/>
        <v>0.68336641210886073</v>
      </c>
      <c r="E160" s="199">
        <f t="shared" si="76"/>
        <v>0.23167566094015013</v>
      </c>
      <c r="F160" s="199">
        <f t="shared" si="76"/>
        <v>0.4516907511687106</v>
      </c>
      <c r="G160" s="194">
        <f t="shared" si="76"/>
        <v>0.42097369052720141</v>
      </c>
      <c r="H160" s="189">
        <f t="shared" si="76"/>
        <v>5.175015656962003E-2</v>
      </c>
      <c r="I160" s="200">
        <f t="shared" si="76"/>
        <v>0.50344090773833061</v>
      </c>
      <c r="J160" s="199"/>
      <c r="K160" s="199">
        <f t="shared" si="76"/>
        <v>9.8008189404219903E-2</v>
      </c>
      <c r="L160" s="199">
        <f t="shared" si="76"/>
        <v>0.27370877221997586</v>
      </c>
      <c r="M160" s="212">
        <f t="shared" si="76"/>
        <v>1</v>
      </c>
    </row>
    <row r="161" spans="1:13">
      <c r="A161" s="142">
        <v>2007</v>
      </c>
      <c r="B161" s="192">
        <f t="shared" ref="B161:M161" si="77">B82/$M82</f>
        <v>1.428462261126638</v>
      </c>
      <c r="C161" s="193">
        <f t="shared" si="77"/>
        <v>0.18924194416743798</v>
      </c>
      <c r="D161" s="195">
        <f t="shared" si="77"/>
        <v>0.7651139982165821</v>
      </c>
      <c r="E161" s="199">
        <f t="shared" si="77"/>
        <v>0.26070683944125167</v>
      </c>
      <c r="F161" s="199">
        <f t="shared" si="77"/>
        <v>0.50440715877533049</v>
      </c>
      <c r="G161" s="194">
        <f t="shared" si="77"/>
        <v>0.47410631874261794</v>
      </c>
      <c r="H161" s="189">
        <f t="shared" si="77"/>
        <v>6.4895822359064576E-2</v>
      </c>
      <c r="I161" s="200">
        <f t="shared" si="77"/>
        <v>0.56930298113439504</v>
      </c>
      <c r="J161" s="199"/>
      <c r="K161" s="199">
        <f t="shared" si="77"/>
        <v>0.20069178025723874</v>
      </c>
      <c r="L161" s="199">
        <f t="shared" si="77"/>
        <v>0.28647838868344427</v>
      </c>
      <c r="M161" s="212">
        <f t="shared" si="77"/>
        <v>1</v>
      </c>
    </row>
    <row r="162" spans="1:13">
      <c r="A162" s="142">
        <v>2008</v>
      </c>
      <c r="B162" s="192">
        <f t="shared" ref="B162:M162" si="78">B83/$M83</f>
        <v>1.3343942939061195</v>
      </c>
      <c r="C162" s="193">
        <f t="shared" si="78"/>
        <v>0.19090887916098379</v>
      </c>
      <c r="D162" s="195">
        <f t="shared" si="78"/>
        <v>0.65905018015691841</v>
      </c>
      <c r="E162" s="199">
        <f t="shared" si="78"/>
        <v>0.16844889860307963</v>
      </c>
      <c r="F162" s="199">
        <f t="shared" si="78"/>
        <v>0.49060128155383875</v>
      </c>
      <c r="G162" s="194">
        <f t="shared" si="78"/>
        <v>0.48443523458821725</v>
      </c>
      <c r="H162" s="189">
        <f t="shared" si="78"/>
        <v>8.7590961874101786E-2</v>
      </c>
      <c r="I162" s="200">
        <f t="shared" si="78"/>
        <v>0.57819224342794051</v>
      </c>
      <c r="J162" s="199"/>
      <c r="K162" s="199">
        <f t="shared" si="78"/>
        <v>0.47522765229027925</v>
      </c>
      <c r="L162" s="199">
        <f t="shared" si="78"/>
        <v>0.19800008799310229</v>
      </c>
      <c r="M162" s="212">
        <f t="shared" si="78"/>
        <v>1</v>
      </c>
    </row>
    <row r="163" spans="1:13">
      <c r="A163" s="255">
        <v>2009</v>
      </c>
      <c r="B163" s="257">
        <f t="shared" ref="B163:M163" si="79">B84/$M84</f>
        <v>1.4290340499955296</v>
      </c>
      <c r="C163" s="258">
        <f t="shared" si="79"/>
        <v>0.19617158305980351</v>
      </c>
      <c r="D163" s="259">
        <f t="shared" si="79"/>
        <v>0.77740546400903132</v>
      </c>
      <c r="E163" s="264">
        <f t="shared" si="79"/>
        <v>0.23908297166482634</v>
      </c>
      <c r="F163" s="264">
        <f t="shared" si="79"/>
        <v>0.53832249234420493</v>
      </c>
      <c r="G163" s="261">
        <f t="shared" si="79"/>
        <v>0.45545700292669478</v>
      </c>
      <c r="H163" s="260">
        <f t="shared" si="79"/>
        <v>8.0082842994627507E-2</v>
      </c>
      <c r="I163" s="265">
        <f t="shared" si="79"/>
        <v>0.61840533533883246</v>
      </c>
      <c r="J163" s="260"/>
      <c r="K163" s="264">
        <f t="shared" si="79"/>
        <v>0.27512715077799665</v>
      </c>
      <c r="L163" s="264">
        <f t="shared" si="79"/>
        <v>0.24502625878186376</v>
      </c>
      <c r="M163" s="266">
        <f t="shared" si="79"/>
        <v>1</v>
      </c>
    </row>
    <row r="164" spans="1:13">
      <c r="A164" s="160">
        <v>2010</v>
      </c>
      <c r="B164" s="192">
        <f t="shared" ref="B164:M164" si="80">B85/$M85</f>
        <v>1.4998161738512197</v>
      </c>
      <c r="C164" s="193">
        <f t="shared" si="80"/>
        <v>0.20260356539977811</v>
      </c>
      <c r="D164" s="195">
        <f t="shared" si="80"/>
        <v>0.85678724365779113</v>
      </c>
      <c r="E164" s="199">
        <f t="shared" si="80"/>
        <v>0.28005685051488749</v>
      </c>
      <c r="F164" s="199">
        <f t="shared" si="80"/>
        <v>0.57673039314290364</v>
      </c>
      <c r="G164" s="194">
        <f t="shared" si="80"/>
        <v>0.44042536479365052</v>
      </c>
      <c r="H164" s="189">
        <f t="shared" si="80"/>
        <v>7.187591108281724E-2</v>
      </c>
      <c r="I164" s="200">
        <f t="shared" si="80"/>
        <v>0.64860630422572085</v>
      </c>
      <c r="J164" s="189"/>
      <c r="K164" s="199">
        <f t="shared" si="80"/>
        <v>0.27624664713918912</v>
      </c>
      <c r="L164" s="199">
        <f t="shared" si="80"/>
        <v>0.26497506521267628</v>
      </c>
      <c r="M164" s="212">
        <f t="shared" si="80"/>
        <v>1</v>
      </c>
    </row>
    <row r="165" spans="1:13">
      <c r="A165" s="160">
        <v>2011</v>
      </c>
      <c r="B165" s="192">
        <f t="shared" ref="B165:M165" si="81">B86/$M86</f>
        <v>1.5408622911151844</v>
      </c>
      <c r="C165" s="193">
        <f t="shared" si="81"/>
        <v>0.21774200883119946</v>
      </c>
      <c r="D165" s="195">
        <f t="shared" si="81"/>
        <v>0.86543104730839293</v>
      </c>
      <c r="E165" s="199">
        <f t="shared" si="81"/>
        <v>0.28669273545420604</v>
      </c>
      <c r="F165" s="199">
        <f t="shared" si="81"/>
        <v>0.57873831185418689</v>
      </c>
      <c r="G165" s="194">
        <f t="shared" si="81"/>
        <v>0.45768923497559189</v>
      </c>
      <c r="H165" s="189">
        <f t="shared" si="81"/>
        <v>6.5752481260134873E-2</v>
      </c>
      <c r="I165" s="200">
        <f t="shared" si="81"/>
        <v>0.64449079311432178</v>
      </c>
      <c r="J165" s="189"/>
      <c r="K165" s="199">
        <f t="shared" si="81"/>
        <v>0.34272419765493195</v>
      </c>
      <c r="L165" s="199">
        <f t="shared" si="81"/>
        <v>0.26269844700765688</v>
      </c>
      <c r="M165" s="212">
        <f t="shared" si="81"/>
        <v>1</v>
      </c>
    </row>
    <row r="166" spans="1:13" ht="16" thickBot="1">
      <c r="A166" s="161">
        <v>2012</v>
      </c>
      <c r="B166" s="202">
        <f t="shared" ref="B166:M166" si="82">B87/$M87</f>
        <v>1.5576909605863405</v>
      </c>
      <c r="C166" s="203">
        <f t="shared" si="82"/>
        <v>0.22127451192355091</v>
      </c>
      <c r="D166" s="204">
        <f t="shared" si="82"/>
        <v>0.89727830266865571</v>
      </c>
      <c r="E166" s="205">
        <f t="shared" si="82"/>
        <v>0.30537536303951457</v>
      </c>
      <c r="F166" s="205">
        <f t="shared" si="82"/>
        <v>0.5919029396291412</v>
      </c>
      <c r="G166" s="206">
        <f t="shared" si="82"/>
        <v>0.4391381459941337</v>
      </c>
      <c r="H166" s="207">
        <f t="shared" si="82"/>
        <v>5.8426912848896291E-2</v>
      </c>
      <c r="I166" s="208">
        <f t="shared" si="82"/>
        <v>0.65032985247803754</v>
      </c>
      <c r="J166" s="207"/>
      <c r="K166" s="205">
        <f t="shared" si="82"/>
        <v>0.25670298863497143</v>
      </c>
      <c r="L166" s="205">
        <f t="shared" si="82"/>
        <v>0.28336727707752291</v>
      </c>
      <c r="M166" s="213">
        <f t="shared" si="82"/>
        <v>1</v>
      </c>
    </row>
    <row r="167" spans="1:13" ht="17" thickTop="1" thickBot="1"/>
    <row r="168" spans="1:13">
      <c r="A168" s="468" t="s">
        <v>175</v>
      </c>
      <c r="B168" s="469"/>
      <c r="C168" s="469"/>
      <c r="D168" s="469"/>
      <c r="E168" s="469"/>
      <c r="F168" s="469"/>
      <c r="G168" s="469"/>
      <c r="H168" s="469"/>
      <c r="I168" s="469"/>
      <c r="J168" s="469"/>
      <c r="K168" s="469"/>
      <c r="L168" s="469"/>
      <c r="M168" s="470"/>
    </row>
    <row r="169" spans="1:13" ht="16" thickBot="1">
      <c r="A169" s="471"/>
      <c r="B169" s="472"/>
      <c r="C169" s="472"/>
      <c r="D169" s="472"/>
      <c r="E169" s="472"/>
      <c r="F169" s="472"/>
      <c r="G169" s="472"/>
      <c r="H169" s="472"/>
      <c r="I169" s="472"/>
      <c r="J169" s="472"/>
      <c r="K169" s="472"/>
      <c r="L169" s="472"/>
      <c r="M169" s="473"/>
    </row>
  </sheetData>
  <mergeCells count="16">
    <mergeCell ref="B9:M9"/>
    <mergeCell ref="B88:M88"/>
    <mergeCell ref="A168:M169"/>
    <mergeCell ref="L6:L8"/>
    <mergeCell ref="A3:M3"/>
    <mergeCell ref="H6:H8"/>
    <mergeCell ref="I6:I8"/>
    <mergeCell ref="J6:J8"/>
    <mergeCell ref="K6:K8"/>
    <mergeCell ref="M6:M8"/>
    <mergeCell ref="B6:B8"/>
    <mergeCell ref="C6:C8"/>
    <mergeCell ref="D6:D8"/>
    <mergeCell ref="E6:E8"/>
    <mergeCell ref="F6:F8"/>
    <mergeCell ref="G6:G8"/>
  </mergeCells>
  <phoneticPr fontId="37" type="noConversion"/>
  <pageMargins left="0.75000000000000011" right="0.75000000000000011" top="1" bottom="1" header="0.5" footer="0.5"/>
  <pageSetup paperSize="9" scale="52" fitToWidth="0" fitToHeight="2" orientation="portrait" horizontalDpi="4294967292" verticalDpi="4294967292"/>
  <colBreaks count="1" manualBreakCount="1">
    <brk id="13" max="1048575" man="1"/>
  </colBreaks>
  <ignoredErrors>
    <ignoredError sqref="D18" formula="1"/>
  </ignoredError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85"/>
  <sheetViews>
    <sheetView workbookViewId="0">
      <pane xSplit="1" ySplit="8" topLeftCell="B9" activePane="bottomRight" state="frozen"/>
      <selection activeCell="K1" sqref="K1"/>
      <selection pane="topRight" activeCell="L1" sqref="L1"/>
      <selection pane="bottomLeft" activeCell="K9" sqref="K9"/>
      <selection pane="bottomRight" activeCell="A4" sqref="A4"/>
    </sheetView>
  </sheetViews>
  <sheetFormatPr baseColWidth="10" defaultColWidth="10.83203125" defaultRowHeight="12" x14ac:dyDescent="0"/>
  <cols>
    <col min="1" max="1" width="12.5" style="3" customWidth="1"/>
    <col min="2" max="2" width="11.6640625" style="2" customWidth="1"/>
    <col min="3" max="5" width="10" style="2" customWidth="1"/>
    <col min="6" max="12" width="10" style="3" customWidth="1"/>
    <col min="13" max="13" width="10" style="1" customWidth="1"/>
    <col min="14" max="19" width="10" style="3" customWidth="1"/>
    <col min="20" max="16384" width="10.83203125" style="3"/>
  </cols>
  <sheetData>
    <row r="1" spans="1:19" ht="13" customHeight="1">
      <c r="A1" s="1"/>
    </row>
    <row r="2" spans="1:19" ht="13" customHeight="1" thickBot="1">
      <c r="A2" s="1"/>
    </row>
    <row r="3" spans="1:19" s="5" customFormat="1" ht="20" customHeight="1" thickTop="1">
      <c r="A3" s="449" t="s">
        <v>218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1"/>
    </row>
    <row r="4" spans="1:19">
      <c r="A4" s="7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1"/>
      <c r="R4" s="1"/>
      <c r="S4" s="6"/>
    </row>
    <row r="5" spans="1:19" ht="16" thickBot="1">
      <c r="A5" s="28"/>
      <c r="B5" s="11" t="s">
        <v>17</v>
      </c>
      <c r="C5" s="12" t="s">
        <v>18</v>
      </c>
      <c r="D5" s="11" t="s">
        <v>19</v>
      </c>
      <c r="E5" s="21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22" t="s">
        <v>26</v>
      </c>
      <c r="L5" s="22" t="s">
        <v>27</v>
      </c>
      <c r="M5" s="13" t="s">
        <v>28</v>
      </c>
      <c r="N5" s="323" t="s">
        <v>29</v>
      </c>
      <c r="O5" s="22" t="s">
        <v>30</v>
      </c>
      <c r="P5" s="22" t="s">
        <v>69</v>
      </c>
      <c r="Q5" s="22" t="s">
        <v>70</v>
      </c>
      <c r="R5" s="323" t="s">
        <v>76</v>
      </c>
      <c r="S5" s="39" t="s">
        <v>77</v>
      </c>
    </row>
    <row r="6" spans="1:19" ht="32" customHeight="1">
      <c r="A6" s="28"/>
      <c r="B6" s="476" t="s">
        <v>185</v>
      </c>
      <c r="C6" s="175"/>
      <c r="D6" s="175"/>
      <c r="E6" s="294"/>
      <c r="F6" s="456" t="s">
        <v>60</v>
      </c>
      <c r="G6" s="27"/>
      <c r="H6" s="27"/>
      <c r="I6" s="297"/>
      <c r="J6" s="489" t="s">
        <v>186</v>
      </c>
      <c r="K6" s="27"/>
      <c r="L6" s="27"/>
      <c r="M6" s="27"/>
      <c r="N6" s="462" t="s">
        <v>187</v>
      </c>
      <c r="O6" s="288"/>
      <c r="P6" s="288"/>
      <c r="Q6" s="288"/>
      <c r="R6" s="499" t="s">
        <v>71</v>
      </c>
      <c r="S6" s="500" t="s">
        <v>74</v>
      </c>
    </row>
    <row r="7" spans="1:19" ht="25" customHeight="1">
      <c r="A7" s="28"/>
      <c r="B7" s="494"/>
      <c r="C7" s="459" t="s">
        <v>61</v>
      </c>
      <c r="D7" s="459" t="s">
        <v>198</v>
      </c>
      <c r="E7" s="461" t="s">
        <v>199</v>
      </c>
      <c r="F7" s="457"/>
      <c r="G7" s="459" t="s">
        <v>61</v>
      </c>
      <c r="H7" s="459" t="s">
        <v>198</v>
      </c>
      <c r="I7" s="461" t="s">
        <v>199</v>
      </c>
      <c r="J7" s="490"/>
      <c r="K7" s="459" t="s">
        <v>61</v>
      </c>
      <c r="L7" s="459" t="s">
        <v>198</v>
      </c>
      <c r="M7" s="459" t="s">
        <v>199</v>
      </c>
      <c r="N7" s="497"/>
      <c r="O7" s="459" t="s">
        <v>61</v>
      </c>
      <c r="P7" s="459" t="s">
        <v>198</v>
      </c>
      <c r="Q7" s="459" t="s">
        <v>199</v>
      </c>
      <c r="R7" s="497"/>
      <c r="S7" s="501"/>
    </row>
    <row r="8" spans="1:19" ht="61" customHeight="1" thickBot="1">
      <c r="A8" s="29"/>
      <c r="B8" s="495"/>
      <c r="C8" s="492"/>
      <c r="D8" s="492"/>
      <c r="E8" s="483"/>
      <c r="F8" s="496"/>
      <c r="G8" s="492"/>
      <c r="H8" s="492"/>
      <c r="I8" s="483"/>
      <c r="J8" s="491"/>
      <c r="K8" s="492"/>
      <c r="L8" s="492"/>
      <c r="M8" s="492"/>
      <c r="N8" s="498"/>
      <c r="O8" s="492"/>
      <c r="P8" s="492"/>
      <c r="Q8" s="492"/>
      <c r="R8" s="498"/>
      <c r="S8" s="502"/>
    </row>
    <row r="9" spans="1:19" ht="13" customHeight="1">
      <c r="A9" s="324">
        <v>1914</v>
      </c>
      <c r="B9" s="381">
        <f>'Table T3'!D13+'Table T3'!H13</f>
        <v>5.9059999999999997</v>
      </c>
      <c r="C9" s="301">
        <f>'Table T3'!E13</f>
        <v>1.7</v>
      </c>
      <c r="D9" s="302">
        <f>'Table T3'!F13</f>
        <v>3.7059999999999995</v>
      </c>
      <c r="E9" s="303">
        <f>'Table T3'!H13</f>
        <v>0.5</v>
      </c>
      <c r="F9" s="304"/>
      <c r="G9" s="305">
        <f t="shared" ref="G9:G48" si="0">C9-K9</f>
        <v>1.7</v>
      </c>
      <c r="H9" s="306"/>
      <c r="I9" s="307"/>
      <c r="J9" s="306">
        <v>0</v>
      </c>
      <c r="K9" s="308">
        <v>0</v>
      </c>
      <c r="L9" s="306"/>
      <c r="M9" s="306"/>
      <c r="N9" s="380">
        <f>J9/B9</f>
        <v>0</v>
      </c>
      <c r="O9" s="370">
        <f t="shared" ref="O9:O44" si="1">K9/C9</f>
        <v>0</v>
      </c>
      <c r="P9" s="371"/>
      <c r="Q9" s="371"/>
      <c r="R9" s="309">
        <v>15.444000000000001</v>
      </c>
      <c r="S9" s="310">
        <f t="shared" ref="S9:S48" si="2">C9/R9</f>
        <v>0.11007511007511006</v>
      </c>
    </row>
    <row r="10" spans="1:19" ht="13" customHeight="1">
      <c r="A10" s="325">
        <v>1918</v>
      </c>
      <c r="B10" s="382">
        <f>'Table T3'!D14+'Table T3'!H14</f>
        <v>2</v>
      </c>
      <c r="C10" s="284" t="str">
        <f>'Table T3'!E14</f>
        <v>n.a.</v>
      </c>
      <c r="D10" s="284" t="str">
        <f>'Table T3'!F14</f>
        <v>n.a.</v>
      </c>
      <c r="E10" s="295">
        <f>'Table T3'!H14</f>
        <v>0</v>
      </c>
      <c r="F10" s="75"/>
      <c r="G10" s="284" t="s">
        <v>129</v>
      </c>
      <c r="H10" s="30"/>
      <c r="I10" s="128"/>
      <c r="J10" s="30"/>
      <c r="K10" s="31">
        <v>0</v>
      </c>
      <c r="L10" s="30"/>
      <c r="M10" s="30"/>
      <c r="N10" s="372"/>
      <c r="O10" s="51">
        <v>0</v>
      </c>
      <c r="P10" s="373"/>
      <c r="Q10" s="373"/>
      <c r="R10" s="292"/>
      <c r="S10" s="289" t="s">
        <v>129</v>
      </c>
    </row>
    <row r="11" spans="1:19" ht="14" customHeight="1">
      <c r="A11" s="325">
        <v>1924</v>
      </c>
      <c r="B11" s="382">
        <f>'Table T3'!D15+'Table T3'!H15</f>
        <v>2.9329999999999998</v>
      </c>
      <c r="C11" s="284">
        <f>'Table T3'!E15</f>
        <v>0.96299999999999997</v>
      </c>
      <c r="D11" s="284">
        <f>'Table T3'!F15</f>
        <v>0.97</v>
      </c>
      <c r="E11" s="295">
        <f>'Table T3'!H15</f>
        <v>1</v>
      </c>
      <c r="F11" s="75"/>
      <c r="G11" s="178">
        <f t="shared" si="0"/>
        <v>0.96299999999999997</v>
      </c>
      <c r="H11" s="30"/>
      <c r="I11" s="128"/>
      <c r="J11" s="30"/>
      <c r="K11" s="31">
        <v>0</v>
      </c>
      <c r="L11" s="30"/>
      <c r="M11" s="30"/>
      <c r="N11" s="372"/>
      <c r="O11" s="51">
        <f t="shared" si="1"/>
        <v>0</v>
      </c>
      <c r="P11" s="373"/>
      <c r="Q11" s="373"/>
      <c r="R11" s="292">
        <v>25.995000000000001</v>
      </c>
      <c r="S11" s="290">
        <f t="shared" si="2"/>
        <v>3.7045585689555682E-2</v>
      </c>
    </row>
    <row r="12" spans="1:19" ht="15">
      <c r="A12" s="325">
        <v>1929</v>
      </c>
      <c r="B12" s="382">
        <f>'Table T3'!D16+'Table T3'!H16</f>
        <v>4.3250000000000002</v>
      </c>
      <c r="C12" s="284">
        <f>'Table T3'!E16</f>
        <v>2.9799250000000002</v>
      </c>
      <c r="D12" s="284">
        <f>'Table T3'!F16</f>
        <v>1.345075</v>
      </c>
      <c r="E12" s="295">
        <f>'Table T3'!H16</f>
        <v>0</v>
      </c>
      <c r="F12" s="75"/>
      <c r="G12" s="178">
        <f t="shared" si="0"/>
        <v>2.9799250000000002</v>
      </c>
      <c r="H12" s="30"/>
      <c r="I12" s="128"/>
      <c r="J12" s="30"/>
      <c r="K12" s="31">
        <v>0</v>
      </c>
      <c r="L12" s="30"/>
      <c r="M12" s="30"/>
      <c r="N12" s="372"/>
      <c r="O12" s="51">
        <f t="shared" si="1"/>
        <v>0</v>
      </c>
      <c r="P12" s="373"/>
      <c r="Q12" s="373"/>
      <c r="R12" s="292">
        <v>63.59</v>
      </c>
      <c r="S12" s="290">
        <f t="shared" si="2"/>
        <v>4.6861534832520833E-2</v>
      </c>
    </row>
    <row r="13" spans="1:19" ht="15">
      <c r="A13" s="325">
        <v>1934</v>
      </c>
      <c r="B13" s="382">
        <f>'Table T3'!D17+'Table T3'!H17</f>
        <v>4.343</v>
      </c>
      <c r="C13" s="284">
        <f>'Table T3'!E17</f>
        <v>1.6</v>
      </c>
      <c r="D13" s="284">
        <f>'Table T3'!F17</f>
        <v>1.5429999999999997</v>
      </c>
      <c r="E13" s="295">
        <f>'Table T3'!H17</f>
        <v>1.2</v>
      </c>
      <c r="F13" s="75"/>
      <c r="G13" s="178">
        <f t="shared" si="0"/>
        <v>1.6</v>
      </c>
      <c r="H13" s="30"/>
      <c r="I13" s="128"/>
      <c r="J13" s="30"/>
      <c r="K13" s="31">
        <v>0</v>
      </c>
      <c r="L13" s="30"/>
      <c r="M13" s="30"/>
      <c r="N13" s="372"/>
      <c r="O13" s="51">
        <f t="shared" si="1"/>
        <v>0</v>
      </c>
      <c r="P13" s="373"/>
      <c r="Q13" s="373"/>
      <c r="R13" s="292">
        <v>33.933999999999997</v>
      </c>
      <c r="S13" s="290">
        <f t="shared" si="2"/>
        <v>4.7150350680733193E-2</v>
      </c>
    </row>
    <row r="14" spans="1:19" ht="15">
      <c r="A14" s="326">
        <v>1937</v>
      </c>
      <c r="B14" s="383">
        <f>'Table T3'!D18+'Table T3'!H18</f>
        <v>6.3239999999999998</v>
      </c>
      <c r="C14" s="312" t="str">
        <f>'Table T3'!E18</f>
        <v>n.a.</v>
      </c>
      <c r="D14" s="312" t="str">
        <f>'Table T3'!F18</f>
        <v>n.a.</v>
      </c>
      <c r="E14" s="313">
        <f>'Table T3'!H18</f>
        <v>1.2</v>
      </c>
      <c r="F14" s="218"/>
      <c r="G14" s="312" t="s">
        <v>129</v>
      </c>
      <c r="H14" s="314"/>
      <c r="I14" s="315"/>
      <c r="J14" s="316"/>
      <c r="K14" s="227">
        <v>0</v>
      </c>
      <c r="L14" s="217"/>
      <c r="M14" s="217"/>
      <c r="N14" s="374"/>
      <c r="O14" s="375">
        <v>0</v>
      </c>
      <c r="P14" s="376"/>
      <c r="Q14" s="376"/>
      <c r="R14" s="317">
        <v>38.869</v>
      </c>
      <c r="S14" s="318" t="s">
        <v>129</v>
      </c>
    </row>
    <row r="15" spans="1:19" ht="15">
      <c r="A15" s="325">
        <v>1941</v>
      </c>
      <c r="B15" s="382">
        <f>'Table T3'!D19+'Table T3'!H19</f>
        <v>3.5663</v>
      </c>
      <c r="C15" s="284">
        <f>'Table T3'!E19</f>
        <v>2.1486999999999998</v>
      </c>
      <c r="D15" s="284">
        <f>'Table T3'!F19</f>
        <v>1.4176</v>
      </c>
      <c r="E15" s="295">
        <f>'Table T3'!H19</f>
        <v>0</v>
      </c>
      <c r="F15" s="75"/>
      <c r="G15" s="178">
        <f t="shared" si="0"/>
        <v>2.1486999999999998</v>
      </c>
      <c r="H15" s="30"/>
      <c r="I15" s="128"/>
      <c r="J15" s="30"/>
      <c r="K15" s="31">
        <v>0</v>
      </c>
      <c r="L15" s="30"/>
      <c r="M15" s="30"/>
      <c r="N15" s="372"/>
      <c r="O15" s="51">
        <f t="shared" si="1"/>
        <v>0</v>
      </c>
      <c r="P15" s="373"/>
      <c r="Q15" s="373"/>
      <c r="R15" s="292">
        <v>43.14</v>
      </c>
      <c r="S15" s="290">
        <f t="shared" si="2"/>
        <v>4.980760315252665E-2</v>
      </c>
    </row>
    <row r="16" spans="1:19" ht="15">
      <c r="A16" s="325">
        <v>1945</v>
      </c>
      <c r="B16" s="382">
        <f>'Table T3'!D20+'Table T3'!H20</f>
        <v>5.3519764698547299</v>
      </c>
      <c r="C16" s="284">
        <f>'Table T3'!E20</f>
        <v>2.7</v>
      </c>
      <c r="D16" s="284">
        <f>'Table T3'!F20</f>
        <v>2.8683100802102577</v>
      </c>
      <c r="E16" s="295">
        <f>'Table T3'!H20</f>
        <v>-0.21633361035552801</v>
      </c>
      <c r="F16" s="75"/>
      <c r="G16" s="178">
        <f t="shared" si="0"/>
        <v>2.7</v>
      </c>
      <c r="H16" s="30"/>
      <c r="I16" s="128"/>
      <c r="J16" s="30"/>
      <c r="K16" s="31">
        <v>0</v>
      </c>
      <c r="L16" s="30"/>
      <c r="M16" s="30"/>
      <c r="N16" s="372"/>
      <c r="O16" s="51">
        <f t="shared" si="1"/>
        <v>0</v>
      </c>
      <c r="P16" s="373"/>
      <c r="Q16" s="373"/>
      <c r="R16" s="292">
        <v>88.125</v>
      </c>
      <c r="S16" s="290">
        <f t="shared" si="2"/>
        <v>3.0638297872340427E-2</v>
      </c>
    </row>
    <row r="17" spans="1:19" ht="15">
      <c r="A17" s="325">
        <v>1946</v>
      </c>
      <c r="B17" s="382">
        <f>'Table T3'!D21+'Table T3'!H21</f>
        <v>5.3742641093942956</v>
      </c>
      <c r="C17" s="284">
        <f>'Table T3'!E21</f>
        <v>2.69</v>
      </c>
      <c r="D17" s="284">
        <f>'Table T3'!F21</f>
        <v>2.6842641093942956</v>
      </c>
      <c r="E17" s="295">
        <f>'Table T3'!H21</f>
        <v>0</v>
      </c>
      <c r="F17" s="75"/>
      <c r="G17" s="178">
        <f t="shared" si="0"/>
        <v>2.69</v>
      </c>
      <c r="H17" s="30"/>
      <c r="I17" s="128"/>
      <c r="J17" s="30"/>
      <c r="K17" s="31">
        <v>0</v>
      </c>
      <c r="L17" s="30"/>
      <c r="M17" s="30"/>
      <c r="N17" s="372"/>
      <c r="O17" s="51">
        <f t="shared" si="1"/>
        <v>0</v>
      </c>
      <c r="P17" s="373"/>
      <c r="Q17" s="373"/>
      <c r="R17" s="292">
        <v>81.75</v>
      </c>
      <c r="S17" s="290">
        <f t="shared" si="2"/>
        <v>3.2905198776758411E-2</v>
      </c>
    </row>
    <row r="18" spans="1:19" ht="15">
      <c r="A18" s="325">
        <v>1947</v>
      </c>
      <c r="B18" s="382">
        <f>'Table T3'!D22+'Table T3'!H22</f>
        <v>5.0682065964212244</v>
      </c>
      <c r="C18" s="284">
        <f>'Table T3'!E22</f>
        <v>2.48</v>
      </c>
      <c r="D18" s="284">
        <f>'Table T3'!F22</f>
        <v>2.5120275031262231</v>
      </c>
      <c r="E18" s="295">
        <f>'Table T3'!H22</f>
        <v>7.6179093295000833E-2</v>
      </c>
      <c r="F18" s="75"/>
      <c r="G18" s="178">
        <f t="shared" si="0"/>
        <v>2.48</v>
      </c>
      <c r="H18" s="30"/>
      <c r="I18" s="128"/>
      <c r="J18" s="30"/>
      <c r="K18" s="31">
        <v>0</v>
      </c>
      <c r="L18" s="30"/>
      <c r="M18" s="30"/>
      <c r="N18" s="372"/>
      <c r="O18" s="51">
        <f t="shared" si="1"/>
        <v>0</v>
      </c>
      <c r="P18" s="373"/>
      <c r="Q18" s="373"/>
      <c r="R18" s="292">
        <v>80.456999999999994</v>
      </c>
      <c r="S18" s="290">
        <f t="shared" si="2"/>
        <v>3.0823918366332328E-2</v>
      </c>
    </row>
    <row r="19" spans="1:19" ht="15">
      <c r="A19" s="325">
        <v>1948</v>
      </c>
      <c r="B19" s="382">
        <f>'Table T3'!D23+'Table T3'!H23</f>
        <v>4.9790833593116792</v>
      </c>
      <c r="C19" s="284">
        <f>'Table T3'!E23</f>
        <v>2.3050000000000002</v>
      </c>
      <c r="D19" s="284">
        <f>'Table T3'!F23</f>
        <v>2.3508425100116108</v>
      </c>
      <c r="E19" s="295">
        <f>'Table T3'!H23</f>
        <v>0.3232408493000678</v>
      </c>
      <c r="F19" s="75"/>
      <c r="G19" s="178">
        <f t="shared" si="0"/>
        <v>2.3050000000000002</v>
      </c>
      <c r="H19" s="30"/>
      <c r="I19" s="128"/>
      <c r="J19" s="30"/>
      <c r="K19" s="31">
        <v>0</v>
      </c>
      <c r="L19" s="30"/>
      <c r="M19" s="30"/>
      <c r="N19" s="372"/>
      <c r="O19" s="51">
        <f t="shared" si="1"/>
        <v>0</v>
      </c>
      <c r="P19" s="373"/>
      <c r="Q19" s="373"/>
      <c r="R19" s="292">
        <v>78.932000000000002</v>
      </c>
      <c r="S19" s="290">
        <f t="shared" si="2"/>
        <v>2.9202351391070795E-2</v>
      </c>
    </row>
    <row r="20" spans="1:19" ht="15">
      <c r="A20" s="327">
        <v>1949</v>
      </c>
      <c r="B20" s="383">
        <f>'Table T3'!D24+'Table T3'!H24</f>
        <v>5.35624324459131</v>
      </c>
      <c r="C20" s="312">
        <f>'Table T3'!E24</f>
        <v>2.4900000000000002</v>
      </c>
      <c r="D20" s="312">
        <f>'Table T3'!F24</f>
        <v>2.2000000000000002</v>
      </c>
      <c r="E20" s="313">
        <f>'Table T3'!H24</f>
        <v>0.66624324459130957</v>
      </c>
      <c r="F20" s="218"/>
      <c r="G20" s="219">
        <f t="shared" si="0"/>
        <v>2.4900000000000002</v>
      </c>
      <c r="H20" s="217"/>
      <c r="I20" s="315"/>
      <c r="J20" s="217"/>
      <c r="K20" s="227">
        <v>0</v>
      </c>
      <c r="L20" s="217"/>
      <c r="M20" s="217"/>
      <c r="N20" s="374"/>
      <c r="O20" s="375">
        <f t="shared" si="1"/>
        <v>0</v>
      </c>
      <c r="P20" s="376"/>
      <c r="Q20" s="376"/>
      <c r="R20" s="317">
        <v>88.442999999999998</v>
      </c>
      <c r="S20" s="320">
        <f t="shared" si="2"/>
        <v>2.815372612869306E-2</v>
      </c>
    </row>
    <row r="21" spans="1:19" ht="15">
      <c r="A21" s="325">
        <v>1950</v>
      </c>
      <c r="B21" s="382">
        <f>'Table T3'!D25+'Table T3'!H25</f>
        <v>7.0224269343475294</v>
      </c>
      <c r="C21" s="284">
        <f>'Table T3'!E25</f>
        <v>2.9249999999999998</v>
      </c>
      <c r="D21" s="284">
        <f>'Table T3'!F25</f>
        <v>2.3417681615064678</v>
      </c>
      <c r="E21" s="295">
        <f>'Table T3'!H25</f>
        <v>1.7556587728410618</v>
      </c>
      <c r="F21" s="75"/>
      <c r="G21" s="178">
        <f t="shared" si="0"/>
        <v>2.9249999999999998</v>
      </c>
      <c r="H21" s="30"/>
      <c r="I21" s="128"/>
      <c r="J21" s="30"/>
      <c r="K21" s="31">
        <v>0</v>
      </c>
      <c r="L21" s="30"/>
      <c r="M21" s="30"/>
      <c r="N21" s="372"/>
      <c r="O21" s="51">
        <f t="shared" si="1"/>
        <v>0</v>
      </c>
      <c r="P21" s="373"/>
      <c r="Q21" s="373"/>
      <c r="R21" s="292">
        <v>107.681</v>
      </c>
      <c r="S21" s="290">
        <f t="shared" si="2"/>
        <v>2.7163566460192606E-2</v>
      </c>
    </row>
    <row r="22" spans="1:19" ht="15">
      <c r="A22" s="325">
        <v>1951</v>
      </c>
      <c r="B22" s="382">
        <f>'Table T3'!D26+'Table T3'!H26</f>
        <v>7.6111968077810364</v>
      </c>
      <c r="C22" s="284">
        <f>'Table T3'!E26</f>
        <v>3.45</v>
      </c>
      <c r="D22" s="284">
        <f>'Table T3'!F26</f>
        <v>2.4926718737479008</v>
      </c>
      <c r="E22" s="295">
        <f>'Table T3'!H26</f>
        <v>1.6685249340331345</v>
      </c>
      <c r="F22" s="75"/>
      <c r="G22" s="178">
        <f t="shared" si="0"/>
        <v>3.45</v>
      </c>
      <c r="H22" s="30"/>
      <c r="I22" s="128"/>
      <c r="J22" s="30"/>
      <c r="K22" s="31">
        <v>0</v>
      </c>
      <c r="L22" s="30"/>
      <c r="M22" s="30"/>
      <c r="N22" s="372"/>
      <c r="O22" s="51">
        <f t="shared" si="1"/>
        <v>0</v>
      </c>
      <c r="P22" s="373"/>
      <c r="Q22" s="373"/>
      <c r="R22" s="292">
        <v>125.976</v>
      </c>
      <c r="S22" s="290">
        <f t="shared" si="2"/>
        <v>2.7386168794056011E-2</v>
      </c>
    </row>
    <row r="23" spans="1:19" ht="15">
      <c r="A23" s="328">
        <v>1952</v>
      </c>
      <c r="B23" s="382">
        <f>'Table T3'!D27+'Table T3'!H27</f>
        <v>8.0719609327264816</v>
      </c>
      <c r="C23" s="284">
        <f>'Table T3'!E27</f>
        <v>3.7050000000000001</v>
      </c>
      <c r="D23" s="284">
        <f>'Table T3'!F27</f>
        <v>2.6532998322843198</v>
      </c>
      <c r="E23" s="295">
        <f>'Table T3'!H27</f>
        <v>1.7136611004421609</v>
      </c>
      <c r="F23" s="75"/>
      <c r="G23" s="178">
        <f t="shared" si="0"/>
        <v>3.7050000000000001</v>
      </c>
      <c r="H23" s="30"/>
      <c r="I23" s="128"/>
      <c r="J23" s="30"/>
      <c r="K23" s="31">
        <v>0</v>
      </c>
      <c r="L23" s="30"/>
      <c r="M23" s="30"/>
      <c r="N23" s="372"/>
      <c r="O23" s="51">
        <f t="shared" si="1"/>
        <v>0</v>
      </c>
      <c r="P23" s="373"/>
      <c r="Q23" s="373"/>
      <c r="R23" s="292">
        <v>137.447</v>
      </c>
      <c r="S23" s="290">
        <f t="shared" si="2"/>
        <v>2.6955844798358639E-2</v>
      </c>
    </row>
    <row r="24" spans="1:19" ht="15">
      <c r="A24" s="325">
        <v>1953</v>
      </c>
      <c r="B24" s="382">
        <f>'Table T3'!D28+'Table T3'!H28</f>
        <v>8.5900395286489193</v>
      </c>
      <c r="C24" s="284">
        <f>'Table T3'!E28</f>
        <v>3.65</v>
      </c>
      <c r="D24" s="284">
        <f>'Table T3'!F28</f>
        <v>2.8242786682608503</v>
      </c>
      <c r="E24" s="295">
        <f>'Table T3'!H28</f>
        <v>2.1157608603880695</v>
      </c>
      <c r="F24" s="75"/>
      <c r="G24" s="178">
        <f t="shared" si="0"/>
        <v>3.65</v>
      </c>
      <c r="H24" s="30"/>
      <c r="I24" s="128"/>
      <c r="J24" s="30"/>
      <c r="K24" s="31">
        <v>0</v>
      </c>
      <c r="L24" s="30"/>
      <c r="M24" s="30"/>
      <c r="N24" s="372"/>
      <c r="O24" s="51">
        <f t="shared" si="1"/>
        <v>0</v>
      </c>
      <c r="P24" s="373"/>
      <c r="Q24" s="373"/>
      <c r="R24" s="292">
        <v>132.55500000000001</v>
      </c>
      <c r="S24" s="290">
        <f t="shared" si="2"/>
        <v>2.7535739881558597E-2</v>
      </c>
    </row>
    <row r="25" spans="1:19" ht="15">
      <c r="A25" s="325">
        <v>1954</v>
      </c>
      <c r="B25" s="382">
        <f>'Table T3'!D29+'Table T3'!H29</f>
        <v>10.721203815699234</v>
      </c>
      <c r="C25" s="284">
        <f>'Table T3'!E29</f>
        <v>5.2539999999999996</v>
      </c>
      <c r="D25" s="284">
        <f>'Table T3'!F29</f>
        <v>3.006275392979612</v>
      </c>
      <c r="E25" s="295">
        <f>'Table T3'!H29</f>
        <v>2.4609284227196229</v>
      </c>
      <c r="F25" s="75"/>
      <c r="G25" s="178">
        <f t="shared" si="0"/>
        <v>5.2539999999999996</v>
      </c>
      <c r="H25" s="30"/>
      <c r="I25" s="128"/>
      <c r="J25" s="30"/>
      <c r="K25" s="31">
        <v>0</v>
      </c>
      <c r="L25" s="30"/>
      <c r="M25" s="30"/>
      <c r="N25" s="372"/>
      <c r="O25" s="51">
        <f t="shared" si="1"/>
        <v>0</v>
      </c>
      <c r="P25" s="373"/>
      <c r="Q25" s="373"/>
      <c r="R25" s="292">
        <v>191.28200000000001</v>
      </c>
      <c r="S25" s="290">
        <f t="shared" si="2"/>
        <v>2.7467299589088359E-2</v>
      </c>
    </row>
    <row r="26" spans="1:19" ht="15">
      <c r="A26" s="328">
        <v>1955</v>
      </c>
      <c r="B26" s="382">
        <f>'Table T3'!D30+'Table T3'!H30</f>
        <v>12.251369000561134</v>
      </c>
      <c r="C26" s="284">
        <f>'Table T3'!E30</f>
        <v>6.5750000000000002</v>
      </c>
      <c r="D26" s="284">
        <f>'Table T3'!F30</f>
        <v>3.2</v>
      </c>
      <c r="E26" s="295">
        <f>'Table T3'!H30</f>
        <v>2.4763690005611343</v>
      </c>
      <c r="F26" s="75"/>
      <c r="G26" s="178">
        <f t="shared" si="0"/>
        <v>6.5750000000000002</v>
      </c>
      <c r="H26" s="30"/>
      <c r="I26" s="128"/>
      <c r="J26" s="30"/>
      <c r="K26" s="31">
        <v>0</v>
      </c>
      <c r="L26" s="30"/>
      <c r="M26" s="30"/>
      <c r="N26" s="372"/>
      <c r="O26" s="51">
        <f t="shared" si="1"/>
        <v>0</v>
      </c>
      <c r="P26" s="373"/>
      <c r="Q26" s="373"/>
      <c r="R26" s="292">
        <v>234.845</v>
      </c>
      <c r="S26" s="290">
        <f t="shared" si="2"/>
        <v>2.7997189635717176E-2</v>
      </c>
    </row>
    <row r="27" spans="1:19" ht="15">
      <c r="A27" s="325">
        <v>1956</v>
      </c>
      <c r="B27" s="382">
        <f>'Table T3'!D31+'Table T3'!H31</f>
        <v>13.134774013342479</v>
      </c>
      <c r="C27" s="284">
        <f>'Table T3'!E31</f>
        <v>6.9610000000000003</v>
      </c>
      <c r="D27" s="284">
        <f>'Table T3'!F31</f>
        <v>3.4258037893413182</v>
      </c>
      <c r="E27" s="295">
        <f>'Table T3'!H31</f>
        <v>2.7479702240011616</v>
      </c>
      <c r="F27" s="75"/>
      <c r="G27" s="178">
        <f t="shared" si="0"/>
        <v>6.9610000000000003</v>
      </c>
      <c r="H27" s="30"/>
      <c r="I27" s="128"/>
      <c r="J27" s="30"/>
      <c r="K27" s="31">
        <v>0</v>
      </c>
      <c r="L27" s="30"/>
      <c r="M27" s="30"/>
      <c r="N27" s="372"/>
      <c r="O27" s="51">
        <f t="shared" si="1"/>
        <v>0</v>
      </c>
      <c r="P27" s="373"/>
      <c r="Q27" s="373"/>
      <c r="R27" s="292">
        <v>250.196</v>
      </c>
      <c r="S27" s="290">
        <f t="shared" si="2"/>
        <v>2.7822187405074424E-2</v>
      </c>
    </row>
    <row r="28" spans="1:19" ht="15">
      <c r="A28" s="328">
        <v>1957</v>
      </c>
      <c r="B28" s="382">
        <f>'Table T3'!D32+'Table T3'!H32</f>
        <v>12.44673071887275</v>
      </c>
      <c r="C28" s="284">
        <f>'Table T3'!E32</f>
        <v>6.0910000000000002</v>
      </c>
      <c r="D28" s="284">
        <f>'Table T3'!F32</f>
        <v>3.6675411259579169</v>
      </c>
      <c r="E28" s="295">
        <f>'Table T3'!H32</f>
        <v>2.6881895929148332</v>
      </c>
      <c r="F28" s="75"/>
      <c r="G28" s="178">
        <f t="shared" si="0"/>
        <v>6.0910000000000002</v>
      </c>
      <c r="H28" s="30"/>
      <c r="I28" s="128"/>
      <c r="J28" s="30"/>
      <c r="K28" s="31">
        <v>0</v>
      </c>
      <c r="L28" s="30"/>
      <c r="M28" s="30"/>
      <c r="N28" s="372"/>
      <c r="O28" s="51">
        <f t="shared" si="1"/>
        <v>0</v>
      </c>
      <c r="P28" s="373"/>
      <c r="Q28" s="373"/>
      <c r="R28" s="292">
        <v>221.11500000000001</v>
      </c>
      <c r="S28" s="290">
        <f t="shared" si="2"/>
        <v>2.7546751690296904E-2</v>
      </c>
    </row>
    <row r="29" spans="1:19" ht="15">
      <c r="A29" s="325">
        <v>1958</v>
      </c>
      <c r="B29" s="382">
        <f>'Table T3'!D33+'Table T3'!H33</f>
        <v>14.701543437870193</v>
      </c>
      <c r="C29" s="284">
        <f>'Table T3'!E33</f>
        <v>8.3049999999999997</v>
      </c>
      <c r="D29" s="284">
        <f>'Table T3'!F33</f>
        <v>3.926336339647424</v>
      </c>
      <c r="E29" s="295">
        <f>'Table T3'!H33</f>
        <v>2.4702070982227697</v>
      </c>
      <c r="F29" s="75"/>
      <c r="G29" s="178">
        <f t="shared" si="0"/>
        <v>8.3049999999999997</v>
      </c>
      <c r="H29" s="30"/>
      <c r="I29" s="128"/>
      <c r="J29" s="30"/>
      <c r="K29" s="31">
        <v>0</v>
      </c>
      <c r="L29" s="30"/>
      <c r="M29" s="30"/>
      <c r="N29" s="372"/>
      <c r="O29" s="51">
        <f t="shared" si="1"/>
        <v>0</v>
      </c>
      <c r="P29" s="373"/>
      <c r="Q29" s="373"/>
      <c r="R29" s="292">
        <v>308.39499999999998</v>
      </c>
      <c r="S29" s="290">
        <f t="shared" si="2"/>
        <v>2.6929749185298075E-2</v>
      </c>
    </row>
    <row r="30" spans="1:19" ht="15">
      <c r="A30" s="327">
        <v>1959</v>
      </c>
      <c r="B30" s="383">
        <f>'Table T3'!D34+'Table T3'!H34</f>
        <v>19.316201845501592</v>
      </c>
      <c r="C30" s="312">
        <f>'Table T3'!E34</f>
        <v>9.3629999999999995</v>
      </c>
      <c r="D30" s="312">
        <f>'Table T3'!F34</f>
        <v>4.203393097060208</v>
      </c>
      <c r="E30" s="313">
        <f>'Table T3'!H34</f>
        <v>5.749808748441386</v>
      </c>
      <c r="F30" s="218"/>
      <c r="G30" s="219">
        <f t="shared" si="0"/>
        <v>9.3629999999999995</v>
      </c>
      <c r="H30" s="217"/>
      <c r="I30" s="315"/>
      <c r="J30" s="217"/>
      <c r="K30" s="227">
        <v>0</v>
      </c>
      <c r="L30" s="217"/>
      <c r="M30" s="217"/>
      <c r="N30" s="374"/>
      <c r="O30" s="375">
        <f t="shared" si="1"/>
        <v>0</v>
      </c>
      <c r="P30" s="376"/>
      <c r="Q30" s="376"/>
      <c r="R30" s="317">
        <v>334.13799999999998</v>
      </c>
      <c r="S30" s="320">
        <f t="shared" si="2"/>
        <v>2.8021356445540466E-2</v>
      </c>
    </row>
    <row r="31" spans="1:19" ht="15">
      <c r="A31" s="328">
        <v>1960</v>
      </c>
      <c r="B31" s="382">
        <f>'Table T3'!D35+'Table T3'!H35</f>
        <v>20.023841386620116</v>
      </c>
      <c r="C31" s="284">
        <f>'Table T3'!E35</f>
        <v>9.3019999999999996</v>
      </c>
      <c r="D31" s="284">
        <f>'Table T3'!F35</f>
        <v>4.5</v>
      </c>
      <c r="E31" s="295">
        <f>'Table T3'!H35</f>
        <v>6.2218413866201168</v>
      </c>
      <c r="F31" s="75"/>
      <c r="G31" s="178">
        <f t="shared" si="0"/>
        <v>9.3019999999999996</v>
      </c>
      <c r="H31" s="30"/>
      <c r="I31" s="128"/>
      <c r="J31" s="30"/>
      <c r="K31" s="31">
        <v>0</v>
      </c>
      <c r="L31" s="30"/>
      <c r="M31" s="30"/>
      <c r="N31" s="372"/>
      <c r="O31" s="51">
        <f t="shared" si="1"/>
        <v>0</v>
      </c>
      <c r="P31" s="373"/>
      <c r="Q31" s="373"/>
      <c r="R31" s="292">
        <v>331.13799999999998</v>
      </c>
      <c r="S31" s="290">
        <f t="shared" si="2"/>
        <v>2.8091007374568912E-2</v>
      </c>
    </row>
    <row r="32" spans="1:19" ht="15">
      <c r="A32" s="328">
        <v>1961</v>
      </c>
      <c r="B32" s="382">
        <f>'Table T3'!D36+'Table T3'!H36</f>
        <v>22.915861687137607</v>
      </c>
      <c r="C32" s="284">
        <f>'Table T3'!E36</f>
        <v>11.808</v>
      </c>
      <c r="D32" s="284">
        <f>'Table T3'!F36</f>
        <v>4.843426151316649</v>
      </c>
      <c r="E32" s="295">
        <f>'Table T3'!H36</f>
        <v>6.264435535820958</v>
      </c>
      <c r="F32" s="75"/>
      <c r="G32" s="178">
        <f t="shared" si="0"/>
        <v>11.808</v>
      </c>
      <c r="H32" s="30"/>
      <c r="I32" s="128"/>
      <c r="J32" s="30"/>
      <c r="K32" s="31">
        <v>0</v>
      </c>
      <c r="L32" s="30"/>
      <c r="M32" s="30"/>
      <c r="N32" s="372"/>
      <c r="O32" s="51">
        <f t="shared" si="1"/>
        <v>0</v>
      </c>
      <c r="P32" s="373"/>
      <c r="Q32" s="373"/>
      <c r="R32" s="292">
        <v>420.85199999999998</v>
      </c>
      <c r="S32" s="290">
        <f t="shared" si="2"/>
        <v>2.8057369336488839E-2</v>
      </c>
    </row>
    <row r="33" spans="1:21" ht="15">
      <c r="A33" s="328">
        <v>1962</v>
      </c>
      <c r="B33" s="382">
        <f>'Table T3'!D37+'Table T3'!H37</f>
        <v>22.917370895941147</v>
      </c>
      <c r="C33" s="284">
        <f>'Table T3'!E37</f>
        <v>10.336</v>
      </c>
      <c r="D33" s="284">
        <f>'Table T3'!F37</f>
        <v>5.2130615296128902</v>
      </c>
      <c r="E33" s="295">
        <f>'Table T3'!H37</f>
        <v>7.3683093663282584</v>
      </c>
      <c r="F33" s="75"/>
      <c r="G33" s="178">
        <f t="shared" si="0"/>
        <v>10.336</v>
      </c>
      <c r="H33" s="30"/>
      <c r="I33" s="128"/>
      <c r="J33" s="30"/>
      <c r="K33" s="31">
        <v>0</v>
      </c>
      <c r="L33" s="30"/>
      <c r="M33" s="30"/>
      <c r="N33" s="372"/>
      <c r="O33" s="51">
        <f t="shared" si="1"/>
        <v>0</v>
      </c>
      <c r="P33" s="373"/>
      <c r="Q33" s="373"/>
      <c r="R33" s="292">
        <v>370.21100000000001</v>
      </c>
      <c r="S33" s="290">
        <f t="shared" si="2"/>
        <v>2.7919213637628271E-2</v>
      </c>
    </row>
    <row r="34" spans="1:21" ht="15">
      <c r="A34" s="328">
        <v>1963</v>
      </c>
      <c r="B34" s="382">
        <f>'Table T3'!D38+'Table T3'!H38</f>
        <v>25.998261313049447</v>
      </c>
      <c r="C34" s="284">
        <f>'Table T3'!E38</f>
        <v>12.484999999999999</v>
      </c>
      <c r="D34" s="284">
        <f>'Table T3'!F38</f>
        <v>5.6109063424332986</v>
      </c>
      <c r="E34" s="295">
        <f>'Table T3'!H38</f>
        <v>7.9023549706161491</v>
      </c>
      <c r="F34" s="75"/>
      <c r="G34" s="178">
        <f t="shared" si="0"/>
        <v>12.484999999999999</v>
      </c>
      <c r="H34" s="30"/>
      <c r="I34" s="128"/>
      <c r="J34" s="30"/>
      <c r="K34" s="31">
        <v>0</v>
      </c>
      <c r="L34" s="30"/>
      <c r="M34" s="30"/>
      <c r="N34" s="372"/>
      <c r="O34" s="51">
        <f t="shared" si="1"/>
        <v>0</v>
      </c>
      <c r="P34" s="373"/>
      <c r="Q34" s="373"/>
      <c r="R34" s="292">
        <v>437.43</v>
      </c>
      <c r="S34" s="290">
        <f t="shared" si="2"/>
        <v>2.8541709530667762E-2</v>
      </c>
    </row>
    <row r="35" spans="1:21" ht="15">
      <c r="A35" s="328">
        <v>1964</v>
      </c>
      <c r="B35" s="382">
        <f>'Table T3'!D39+'Table T3'!H39</f>
        <v>28.211280266849563</v>
      </c>
      <c r="C35" s="284">
        <f>'Table T3'!E39</f>
        <v>13.835000000000001</v>
      </c>
      <c r="D35" s="284">
        <f>'Table T3'!F39</f>
        <v>6.039113447006641</v>
      </c>
      <c r="E35" s="295">
        <f>'Table T3'!H39</f>
        <v>8.3371668198429205</v>
      </c>
      <c r="F35" s="75"/>
      <c r="G35" s="178">
        <f t="shared" si="0"/>
        <v>13.835000000000001</v>
      </c>
      <c r="H35" s="30"/>
      <c r="I35" s="128"/>
      <c r="J35" s="30"/>
      <c r="K35" s="31">
        <v>0</v>
      </c>
      <c r="L35" s="30"/>
      <c r="M35" s="30"/>
      <c r="N35" s="372"/>
      <c r="O35" s="51">
        <f t="shared" si="1"/>
        <v>0</v>
      </c>
      <c r="P35" s="373"/>
      <c r="Q35" s="373"/>
      <c r="R35" s="292">
        <v>502.52</v>
      </c>
      <c r="S35" s="290">
        <f t="shared" si="2"/>
        <v>2.7531242537610447E-2</v>
      </c>
    </row>
    <row r="36" spans="1:21" ht="15">
      <c r="A36" s="328">
        <v>1965</v>
      </c>
      <c r="B36" s="382">
        <f>'Table T3'!D40+'Table T3'!H40</f>
        <v>29.380856661886657</v>
      </c>
      <c r="C36" s="284">
        <f>'Table T3'!E40</f>
        <v>14.599</v>
      </c>
      <c r="D36" s="284">
        <f>'Table T3'!F40</f>
        <v>6.5</v>
      </c>
      <c r="E36" s="295">
        <f>'Table T3'!H40</f>
        <v>8.2818566618866569</v>
      </c>
      <c r="F36" s="75"/>
      <c r="G36" s="178">
        <f t="shared" si="0"/>
        <v>14.599</v>
      </c>
      <c r="H36" s="30"/>
      <c r="I36" s="128"/>
      <c r="J36" s="30"/>
      <c r="K36" s="31">
        <v>0</v>
      </c>
      <c r="L36" s="30"/>
      <c r="M36" s="30"/>
      <c r="N36" s="372"/>
      <c r="O36" s="51">
        <f t="shared" si="1"/>
        <v>0</v>
      </c>
      <c r="P36" s="373"/>
      <c r="Q36" s="373"/>
      <c r="R36" s="292">
        <v>568.48699999999997</v>
      </c>
      <c r="S36" s="290">
        <f t="shared" si="2"/>
        <v>2.568044651856595E-2</v>
      </c>
    </row>
    <row r="37" spans="1:21" ht="15">
      <c r="A37" s="328">
        <v>1966</v>
      </c>
      <c r="B37" s="382">
        <f>'Table T3'!D41+'Table T3'!H41</f>
        <v>27.319423804476592</v>
      </c>
      <c r="C37" s="284">
        <f>'Table T3'!E41</f>
        <v>12.643000000000001</v>
      </c>
      <c r="D37" s="284">
        <f>'Table T3'!F41</f>
        <v>8.0552941798166948</v>
      </c>
      <c r="E37" s="295">
        <f>'Table T3'!H41</f>
        <v>6.6211296246598987</v>
      </c>
      <c r="F37" s="75"/>
      <c r="G37" s="178">
        <f t="shared" si="0"/>
        <v>12.643000000000001</v>
      </c>
      <c r="H37" s="30"/>
      <c r="I37" s="128"/>
      <c r="J37" s="30"/>
      <c r="K37" s="31">
        <v>0</v>
      </c>
      <c r="L37" s="30"/>
      <c r="M37" s="30"/>
      <c r="N37" s="372"/>
      <c r="O37" s="51">
        <f t="shared" si="1"/>
        <v>0</v>
      </c>
      <c r="P37" s="373"/>
      <c r="Q37" s="373"/>
      <c r="R37" s="292">
        <v>510.35899999999998</v>
      </c>
      <c r="S37" s="290">
        <f t="shared" si="2"/>
        <v>2.4772757999760954E-2</v>
      </c>
    </row>
    <row r="38" spans="1:21" ht="15">
      <c r="A38" s="328">
        <v>1967</v>
      </c>
      <c r="B38" s="382">
        <f>'Table T3'!D42+'Table T3'!H42</f>
        <v>42.547759386495429</v>
      </c>
      <c r="C38" s="284">
        <f>'Table T3'!E42</f>
        <v>25.510999999999999</v>
      </c>
      <c r="D38" s="284">
        <f>'Table T3'!F42</f>
        <v>9.9827329728290337</v>
      </c>
      <c r="E38" s="295">
        <f>'Table T3'!H42</f>
        <v>7.0540264136663886</v>
      </c>
      <c r="F38" s="75"/>
      <c r="G38" s="178">
        <f t="shared" si="0"/>
        <v>25.510999999999999</v>
      </c>
      <c r="H38" s="30"/>
      <c r="I38" s="128"/>
      <c r="J38" s="30"/>
      <c r="K38" s="31">
        <v>0</v>
      </c>
      <c r="L38" s="30"/>
      <c r="M38" s="30"/>
      <c r="N38" s="372"/>
      <c r="O38" s="51">
        <f t="shared" si="1"/>
        <v>0</v>
      </c>
      <c r="P38" s="373"/>
      <c r="Q38" s="373"/>
      <c r="R38" s="292">
        <v>648.76499999999999</v>
      </c>
      <c r="S38" s="290">
        <f t="shared" si="2"/>
        <v>3.9322404876958532E-2</v>
      </c>
    </row>
    <row r="39" spans="1:21" ht="15">
      <c r="A39" s="328">
        <v>1968</v>
      </c>
      <c r="B39" s="382">
        <f>'Table T3'!D43+'Table T3'!H43</f>
        <v>48.738090117837778</v>
      </c>
      <c r="C39" s="284">
        <f>'Table T3'!E43</f>
        <v>29.516999999999999</v>
      </c>
      <c r="D39" s="284">
        <f>'Table T3'!F43</f>
        <v>12.371361663799066</v>
      </c>
      <c r="E39" s="295">
        <f>'Table T3'!H43</f>
        <v>6.8497284540387096</v>
      </c>
      <c r="F39" s="75"/>
      <c r="G39" s="178">
        <f t="shared" si="0"/>
        <v>29.516999999999999</v>
      </c>
      <c r="H39" s="30"/>
      <c r="I39" s="128"/>
      <c r="J39" s="30"/>
      <c r="K39" s="31">
        <v>0</v>
      </c>
      <c r="L39" s="30"/>
      <c r="M39" s="30"/>
      <c r="N39" s="372"/>
      <c r="O39" s="51">
        <f t="shared" si="1"/>
        <v>0</v>
      </c>
      <c r="P39" s="373"/>
      <c r="Q39" s="373"/>
      <c r="R39" s="292">
        <v>753.51300000000003</v>
      </c>
      <c r="S39" s="290">
        <f t="shared" si="2"/>
        <v>3.9172515935358775E-2</v>
      </c>
    </row>
    <row r="40" spans="1:21" ht="15">
      <c r="A40" s="327">
        <v>1969</v>
      </c>
      <c r="B40" s="383">
        <f>'Table T3'!D44+'Table T3'!H44</f>
        <v>46.456537976183057</v>
      </c>
      <c r="C40" s="312">
        <f>'Table T3'!E44</f>
        <v>26.760999999999999</v>
      </c>
      <c r="D40" s="312">
        <f>'Table T3'!F44</f>
        <v>15.331531939508922</v>
      </c>
      <c r="E40" s="313">
        <f>'Table T3'!H44</f>
        <v>4.3640060366741356</v>
      </c>
      <c r="F40" s="218"/>
      <c r="G40" s="219">
        <f t="shared" si="0"/>
        <v>26.760999999999999</v>
      </c>
      <c r="H40" s="217"/>
      <c r="I40" s="315"/>
      <c r="J40" s="217"/>
      <c r="K40" s="227">
        <v>0</v>
      </c>
      <c r="L40" s="217"/>
      <c r="M40" s="217"/>
      <c r="N40" s="374"/>
      <c r="O40" s="375">
        <f t="shared" si="1"/>
        <v>0</v>
      </c>
      <c r="P40" s="376"/>
      <c r="Q40" s="376"/>
      <c r="R40" s="317">
        <v>677.21600000000001</v>
      </c>
      <c r="S40" s="320">
        <f t="shared" si="2"/>
        <v>3.9516195718943437E-2</v>
      </c>
    </row>
    <row r="41" spans="1:21" ht="15">
      <c r="A41" s="328">
        <v>1970</v>
      </c>
      <c r="B41" s="382">
        <f>'Table T3'!D45+'Table T3'!H45</f>
        <v>56.934263669804864</v>
      </c>
      <c r="C41" s="284">
        <f>'Table T3'!E45</f>
        <v>27.209</v>
      </c>
      <c r="D41" s="284">
        <f>'Table T3'!F45</f>
        <v>19</v>
      </c>
      <c r="E41" s="295">
        <f>'Table T3'!H45</f>
        <v>10.725263669804857</v>
      </c>
      <c r="F41" s="75"/>
      <c r="G41" s="178">
        <f t="shared" si="0"/>
        <v>27.209</v>
      </c>
      <c r="H41" s="30"/>
      <c r="I41" s="128"/>
      <c r="J41" s="30"/>
      <c r="K41" s="31">
        <v>0</v>
      </c>
      <c r="L41" s="30"/>
      <c r="M41" s="30"/>
      <c r="N41" s="372"/>
      <c r="O41" s="51">
        <f t="shared" si="1"/>
        <v>0</v>
      </c>
      <c r="P41" s="373"/>
      <c r="Q41" s="373"/>
      <c r="R41" s="292">
        <v>675.93600000000004</v>
      </c>
      <c r="S41" s="290">
        <f t="shared" si="2"/>
        <v>4.0253811011693411E-2</v>
      </c>
      <c r="U41" s="70"/>
    </row>
    <row r="42" spans="1:21" ht="15">
      <c r="A42" s="328">
        <v>1971</v>
      </c>
      <c r="B42" s="382">
        <f>'Table T3'!D46+'Table T3'!H46</f>
        <v>84.247603142340566</v>
      </c>
      <c r="C42" s="284">
        <f>'Table T3'!E46</f>
        <v>30.811</v>
      </c>
      <c r="D42" s="284">
        <f>'Table T3'!F46</f>
        <v>23.222376657612944</v>
      </c>
      <c r="E42" s="295">
        <f>'Table T3'!H46</f>
        <v>30.214226484727615</v>
      </c>
      <c r="F42" s="75"/>
      <c r="G42" s="178">
        <f t="shared" si="0"/>
        <v>30.811</v>
      </c>
      <c r="H42" s="30"/>
      <c r="I42" s="128"/>
      <c r="J42" s="30"/>
      <c r="K42" s="31">
        <v>0</v>
      </c>
      <c r="L42" s="30"/>
      <c r="M42" s="30"/>
      <c r="N42" s="372"/>
      <c r="O42" s="51">
        <f t="shared" si="1"/>
        <v>0</v>
      </c>
      <c r="P42" s="373"/>
      <c r="Q42" s="373"/>
      <c r="R42" s="292">
        <v>790.85</v>
      </c>
      <c r="S42" s="290">
        <f t="shared" si="2"/>
        <v>3.8959347537459693E-2</v>
      </c>
      <c r="U42" s="70"/>
    </row>
    <row r="43" spans="1:21" ht="15">
      <c r="A43" s="328">
        <v>1972</v>
      </c>
      <c r="B43" s="384">
        <f>'Table T3'!D47+'Table T3'!H47</f>
        <v>101.40502397489455</v>
      </c>
      <c r="C43" s="284">
        <f>'Table T3'!E47</f>
        <v>39.184333333333335</v>
      </c>
      <c r="D43" s="284">
        <f>'Table T3'!F47</f>
        <v>28.38309355937087</v>
      </c>
      <c r="E43" s="295">
        <f>'Table T3'!H47</f>
        <v>33.837597082190342</v>
      </c>
      <c r="F43" s="75"/>
      <c r="G43" s="178">
        <f t="shared" si="0"/>
        <v>39.006666666666668</v>
      </c>
      <c r="H43" s="30"/>
      <c r="I43" s="128"/>
      <c r="J43" s="30"/>
      <c r="K43" s="31">
        <f>K42+(K$45-K$42)/3</f>
        <v>0.17766666666666667</v>
      </c>
      <c r="L43" s="30"/>
      <c r="M43" s="30"/>
      <c r="N43" s="372"/>
      <c r="O43" s="51">
        <f t="shared" si="1"/>
        <v>4.5341250329638547E-3</v>
      </c>
      <c r="P43" s="373"/>
      <c r="Q43" s="373"/>
      <c r="R43" s="292">
        <v>927.14800000000002</v>
      </c>
      <c r="S43" s="290">
        <f t="shared" si="2"/>
        <v>4.2263299207174407E-2</v>
      </c>
      <c r="U43" s="70"/>
    </row>
    <row r="44" spans="1:21" ht="15">
      <c r="A44" s="328">
        <v>1973</v>
      </c>
      <c r="B44" s="384">
        <f>'Table T3'!D48+'Table T3'!H48</f>
        <v>97.339218263815312</v>
      </c>
      <c r="C44" s="284">
        <f>'Table T3'!E48</f>
        <v>33.853333333333339</v>
      </c>
      <c r="D44" s="284">
        <f>'Table T3'!F48</f>
        <v>34.690678386525178</v>
      </c>
      <c r="E44" s="295">
        <f>'Table T3'!H48</f>
        <v>28.795206543956795</v>
      </c>
      <c r="F44" s="75"/>
      <c r="G44" s="178">
        <f t="shared" si="0"/>
        <v>33.498000000000005</v>
      </c>
      <c r="H44" s="30"/>
      <c r="I44" s="128"/>
      <c r="J44" s="30"/>
      <c r="K44" s="31">
        <f>K43+(K$45-K$42)/3</f>
        <v>0.35533333333333333</v>
      </c>
      <c r="L44" s="30"/>
      <c r="M44" s="30"/>
      <c r="N44" s="372"/>
      <c r="O44" s="51">
        <f t="shared" si="1"/>
        <v>1.0496258369436785E-2</v>
      </c>
      <c r="P44" s="373"/>
      <c r="Q44" s="373"/>
      <c r="R44" s="292">
        <v>759.72199999999998</v>
      </c>
      <c r="S44" s="290">
        <f t="shared" si="2"/>
        <v>4.456015928633545E-2</v>
      </c>
      <c r="U44" s="70"/>
    </row>
    <row r="45" spans="1:21" ht="15">
      <c r="A45" s="328">
        <v>1974</v>
      </c>
      <c r="B45" s="384">
        <f>'Table T3'!D49+'Table T3'!H49</f>
        <v>92.286661096909654</v>
      </c>
      <c r="C45" s="284">
        <f>'Table T3'!E49</f>
        <v>24.652333333333331</v>
      </c>
      <c r="D45" s="284">
        <f>'Table T3'!F49</f>
        <v>42.4</v>
      </c>
      <c r="E45" s="295">
        <f>'Table T3'!H49</f>
        <v>25.23432776357631</v>
      </c>
      <c r="F45" s="78">
        <f>B45-J45</f>
        <v>49.009940112380562</v>
      </c>
      <c r="G45" s="178">
        <f t="shared" si="0"/>
        <v>24.11933333333333</v>
      </c>
      <c r="H45" s="178">
        <f>D45-L45</f>
        <v>15.933</v>
      </c>
      <c r="I45" s="298">
        <f>E45-M45</f>
        <v>8.9576067790472216</v>
      </c>
      <c r="J45" s="33">
        <f>K45+M45+L45</f>
        <v>43.276720984529092</v>
      </c>
      <c r="K45" s="31">
        <f>RawData!M32/1000</f>
        <v>0.53300000000000003</v>
      </c>
      <c r="L45" s="31">
        <f>RawData!N32/1000</f>
        <v>26.466999999999999</v>
      </c>
      <c r="M45" s="32">
        <f>Q45*E45</f>
        <v>16.276720984529089</v>
      </c>
      <c r="N45" s="377">
        <f>J45/B45</f>
        <v>0.4689379859466849</v>
      </c>
      <c r="O45" s="51">
        <f>K45/C45</f>
        <v>2.162067147126033E-2</v>
      </c>
      <c r="P45" s="51">
        <f>L45/D45</f>
        <v>0.62422169811320749</v>
      </c>
      <c r="Q45" s="51">
        <f>Q49*P45/P49</f>
        <v>0.64502296780115564</v>
      </c>
      <c r="R45" s="292">
        <v>534.41399999999999</v>
      </c>
      <c r="S45" s="290">
        <f t="shared" si="2"/>
        <v>4.6129654786987863E-2</v>
      </c>
      <c r="U45" s="70"/>
    </row>
    <row r="46" spans="1:21" ht="15">
      <c r="A46" s="328">
        <v>1975</v>
      </c>
      <c r="B46" s="384">
        <f>'Table T3'!D50+'Table T3'!H50</f>
        <v>112.04951604214727</v>
      </c>
      <c r="C46" s="284">
        <f>'Table T3'!E50</f>
        <v>37.232999999999997</v>
      </c>
      <c r="D46" s="284">
        <f>'Table T3'!F50</f>
        <v>44.338028915300249</v>
      </c>
      <c r="E46" s="295">
        <f>'Table T3'!H50</f>
        <v>30.478487126847035</v>
      </c>
      <c r="F46" s="78"/>
      <c r="G46" s="178">
        <f t="shared" si="0"/>
        <v>36.256700157237681</v>
      </c>
      <c r="H46" s="31"/>
      <c r="I46" s="66"/>
      <c r="J46" s="33"/>
      <c r="K46" s="31">
        <f>K45*(K$49/K$45)^(1/4)</f>
        <v>0.97629984276231463</v>
      </c>
      <c r="L46" s="31"/>
      <c r="M46" s="31"/>
      <c r="N46" s="377"/>
      <c r="O46" s="51">
        <f t="shared" ref="O46:O51" si="3">K46/C46</f>
        <v>2.6221358546512898E-2</v>
      </c>
      <c r="P46" s="51"/>
      <c r="Q46" s="51"/>
      <c r="R46" s="292">
        <v>714.46600000000001</v>
      </c>
      <c r="S46" s="290">
        <f t="shared" si="2"/>
        <v>5.211304666702124E-2</v>
      </c>
      <c r="U46" s="70"/>
    </row>
    <row r="47" spans="1:21" ht="15">
      <c r="A47" s="328">
        <v>1976</v>
      </c>
      <c r="B47" s="384">
        <f>'Table T3'!D51+'Table T3'!H51</f>
        <v>130.89402283600393</v>
      </c>
      <c r="C47" s="284">
        <f>'Table T3'!E51</f>
        <v>46.803666666666665</v>
      </c>
      <c r="D47" s="284">
        <f>'Table T3'!F51</f>
        <v>46.364641700330218</v>
      </c>
      <c r="E47" s="295">
        <f>'Table T3'!H51</f>
        <v>37.725714469007038</v>
      </c>
      <c r="F47" s="78"/>
      <c r="G47" s="178">
        <f t="shared" si="0"/>
        <v>45.015371389034918</v>
      </c>
      <c r="H47" s="31"/>
      <c r="I47" s="66"/>
      <c r="J47" s="31"/>
      <c r="K47" s="31">
        <f>K46*(K$49/K$45)^(1/4)</f>
        <v>1.7882952776317453</v>
      </c>
      <c r="L47" s="31"/>
      <c r="M47" s="31"/>
      <c r="N47" s="377"/>
      <c r="O47" s="51">
        <f t="shared" si="3"/>
        <v>3.8208444017172702E-2</v>
      </c>
      <c r="P47" s="51"/>
      <c r="Q47" s="51"/>
      <c r="R47" s="292">
        <v>894.96</v>
      </c>
      <c r="S47" s="290">
        <f t="shared" si="2"/>
        <v>5.2296936920830719E-2</v>
      </c>
      <c r="U47" s="70"/>
    </row>
    <row r="48" spans="1:21" ht="15">
      <c r="A48" s="328">
        <v>1977</v>
      </c>
      <c r="B48" s="384">
        <f>'Table T3'!D52+'Table T3'!H52</f>
        <v>159.19840013300916</v>
      </c>
      <c r="C48" s="284">
        <f>'Table T3'!E52</f>
        <v>44.590333333333334</v>
      </c>
      <c r="D48" s="284">
        <f>'Table T3'!F52</f>
        <v>48.483887366905122</v>
      </c>
      <c r="E48" s="295">
        <f>'Table T3'!H52</f>
        <v>66.124179432770688</v>
      </c>
      <c r="F48" s="78"/>
      <c r="G48" s="178">
        <f t="shared" si="0"/>
        <v>41.314700315763986</v>
      </c>
      <c r="H48" s="31"/>
      <c r="I48" s="66"/>
      <c r="J48" s="31"/>
      <c r="K48" s="31">
        <f>K47*(K$49/K$45)^(1/4)</f>
        <v>3.2756330175693482</v>
      </c>
      <c r="L48" s="31"/>
      <c r="M48" s="31"/>
      <c r="N48" s="377"/>
      <c r="O48" s="51">
        <f t="shared" si="3"/>
        <v>7.3460608448079515E-2</v>
      </c>
      <c r="P48" s="51"/>
      <c r="Q48" s="51"/>
      <c r="R48" s="292">
        <v>906.93799999999999</v>
      </c>
      <c r="S48" s="290">
        <f t="shared" si="2"/>
        <v>4.9165801116871646E-2</v>
      </c>
      <c r="U48" s="70"/>
    </row>
    <row r="49" spans="1:21" ht="15">
      <c r="A49" s="328">
        <v>1978</v>
      </c>
      <c r="B49" s="384">
        <f>'Table T3'!D53+'Table T3'!H53</f>
        <v>184.11766666666668</v>
      </c>
      <c r="C49" s="284">
        <f>'Table T3'!E53</f>
        <v>47.743666666666662</v>
      </c>
      <c r="D49" s="284">
        <f>'Table T3'!F53</f>
        <v>50.7</v>
      </c>
      <c r="E49" s="295">
        <f>'Table T3'!H53</f>
        <v>85.674000000000007</v>
      </c>
      <c r="F49" s="78">
        <f>B49-J49</f>
        <v>54.541666666666686</v>
      </c>
      <c r="G49" s="178">
        <f>C49-K49</f>
        <v>41.743666666666662</v>
      </c>
      <c r="H49" s="178">
        <f>D49-L49</f>
        <v>5.7000000000000028</v>
      </c>
      <c r="I49" s="298">
        <f>E49-M49</f>
        <v>7.0980000000000132</v>
      </c>
      <c r="J49" s="33">
        <f>K49+M49+L49</f>
        <v>129.57599999999999</v>
      </c>
      <c r="K49" s="31">
        <f>RawData!M36/1000</f>
        <v>6</v>
      </c>
      <c r="L49" s="31">
        <f>RawData!N36/1000</f>
        <v>45</v>
      </c>
      <c r="M49" s="31">
        <f>RawData!CG36/1000</f>
        <v>78.575999999999993</v>
      </c>
      <c r="N49" s="377">
        <f>J49/B49</f>
        <v>0.70376733719197682</v>
      </c>
      <c r="O49" s="51">
        <f t="shared" si="3"/>
        <v>0.12567111868240816</v>
      </c>
      <c r="P49" s="51">
        <f t="shared" ref="P49:Q51" si="4">L49/D49</f>
        <v>0.8875739644970414</v>
      </c>
      <c r="Q49" s="51">
        <f t="shared" si="4"/>
        <v>0.91715106099866928</v>
      </c>
      <c r="R49" s="292">
        <v>916.73099999999999</v>
      </c>
      <c r="S49" s="290">
        <f t="shared" ref="S49:S80" si="5">C49/R49</f>
        <v>5.2080344906702908E-2</v>
      </c>
      <c r="U49" s="70"/>
    </row>
    <row r="50" spans="1:21" ht="15">
      <c r="A50" s="327">
        <v>1979</v>
      </c>
      <c r="B50" s="385">
        <f>'Table T3'!D54+'Table T3'!H54</f>
        <v>184.51061217182612</v>
      </c>
      <c r="C50" s="312">
        <f>'Table T3'!E54</f>
        <v>54.933333333333337</v>
      </c>
      <c r="D50" s="312">
        <f>'Table T3'!F54</f>
        <v>61.608278838492794</v>
      </c>
      <c r="E50" s="313">
        <f>'Table T3'!H54</f>
        <v>67.968999999999994</v>
      </c>
      <c r="F50" s="226">
        <f t="shared" ref="F50:F83" si="6">B50-J50</f>
        <v>66.949994734189133</v>
      </c>
      <c r="G50" s="227">
        <f t="shared" ref="G50:G83" si="7">C50-K50</f>
        <v>48.40024089183742</v>
      </c>
      <c r="H50" s="227">
        <f t="shared" ref="H50:H83" si="8">D50-L50</f>
        <v>10.494753842351727</v>
      </c>
      <c r="I50" s="321">
        <f t="shared" ref="I50:I83" si="9">E50-M50</f>
        <v>8.0549999999999926</v>
      </c>
      <c r="J50" s="322">
        <f t="shared" ref="J50:J83" si="10">K50+M50+L50</f>
        <v>117.56061743763699</v>
      </c>
      <c r="K50" s="227">
        <f>K49*(K$55/K$49)^(1/6)</f>
        <v>6.5330924414959171</v>
      </c>
      <c r="L50" s="227">
        <f>L49*(L$55/L$49)^(1/6)</f>
        <v>51.113524996141066</v>
      </c>
      <c r="M50" s="227">
        <f>RawData!CG37/1000</f>
        <v>59.914000000000001</v>
      </c>
      <c r="N50" s="378">
        <f>J50/B50</f>
        <v>0.63714827051876166</v>
      </c>
      <c r="O50" s="375">
        <f t="shared" si="3"/>
        <v>0.11892765366800818</v>
      </c>
      <c r="P50" s="375">
        <f t="shared" si="4"/>
        <v>0.82965351345289307</v>
      </c>
      <c r="Q50" s="375">
        <f t="shared" si="4"/>
        <v>0.88149009107092946</v>
      </c>
      <c r="R50" s="317">
        <v>1110.377</v>
      </c>
      <c r="S50" s="320">
        <f t="shared" si="5"/>
        <v>4.9472686604039293E-2</v>
      </c>
      <c r="U50" s="70"/>
    </row>
    <row r="51" spans="1:21" ht="15">
      <c r="A51" s="328">
        <v>1980</v>
      </c>
      <c r="B51" s="384">
        <f>'Table T3'!D55+'Table T3'!H55</f>
        <v>226.52317793770177</v>
      </c>
      <c r="C51" s="284">
        <f>'Table T3'!E55</f>
        <v>73.985666666666674</v>
      </c>
      <c r="D51" s="284">
        <f>'Table T3'!F55</f>
        <v>74.86351127103508</v>
      </c>
      <c r="E51" s="295">
        <f>'Table T3'!H55</f>
        <v>77.674000000000007</v>
      </c>
      <c r="F51" s="78">
        <f t="shared" si="6"/>
        <v>92.554018739932417</v>
      </c>
      <c r="G51" s="31">
        <f t="shared" si="7"/>
        <v>66.872117191811498</v>
      </c>
      <c r="H51" s="31">
        <f t="shared" si="8"/>
        <v>16.805901548120907</v>
      </c>
      <c r="I51" s="66">
        <f t="shared" si="9"/>
        <v>8.8760000000000048</v>
      </c>
      <c r="J51" s="33">
        <f t="shared" si="10"/>
        <v>133.96915919776936</v>
      </c>
      <c r="K51" s="31">
        <f t="shared" ref="K51:L54" si="11">K50*(K$55/K$49)^(1/6)</f>
        <v>7.11354947485518</v>
      </c>
      <c r="L51" s="31">
        <f t="shared" si="11"/>
        <v>58.057609722914172</v>
      </c>
      <c r="M51" s="31">
        <f>RawData!CG38/1000</f>
        <v>68.798000000000002</v>
      </c>
      <c r="N51" s="377">
        <f>J51/B51</f>
        <v>0.59141479656714624</v>
      </c>
      <c r="O51" s="51">
        <f t="shared" si="3"/>
        <v>9.6147670154874756E-2</v>
      </c>
      <c r="P51" s="51">
        <f t="shared" si="4"/>
        <v>0.77551277968679566</v>
      </c>
      <c r="Q51" s="51">
        <f t="shared" si="4"/>
        <v>0.88572752787290465</v>
      </c>
      <c r="R51" s="292">
        <v>1447.317</v>
      </c>
      <c r="S51" s="290">
        <f t="shared" si="5"/>
        <v>5.1119185822226007E-2</v>
      </c>
      <c r="U51" s="70"/>
    </row>
    <row r="52" spans="1:21" ht="15">
      <c r="A52" s="328">
        <v>1981</v>
      </c>
      <c r="B52" s="384">
        <f>'Table T3'!D56+'Table T3'!H56</f>
        <v>239.81731907721058</v>
      </c>
      <c r="C52" s="284">
        <f>'Table T3'!E56</f>
        <v>74.74366666666667</v>
      </c>
      <c r="D52" s="284">
        <f>'Table T3'!F56</f>
        <v>90.97065241054392</v>
      </c>
      <c r="E52" s="295">
        <f>'Table T3'!H56</f>
        <v>74.102999999999994</v>
      </c>
      <c r="F52" s="78">
        <f t="shared" si="6"/>
        <v>104.10964889751608</v>
      </c>
      <c r="G52" s="31">
        <f t="shared" si="7"/>
        <v>66.998087282269395</v>
      </c>
      <c r="H52" s="31">
        <f t="shared" si="8"/>
        <v>25.025561615246673</v>
      </c>
      <c r="I52" s="66">
        <f t="shared" si="9"/>
        <v>12.085999999999991</v>
      </c>
      <c r="J52" s="33">
        <f t="shared" si="10"/>
        <v>135.7076701796945</v>
      </c>
      <c r="K52" s="31">
        <f t="shared" si="11"/>
        <v>7.7455793843972707</v>
      </c>
      <c r="L52" s="31">
        <f t="shared" si="11"/>
        <v>65.945090795297247</v>
      </c>
      <c r="M52" s="31">
        <f>RawData!CG39/1000</f>
        <v>62.017000000000003</v>
      </c>
      <c r="N52" s="377">
        <f t="shared" ref="N52:N83" si="12">J52/B52</f>
        <v>0.56587935642797604</v>
      </c>
      <c r="O52" s="51">
        <f t="shared" ref="O52:O83" si="13">K52/C52</f>
        <v>0.10362857121982157</v>
      </c>
      <c r="P52" s="51">
        <f t="shared" ref="P52:P83" si="14">L52/D52</f>
        <v>0.72490511003144031</v>
      </c>
      <c r="Q52" s="51">
        <f t="shared" ref="Q52:Q83" si="15">M52/E52</f>
        <v>0.83690268949975044</v>
      </c>
      <c r="R52" s="292">
        <v>1332.519</v>
      </c>
      <c r="S52" s="290">
        <f t="shared" si="5"/>
        <v>5.6092008194004492E-2</v>
      </c>
      <c r="U52" s="70"/>
    </row>
    <row r="53" spans="1:21" ht="15">
      <c r="A53" s="328">
        <v>1982</v>
      </c>
      <c r="B53" s="384">
        <f>'Table T3'!D57+'Table T3'!H57</f>
        <v>275.13130019385397</v>
      </c>
      <c r="C53" s="284">
        <f>'Table T3'!E57</f>
        <v>88.323999999999998</v>
      </c>
      <c r="D53" s="284">
        <f>'Table T3'!F57</f>
        <v>110.54330019385397</v>
      </c>
      <c r="E53" s="295">
        <f>'Table T3'!H57</f>
        <v>76.263999999999996</v>
      </c>
      <c r="F53" s="78">
        <f t="shared" si="6"/>
        <v>136.7854014666915</v>
      </c>
      <c r="G53" s="31">
        <f t="shared" si="7"/>
        <v>79.890235644797926</v>
      </c>
      <c r="H53" s="31">
        <f t="shared" si="8"/>
        <v>35.639165821893556</v>
      </c>
      <c r="I53" s="66">
        <f t="shared" si="9"/>
        <v>21.255999999999993</v>
      </c>
      <c r="J53" s="33">
        <f t="shared" si="10"/>
        <v>138.34589872716248</v>
      </c>
      <c r="K53" s="31">
        <f t="shared" si="11"/>
        <v>8.4337643552020669</v>
      </c>
      <c r="L53" s="31">
        <f t="shared" si="11"/>
        <v>74.90413437196041</v>
      </c>
      <c r="M53" s="31">
        <f>RawData!CG40/1000</f>
        <v>55.008000000000003</v>
      </c>
      <c r="N53" s="377">
        <f t="shared" si="12"/>
        <v>0.5028359137244135</v>
      </c>
      <c r="O53" s="51">
        <f t="shared" si="13"/>
        <v>9.5486666763304057E-2</v>
      </c>
      <c r="P53" s="51">
        <f t="shared" si="14"/>
        <v>0.67759994717549565</v>
      </c>
      <c r="Q53" s="51">
        <f t="shared" si="15"/>
        <v>0.72128396097765668</v>
      </c>
      <c r="R53" s="292">
        <v>1519.8119999999999</v>
      </c>
      <c r="S53" s="290">
        <f t="shared" si="5"/>
        <v>5.811508265495996E-2</v>
      </c>
      <c r="U53" s="70"/>
    </row>
    <row r="54" spans="1:21" ht="15">
      <c r="A54" s="328">
        <v>1983</v>
      </c>
      <c r="B54" s="384">
        <f>'Table T3'!D58+'Table T3'!H58</f>
        <v>330.01807025779431</v>
      </c>
      <c r="C54" s="284">
        <f>'Table T3'!E58</f>
        <v>109.55500000000001</v>
      </c>
      <c r="D54" s="284">
        <f>'Table T3'!F58</f>
        <v>134.32707025779428</v>
      </c>
      <c r="E54" s="295">
        <f>'Table T3'!H58</f>
        <v>86.135999999999996</v>
      </c>
      <c r="F54" s="78">
        <f t="shared" si="6"/>
        <v>175.30665779661717</v>
      </c>
      <c r="G54" s="31">
        <f t="shared" si="7"/>
        <v>100.37190630627862</v>
      </c>
      <c r="H54" s="31">
        <f t="shared" si="8"/>
        <v>49.246751490338539</v>
      </c>
      <c r="I54" s="66">
        <f t="shared" si="9"/>
        <v>25.687999999999995</v>
      </c>
      <c r="J54" s="33">
        <f t="shared" si="10"/>
        <v>154.71141246117713</v>
      </c>
      <c r="K54" s="31">
        <f t="shared" si="11"/>
        <v>9.1830936937213838</v>
      </c>
      <c r="L54" s="31">
        <f t="shared" si="11"/>
        <v>85.080318767455736</v>
      </c>
      <c r="M54" s="31">
        <f>RawData!CG41/1000</f>
        <v>60.448</v>
      </c>
      <c r="N54" s="377">
        <f t="shared" si="12"/>
        <v>0.46879679146152203</v>
      </c>
      <c r="O54" s="51">
        <f t="shared" si="13"/>
        <v>8.3821767091610461E-2</v>
      </c>
      <c r="P54" s="51">
        <f t="shared" si="14"/>
        <v>0.63338177929566641</v>
      </c>
      <c r="Q54" s="51">
        <f t="shared" si="15"/>
        <v>0.70177393888734096</v>
      </c>
      <c r="R54" s="292">
        <v>1894.1079999999999</v>
      </c>
      <c r="S54" s="290">
        <f t="shared" si="5"/>
        <v>5.7839890861555943E-2</v>
      </c>
      <c r="U54" s="70"/>
    </row>
    <row r="55" spans="1:21" ht="15">
      <c r="A55" s="325">
        <v>1984</v>
      </c>
      <c r="B55" s="384">
        <f>'Table T3'!D59+'Table T3'!H59</f>
        <v>363.19500000000005</v>
      </c>
      <c r="C55" s="284">
        <f>'Table T3'!E59</f>
        <v>104.852</v>
      </c>
      <c r="D55" s="284">
        <f>'Table T3'!F59</f>
        <v>163.22800000000001</v>
      </c>
      <c r="E55" s="295">
        <f>'Table T3'!H59</f>
        <v>95.114999999999995</v>
      </c>
      <c r="F55" s="78">
        <f t="shared" si="6"/>
        <v>189.53000000000006</v>
      </c>
      <c r="G55" s="31">
        <f t="shared" si="7"/>
        <v>94.853000000000009</v>
      </c>
      <c r="H55" s="31">
        <f t="shared" si="8"/>
        <v>66.589000000000013</v>
      </c>
      <c r="I55" s="66">
        <f t="shared" si="9"/>
        <v>28.087999999999994</v>
      </c>
      <c r="J55" s="33">
        <f t="shared" si="10"/>
        <v>173.66499999999999</v>
      </c>
      <c r="K55" s="31">
        <f>RawData!M42/1000</f>
        <v>9.9990000000000006</v>
      </c>
      <c r="L55" s="31">
        <f>RawData!N42/1000</f>
        <v>96.638999999999996</v>
      </c>
      <c r="M55" s="31">
        <f>RawData!CG42/1000</f>
        <v>67.027000000000001</v>
      </c>
      <c r="N55" s="377">
        <f t="shared" si="12"/>
        <v>0.47815911562659169</v>
      </c>
      <c r="O55" s="51">
        <f t="shared" si="13"/>
        <v>9.5362987830465804E-2</v>
      </c>
      <c r="P55" s="51">
        <f t="shared" si="14"/>
        <v>0.59204915823265614</v>
      </c>
      <c r="Q55" s="51">
        <f t="shared" si="15"/>
        <v>0.70469431740524635</v>
      </c>
      <c r="R55" s="292">
        <v>1862.847</v>
      </c>
      <c r="S55" s="290">
        <f t="shared" si="5"/>
        <v>5.6285889286667133E-2</v>
      </c>
      <c r="U55" s="70"/>
    </row>
    <row r="56" spans="1:21" ht="15">
      <c r="A56" s="325">
        <v>1985</v>
      </c>
      <c r="B56" s="384">
        <f>'Table T3'!D60+'Table T3'!H60</f>
        <v>484.14</v>
      </c>
      <c r="C56" s="284">
        <f>'Table T3'!E60</f>
        <v>138.19900000000001</v>
      </c>
      <c r="D56" s="284">
        <f>'Table T3'!F60</f>
        <v>258.84399999999999</v>
      </c>
      <c r="E56" s="295">
        <f>'Table T3'!H60</f>
        <v>87.096999999999994</v>
      </c>
      <c r="F56" s="78">
        <f t="shared" si="6"/>
        <v>302.98500000000001</v>
      </c>
      <c r="G56" s="31">
        <f t="shared" si="7"/>
        <v>124.55300000000001</v>
      </c>
      <c r="H56" s="31">
        <f t="shared" si="8"/>
        <v>150.48599999999999</v>
      </c>
      <c r="I56" s="66">
        <f t="shared" si="9"/>
        <v>27.945999999999991</v>
      </c>
      <c r="J56" s="33">
        <f t="shared" si="10"/>
        <v>181.155</v>
      </c>
      <c r="K56" s="31">
        <f>RawData!M43/1000</f>
        <v>13.646000000000001</v>
      </c>
      <c r="L56" s="31">
        <f>RawData!N43/1000</f>
        <v>108.358</v>
      </c>
      <c r="M56" s="31">
        <f>RawData!CG43/1000</f>
        <v>59.151000000000003</v>
      </c>
      <c r="N56" s="377">
        <f t="shared" si="12"/>
        <v>0.3741789565001859</v>
      </c>
      <c r="O56" s="51">
        <f t="shared" si="13"/>
        <v>9.8741669621343134E-2</v>
      </c>
      <c r="P56" s="51">
        <f t="shared" si="14"/>
        <v>0.41862279983310413</v>
      </c>
      <c r="Q56" s="51">
        <f t="shared" si="15"/>
        <v>0.67913935037946205</v>
      </c>
      <c r="R56" s="292">
        <v>2324.3130000000001</v>
      </c>
      <c r="S56" s="290">
        <f t="shared" si="5"/>
        <v>5.9457998987227624E-2</v>
      </c>
      <c r="U56" s="70"/>
    </row>
    <row r="57" spans="1:21" ht="15">
      <c r="A57" s="325">
        <v>1986</v>
      </c>
      <c r="B57" s="384">
        <f>'Table T3'!D61+'Table T3'!H61</f>
        <v>629.73199999999997</v>
      </c>
      <c r="C57" s="284">
        <f>'Table T3'!E61</f>
        <v>175.72399999999999</v>
      </c>
      <c r="D57" s="284">
        <f>'Table T3'!F61</f>
        <v>348.19299999999998</v>
      </c>
      <c r="E57" s="295">
        <f>'Table T3'!H61</f>
        <v>105.815</v>
      </c>
      <c r="F57" s="78">
        <f t="shared" si="6"/>
        <v>411.49799999999999</v>
      </c>
      <c r="G57" s="31">
        <f t="shared" si="7"/>
        <v>158.56099999999998</v>
      </c>
      <c r="H57" s="31">
        <f t="shared" si="8"/>
        <v>225.26399999999998</v>
      </c>
      <c r="I57" s="66">
        <f t="shared" si="9"/>
        <v>27.673000000000002</v>
      </c>
      <c r="J57" s="33">
        <f t="shared" si="10"/>
        <v>218.23399999999998</v>
      </c>
      <c r="K57" s="31">
        <f>RawData!M44/1000</f>
        <v>17.163</v>
      </c>
      <c r="L57" s="31">
        <f>RawData!N44/1000</f>
        <v>122.929</v>
      </c>
      <c r="M57" s="31">
        <f>RawData!CG44/1000</f>
        <v>78.141999999999996</v>
      </c>
      <c r="N57" s="377">
        <f t="shared" si="12"/>
        <v>0.34655059612660621</v>
      </c>
      <c r="O57" s="51">
        <f t="shared" si="13"/>
        <v>9.7670210102205737E-2</v>
      </c>
      <c r="P57" s="51">
        <f t="shared" si="14"/>
        <v>0.35304845301312782</v>
      </c>
      <c r="Q57" s="51">
        <f t="shared" si="15"/>
        <v>0.73847753154089679</v>
      </c>
      <c r="R57" s="292">
        <v>2635.7489999999998</v>
      </c>
      <c r="S57" s="290">
        <f t="shared" si="5"/>
        <v>6.6669474217765048E-2</v>
      </c>
      <c r="U57" s="70"/>
    </row>
    <row r="58" spans="1:21" ht="15">
      <c r="A58" s="325">
        <v>1987</v>
      </c>
      <c r="B58" s="384">
        <f>'Table T3'!D62+'Table T3'!H62</f>
        <v>689.62400000000002</v>
      </c>
      <c r="C58" s="284">
        <f>'Table T3'!E62</f>
        <v>189.136</v>
      </c>
      <c r="D58" s="284">
        <f>'Table T3'!F62</f>
        <v>381.96899999999999</v>
      </c>
      <c r="E58" s="295">
        <f>'Table T3'!H62</f>
        <v>118.51900000000001</v>
      </c>
      <c r="F58" s="78">
        <f t="shared" si="6"/>
        <v>436.58699999999999</v>
      </c>
      <c r="G58" s="31">
        <f t="shared" si="7"/>
        <v>171.553</v>
      </c>
      <c r="H58" s="31">
        <f t="shared" si="8"/>
        <v>238.47899999999998</v>
      </c>
      <c r="I58" s="66">
        <f t="shared" si="9"/>
        <v>26.555000000000007</v>
      </c>
      <c r="J58" s="33">
        <f t="shared" si="10"/>
        <v>253.03700000000001</v>
      </c>
      <c r="K58" s="31">
        <f>RawData!M45/1000</f>
        <v>17.582999999999998</v>
      </c>
      <c r="L58" s="31">
        <f>RawData!N45/1000</f>
        <v>143.49</v>
      </c>
      <c r="M58" s="31">
        <f>RawData!CG45/1000</f>
        <v>91.963999999999999</v>
      </c>
      <c r="N58" s="377">
        <f t="shared" si="12"/>
        <v>0.36692023479461272</v>
      </c>
      <c r="O58" s="51">
        <f t="shared" si="13"/>
        <v>9.296485068945097E-2</v>
      </c>
      <c r="P58" s="51">
        <f t="shared" si="14"/>
        <v>0.37565875764787199</v>
      </c>
      <c r="Q58" s="51">
        <f t="shared" si="15"/>
        <v>0.77594309773116543</v>
      </c>
      <c r="R58" s="292">
        <v>2588.89</v>
      </c>
      <c r="S58" s="290">
        <f t="shared" si="5"/>
        <v>7.3056792679488128E-2</v>
      </c>
      <c r="U58" s="70"/>
    </row>
    <row r="59" spans="1:21" ht="15">
      <c r="A59" s="325">
        <v>1988</v>
      </c>
      <c r="B59" s="384">
        <f>'Table T3'!D63+'Table T3'!H63</f>
        <v>797.24199999999996</v>
      </c>
      <c r="C59" s="284">
        <f>'Table T3'!E63</f>
        <v>208.95500000000001</v>
      </c>
      <c r="D59" s="284">
        <f>'Table T3'!F63</f>
        <v>456.80500000000001</v>
      </c>
      <c r="E59" s="295">
        <f>'Table T3'!H63</f>
        <v>131.482</v>
      </c>
      <c r="F59" s="78">
        <f t="shared" si="6"/>
        <v>507.64799999999997</v>
      </c>
      <c r="G59" s="31">
        <f t="shared" si="7"/>
        <v>191.16400000000002</v>
      </c>
      <c r="H59" s="31">
        <f t="shared" si="8"/>
        <v>293.13400000000001</v>
      </c>
      <c r="I59" s="66">
        <f t="shared" si="9"/>
        <v>23.349999999999994</v>
      </c>
      <c r="J59" s="33">
        <f t="shared" si="10"/>
        <v>289.59399999999999</v>
      </c>
      <c r="K59" s="31">
        <f>RawData!M46/1000</f>
        <v>17.791</v>
      </c>
      <c r="L59" s="31">
        <f>RawData!N46/1000</f>
        <v>163.67099999999999</v>
      </c>
      <c r="M59" s="31">
        <f>RawData!CG46/1000</f>
        <v>108.13200000000001</v>
      </c>
      <c r="N59" s="377">
        <f t="shared" si="12"/>
        <v>0.36324478640111785</v>
      </c>
      <c r="O59" s="51">
        <f t="shared" si="13"/>
        <v>8.5142734081500804E-2</v>
      </c>
      <c r="P59" s="51">
        <f t="shared" si="14"/>
        <v>0.35829511498341743</v>
      </c>
      <c r="Q59" s="51">
        <f t="shared" si="15"/>
        <v>0.8224091510625029</v>
      </c>
      <c r="R59" s="292">
        <v>2789.9999027200001</v>
      </c>
      <c r="S59" s="290">
        <f t="shared" si="5"/>
        <v>7.4894267844342069E-2</v>
      </c>
      <c r="U59" s="70"/>
    </row>
    <row r="60" spans="1:21" ht="15">
      <c r="A60" s="326">
        <v>1989</v>
      </c>
      <c r="B60" s="385">
        <f>'Table T3'!D64+'Table T3'!H64</f>
        <v>958.30099999999993</v>
      </c>
      <c r="C60" s="312">
        <f>'Table T3'!E64</f>
        <v>276.10300000000001</v>
      </c>
      <c r="D60" s="312">
        <f>'Table T3'!F64</f>
        <v>571.572</v>
      </c>
      <c r="E60" s="313">
        <f>'Table T3'!H64</f>
        <v>110.626</v>
      </c>
      <c r="F60" s="226">
        <f t="shared" si="6"/>
        <v>652.92699999999991</v>
      </c>
      <c r="G60" s="227">
        <f t="shared" si="7"/>
        <v>249.06800000000001</v>
      </c>
      <c r="H60" s="227">
        <f t="shared" si="8"/>
        <v>375.60599999999999</v>
      </c>
      <c r="I60" s="321">
        <f t="shared" si="9"/>
        <v>28.253</v>
      </c>
      <c r="J60" s="322">
        <f t="shared" si="10"/>
        <v>305.37400000000002</v>
      </c>
      <c r="K60" s="227">
        <f>RawData!M47/1000</f>
        <v>27.035</v>
      </c>
      <c r="L60" s="227">
        <f>RawData!N47/1000</f>
        <v>195.96600000000001</v>
      </c>
      <c r="M60" s="227">
        <f>RawData!CG47/1000</f>
        <v>82.373000000000005</v>
      </c>
      <c r="N60" s="378">
        <f t="shared" si="12"/>
        <v>0.31866188180957761</v>
      </c>
      <c r="O60" s="375">
        <f t="shared" si="13"/>
        <v>9.7916357301441853E-2</v>
      </c>
      <c r="P60" s="375">
        <f t="shared" si="14"/>
        <v>0.34285444353467281</v>
      </c>
      <c r="Q60" s="375">
        <f t="shared" si="15"/>
        <v>0.74460795834613924</v>
      </c>
      <c r="R60" s="317">
        <v>3509.9998945279999</v>
      </c>
      <c r="S60" s="320">
        <f t="shared" si="5"/>
        <v>7.8661825725532791E-2</v>
      </c>
      <c r="U60" s="70"/>
    </row>
    <row r="61" spans="1:21" ht="15">
      <c r="A61" s="325">
        <v>1990</v>
      </c>
      <c r="B61" s="384">
        <f>'Table T3'!D65+'Table T3'!H65</f>
        <v>945.60500000000002</v>
      </c>
      <c r="C61" s="284">
        <f>'Table T3'!E65</f>
        <v>248.251</v>
      </c>
      <c r="D61" s="284">
        <f>'Table T3'!F65</f>
        <v>582.98</v>
      </c>
      <c r="E61" s="295">
        <f>'Table T3'!H65</f>
        <v>114.374</v>
      </c>
      <c r="F61" s="78">
        <f t="shared" si="6"/>
        <v>619.16800000000001</v>
      </c>
      <c r="G61" s="31">
        <f t="shared" si="7"/>
        <v>224.46100000000001</v>
      </c>
      <c r="H61" s="31">
        <f t="shared" si="8"/>
        <v>364.726</v>
      </c>
      <c r="I61" s="66">
        <f t="shared" si="9"/>
        <v>29.980999999999995</v>
      </c>
      <c r="J61" s="33">
        <f t="shared" si="10"/>
        <v>326.43700000000001</v>
      </c>
      <c r="K61" s="31">
        <f>RawData!M48/1000</f>
        <v>23.79</v>
      </c>
      <c r="L61" s="31">
        <f>RawData!N48/1000</f>
        <v>218.25399999999999</v>
      </c>
      <c r="M61" s="31">
        <f>RawData!CG48/1000</f>
        <v>84.393000000000001</v>
      </c>
      <c r="N61" s="377">
        <f t="shared" si="12"/>
        <v>0.34521496819496511</v>
      </c>
      <c r="O61" s="51">
        <f t="shared" si="13"/>
        <v>9.5830429686083837E-2</v>
      </c>
      <c r="P61" s="51">
        <f t="shared" si="14"/>
        <v>0.37437647946756319</v>
      </c>
      <c r="Q61" s="51">
        <f t="shared" si="15"/>
        <v>0.73786874639341116</v>
      </c>
      <c r="R61" s="292">
        <v>3060.0000962559998</v>
      </c>
      <c r="S61" s="290">
        <f t="shared" si="5"/>
        <v>8.1127775225805526E-2</v>
      </c>
      <c r="U61" s="70"/>
    </row>
    <row r="62" spans="1:21" ht="15">
      <c r="A62" s="325">
        <v>1991</v>
      </c>
      <c r="B62" s="384">
        <f>'Table T3'!D66+'Table T3'!H66</f>
        <v>1117.6779999999999</v>
      </c>
      <c r="C62" s="284">
        <f>'Table T3'!E66</f>
        <v>332.85599999999999</v>
      </c>
      <c r="D62" s="284">
        <f>'Table T3'!F66</f>
        <v>655.42399999999998</v>
      </c>
      <c r="E62" s="295">
        <f>'Table T3'!H66</f>
        <v>129.398</v>
      </c>
      <c r="F62" s="78">
        <f t="shared" si="6"/>
        <v>757.24599999999987</v>
      </c>
      <c r="G62" s="31">
        <f t="shared" si="7"/>
        <v>301.55200000000002</v>
      </c>
      <c r="H62" s="31">
        <f t="shared" si="8"/>
        <v>422.97299999999996</v>
      </c>
      <c r="I62" s="66">
        <f t="shared" si="9"/>
        <v>32.720999999999989</v>
      </c>
      <c r="J62" s="33">
        <f t="shared" si="10"/>
        <v>360.43200000000002</v>
      </c>
      <c r="K62" s="31">
        <f>RawData!M49/1000</f>
        <v>31.303999999999998</v>
      </c>
      <c r="L62" s="31">
        <f>RawData!N49/1000</f>
        <v>232.45099999999999</v>
      </c>
      <c r="M62" s="31">
        <f>RawData!CG49/1000</f>
        <v>96.677000000000007</v>
      </c>
      <c r="N62" s="377">
        <f t="shared" si="12"/>
        <v>0.32248286179024732</v>
      </c>
      <c r="O62" s="51">
        <f t="shared" si="13"/>
        <v>9.4046674838368538E-2</v>
      </c>
      <c r="P62" s="51">
        <f t="shared" si="14"/>
        <v>0.35465744312078901</v>
      </c>
      <c r="Q62" s="51">
        <f t="shared" si="15"/>
        <v>0.74712901281318111</v>
      </c>
      <c r="R62" s="292">
        <v>4090.0000481279999</v>
      </c>
      <c r="S62" s="290">
        <f t="shared" si="5"/>
        <v>8.1382884127922869E-2</v>
      </c>
      <c r="U62" s="70"/>
    </row>
    <row r="63" spans="1:21" ht="15">
      <c r="A63" s="325">
        <v>1992</v>
      </c>
      <c r="B63" s="384">
        <f>'Table T3'!D67+'Table T3'!H67</f>
        <v>1209.78</v>
      </c>
      <c r="C63" s="284">
        <f>'Table T3'!E67</f>
        <v>344.85300000000001</v>
      </c>
      <c r="D63" s="284">
        <f>'Table T3'!F67</f>
        <v>715.30899999999997</v>
      </c>
      <c r="E63" s="295">
        <f>'Table T3'!H67</f>
        <v>149.61799999999999</v>
      </c>
      <c r="F63" s="78">
        <f t="shared" si="6"/>
        <v>829.14699999999993</v>
      </c>
      <c r="G63" s="31">
        <f t="shared" si="7"/>
        <v>313.63600000000002</v>
      </c>
      <c r="H63" s="31">
        <f t="shared" si="8"/>
        <v>474.25399999999996</v>
      </c>
      <c r="I63" s="66">
        <f t="shared" si="9"/>
        <v>41.256999999999991</v>
      </c>
      <c r="J63" s="33">
        <f t="shared" si="10"/>
        <v>380.63300000000004</v>
      </c>
      <c r="K63" s="31">
        <f>RawData!M50/1000</f>
        <v>31.216999999999999</v>
      </c>
      <c r="L63" s="31">
        <f>RawData!N50/1000</f>
        <v>241.05500000000001</v>
      </c>
      <c r="M63" s="31">
        <f>RawData!CG50/1000</f>
        <v>108.361</v>
      </c>
      <c r="N63" s="377">
        <f t="shared" si="12"/>
        <v>0.31462993271503914</v>
      </c>
      <c r="O63" s="51">
        <f t="shared" si="13"/>
        <v>9.0522628482280848E-2</v>
      </c>
      <c r="P63" s="51">
        <f t="shared" si="14"/>
        <v>0.33699422207745189</v>
      </c>
      <c r="Q63" s="51">
        <f t="shared" si="15"/>
        <v>0.72425109278295396</v>
      </c>
      <c r="R63" s="292">
        <v>4489.9998105599998</v>
      </c>
      <c r="S63" s="290">
        <f t="shared" si="5"/>
        <v>7.6804680300641123E-2</v>
      </c>
      <c r="U63" s="70"/>
    </row>
    <row r="64" spans="1:21" ht="15">
      <c r="A64" s="325">
        <v>1993</v>
      </c>
      <c r="B64" s="384">
        <f>'Table T3'!D68+'Table T3'!H68</f>
        <v>1420.2370000000001</v>
      </c>
      <c r="C64" s="284">
        <f>'Table T3'!E68</f>
        <v>394.565</v>
      </c>
      <c r="D64" s="284">
        <f>'Table T3'!F68</f>
        <v>812.64400000000001</v>
      </c>
      <c r="E64" s="295">
        <f>'Table T3'!H68</f>
        <v>213.02799999999999</v>
      </c>
      <c r="F64" s="78">
        <f t="shared" si="6"/>
        <v>971.90600000000006</v>
      </c>
      <c r="G64" s="31">
        <f t="shared" si="7"/>
        <v>358.47800000000001</v>
      </c>
      <c r="H64" s="31">
        <f t="shared" si="8"/>
        <v>557.077</v>
      </c>
      <c r="I64" s="66">
        <f t="shared" si="9"/>
        <v>56.350999999999999</v>
      </c>
      <c r="J64" s="33">
        <f t="shared" si="10"/>
        <v>448.33100000000002</v>
      </c>
      <c r="K64" s="31">
        <f>RawData!M51/1000</f>
        <v>36.087000000000003</v>
      </c>
      <c r="L64" s="31">
        <f>RawData!N51/1000</f>
        <v>255.56700000000001</v>
      </c>
      <c r="M64" s="31">
        <f>RawData!CG51/1000</f>
        <v>156.67699999999999</v>
      </c>
      <c r="N64" s="377">
        <f t="shared" si="12"/>
        <v>0.31567337000796347</v>
      </c>
      <c r="O64" s="51">
        <f t="shared" si="13"/>
        <v>9.1460215680559606E-2</v>
      </c>
      <c r="P64" s="51">
        <f t="shared" si="14"/>
        <v>0.3144882630032339</v>
      </c>
      <c r="Q64" s="51">
        <f t="shared" si="15"/>
        <v>0.73547608765044969</v>
      </c>
      <c r="R64" s="292">
        <v>5136.1989263360001</v>
      </c>
      <c r="S64" s="290">
        <f t="shared" si="5"/>
        <v>7.6820428036160598E-2</v>
      </c>
      <c r="U64" s="70"/>
    </row>
    <row r="65" spans="1:21" ht="15">
      <c r="A65" s="325">
        <v>1994</v>
      </c>
      <c r="B65" s="384">
        <f>'Table T3'!D69+'Table T3'!H69</f>
        <v>1449.34</v>
      </c>
      <c r="C65" s="284">
        <f>'Table T3'!E69</f>
        <v>397.70299999999997</v>
      </c>
      <c r="D65" s="284">
        <f>'Table T3'!F69</f>
        <v>846.16</v>
      </c>
      <c r="E65" s="295">
        <f>'Table T3'!H69</f>
        <v>205.477</v>
      </c>
      <c r="F65" s="78">
        <f t="shared" si="6"/>
        <v>987.28</v>
      </c>
      <c r="G65" s="31">
        <f t="shared" si="7"/>
        <v>363.75299999999999</v>
      </c>
      <c r="H65" s="31">
        <f t="shared" si="8"/>
        <v>571.07199999999989</v>
      </c>
      <c r="I65" s="66">
        <f t="shared" si="9"/>
        <v>52.455000000000013</v>
      </c>
      <c r="J65" s="33">
        <f t="shared" si="10"/>
        <v>462.06</v>
      </c>
      <c r="K65" s="31">
        <f>RawData!M52/1000</f>
        <v>33.950000000000003</v>
      </c>
      <c r="L65" s="31">
        <f>RawData!N52/1000</f>
        <v>275.08800000000002</v>
      </c>
      <c r="M65" s="31">
        <f>RawData!CG52/1000</f>
        <v>153.02199999999999</v>
      </c>
      <c r="N65" s="377">
        <f t="shared" si="12"/>
        <v>0.31880718119971851</v>
      </c>
      <c r="O65" s="51">
        <f t="shared" si="13"/>
        <v>8.5365209716798729E-2</v>
      </c>
      <c r="P65" s="51">
        <f t="shared" si="14"/>
        <v>0.3251016356244682</v>
      </c>
      <c r="Q65" s="51">
        <f t="shared" si="15"/>
        <v>0.74471595361037968</v>
      </c>
      <c r="R65" s="292">
        <v>5067.0159790079997</v>
      </c>
      <c r="S65" s="290">
        <f t="shared" si="5"/>
        <v>7.848860190053332E-2</v>
      </c>
      <c r="U65" s="70"/>
    </row>
    <row r="66" spans="1:21" ht="15">
      <c r="A66" s="325">
        <v>1995</v>
      </c>
      <c r="B66" s="384">
        <f>'Table T3'!D70+'Table T3'!H70</f>
        <v>1897.557</v>
      </c>
      <c r="C66" s="284">
        <f>'Table T3'!E70</f>
        <v>546.54100000000005</v>
      </c>
      <c r="D66" s="284">
        <f>'Table T3'!F70</f>
        <v>1101.461</v>
      </c>
      <c r="E66" s="295">
        <f>'Table T3'!H70</f>
        <v>249.55500000000001</v>
      </c>
      <c r="F66" s="78">
        <f t="shared" si="6"/>
        <v>1299.6610000000001</v>
      </c>
      <c r="G66" s="31">
        <f t="shared" si="7"/>
        <v>499.54700000000003</v>
      </c>
      <c r="H66" s="31">
        <f t="shared" si="8"/>
        <v>743.04</v>
      </c>
      <c r="I66" s="66">
        <f t="shared" si="9"/>
        <v>57.074000000000012</v>
      </c>
      <c r="J66" s="33">
        <f t="shared" si="10"/>
        <v>597.89599999999996</v>
      </c>
      <c r="K66" s="31">
        <f>RawData!M53/1000</f>
        <v>46.994</v>
      </c>
      <c r="L66" s="31">
        <f>RawData!N53/1000</f>
        <v>358.42099999999999</v>
      </c>
      <c r="M66" s="31">
        <f>RawData!CG53/1000</f>
        <v>192.48099999999999</v>
      </c>
      <c r="N66" s="377">
        <f t="shared" si="12"/>
        <v>0.31508724112108355</v>
      </c>
      <c r="O66" s="51">
        <f t="shared" si="13"/>
        <v>8.5984400072455669E-2</v>
      </c>
      <c r="P66" s="51">
        <f t="shared" si="14"/>
        <v>0.3254050756222871</v>
      </c>
      <c r="Q66" s="51">
        <f t="shared" si="15"/>
        <v>0.77129690849712484</v>
      </c>
      <c r="R66" s="292">
        <v>6857.6220000000003</v>
      </c>
      <c r="S66" s="290">
        <f t="shared" si="5"/>
        <v>7.9698326912740314E-2</v>
      </c>
      <c r="U66" s="70"/>
    </row>
    <row r="67" spans="1:21" ht="15">
      <c r="A67" s="325">
        <v>1996</v>
      </c>
      <c r="B67" s="384">
        <f>'Table T3'!D71+'Table T3'!H71</f>
        <v>2325.4570000000003</v>
      </c>
      <c r="C67" s="284">
        <f>'Table T3'!E71</f>
        <v>675.35400000000004</v>
      </c>
      <c r="D67" s="284">
        <f>'Table T3'!F71</f>
        <v>1341.2180000000001</v>
      </c>
      <c r="E67" s="295">
        <f>'Table T3'!H71</f>
        <v>308.88499999999999</v>
      </c>
      <c r="F67" s="78">
        <f t="shared" si="6"/>
        <v>1589.4570000000003</v>
      </c>
      <c r="G67" s="31">
        <f t="shared" si="7"/>
        <v>621.10200000000009</v>
      </c>
      <c r="H67" s="31">
        <f t="shared" si="8"/>
        <v>892.08300000000008</v>
      </c>
      <c r="I67" s="66">
        <f t="shared" si="9"/>
        <v>76.271999999999991</v>
      </c>
      <c r="J67" s="33">
        <f t="shared" si="10"/>
        <v>736</v>
      </c>
      <c r="K67" s="31">
        <f>RawData!M54/1000</f>
        <v>54.252000000000002</v>
      </c>
      <c r="L67" s="31">
        <f>RawData!N54/1000</f>
        <v>449.13499999999999</v>
      </c>
      <c r="M67" s="31">
        <f>RawData!CG54/1000</f>
        <v>232.613</v>
      </c>
      <c r="N67" s="377">
        <f t="shared" si="12"/>
        <v>0.31649692942075469</v>
      </c>
      <c r="O67" s="51">
        <f t="shared" si="13"/>
        <v>8.033120407963823E-2</v>
      </c>
      <c r="P67" s="51">
        <f t="shared" si="14"/>
        <v>0.33487099039827972</v>
      </c>
      <c r="Q67" s="51">
        <f t="shared" si="15"/>
        <v>0.75307315020153132</v>
      </c>
      <c r="R67" s="292">
        <v>8484.4330000000009</v>
      </c>
      <c r="S67" s="290">
        <f t="shared" si="5"/>
        <v>7.9599190658939722E-2</v>
      </c>
      <c r="U67" s="70"/>
    </row>
    <row r="68" spans="1:21" ht="15">
      <c r="A68" s="325">
        <v>1997</v>
      </c>
      <c r="B68" s="384">
        <f>'Table T3'!D72+'Table T3'!H72</f>
        <v>2851.674</v>
      </c>
      <c r="C68" s="284">
        <f>'Table T3'!E72</f>
        <v>953.77</v>
      </c>
      <c r="D68" s="284">
        <f>'Table T3'!F72</f>
        <v>1611.0239999999999</v>
      </c>
      <c r="E68" s="295">
        <f>'Table T3'!H72</f>
        <v>286.88</v>
      </c>
      <c r="F68" s="78">
        <f t="shared" si="6"/>
        <v>2077.509</v>
      </c>
      <c r="G68" s="31">
        <f t="shared" si="7"/>
        <v>888.12099999999998</v>
      </c>
      <c r="H68" s="31">
        <f t="shared" si="8"/>
        <v>1084.165</v>
      </c>
      <c r="I68" s="66">
        <f t="shared" si="9"/>
        <v>105.22299999999998</v>
      </c>
      <c r="J68" s="33">
        <f t="shared" si="10"/>
        <v>774.16500000000008</v>
      </c>
      <c r="K68" s="31">
        <f>RawData!M55/1000</f>
        <v>65.649000000000001</v>
      </c>
      <c r="L68" s="31">
        <f>RawData!N55/1000</f>
        <v>526.85900000000004</v>
      </c>
      <c r="M68" s="31">
        <f>RawData!CG55/1000</f>
        <v>181.65700000000001</v>
      </c>
      <c r="N68" s="377">
        <f t="shared" si="12"/>
        <v>0.27147738486236506</v>
      </c>
      <c r="O68" s="51">
        <f t="shared" si="13"/>
        <v>6.8831059899137112E-2</v>
      </c>
      <c r="P68" s="51">
        <f t="shared" si="14"/>
        <v>0.32703361340364889</v>
      </c>
      <c r="Q68" s="51">
        <f t="shared" si="15"/>
        <v>0.63321597880646963</v>
      </c>
      <c r="R68" s="292">
        <v>11308.779</v>
      </c>
      <c r="S68" s="290">
        <f t="shared" si="5"/>
        <v>8.4338901662151147E-2</v>
      </c>
      <c r="U68" s="70"/>
    </row>
    <row r="69" spans="1:21" ht="15">
      <c r="A69" s="325">
        <v>1998</v>
      </c>
      <c r="B69" s="384">
        <f>'Table T3'!D73+'Table T3'!H73</f>
        <v>3379.549</v>
      </c>
      <c r="C69" s="284">
        <f>'Table T3'!E73</f>
        <v>1265.0650000000001</v>
      </c>
      <c r="D69" s="284">
        <f>'Table T3'!F73</f>
        <v>1789.2909999999999</v>
      </c>
      <c r="E69" s="295">
        <f>'Table T3'!H73</f>
        <v>325.19299999999998</v>
      </c>
      <c r="F69" s="78">
        <f t="shared" si="6"/>
        <v>2552.4920000000002</v>
      </c>
      <c r="G69" s="31">
        <f t="shared" si="7"/>
        <v>1188.529</v>
      </c>
      <c r="H69" s="31">
        <f t="shared" si="8"/>
        <v>1218.5740000000001</v>
      </c>
      <c r="I69" s="66">
        <f t="shared" si="9"/>
        <v>145.38899999999998</v>
      </c>
      <c r="J69" s="33">
        <f t="shared" si="10"/>
        <v>827.05700000000002</v>
      </c>
      <c r="K69" s="31">
        <f>RawData!M56/1000</f>
        <v>76.536000000000001</v>
      </c>
      <c r="L69" s="31">
        <f>RawData!N56/1000</f>
        <v>570.71699999999998</v>
      </c>
      <c r="M69" s="31">
        <f>RawData!CG56/1000</f>
        <v>179.804</v>
      </c>
      <c r="N69" s="377">
        <f t="shared" si="12"/>
        <v>0.24472407412941788</v>
      </c>
      <c r="O69" s="51">
        <f t="shared" si="13"/>
        <v>6.0499658120333734E-2</v>
      </c>
      <c r="P69" s="51">
        <f t="shared" si="14"/>
        <v>0.31896265056941547</v>
      </c>
      <c r="Q69" s="51">
        <f t="shared" si="15"/>
        <v>0.55291473063688334</v>
      </c>
      <c r="R69" s="292">
        <v>13451.352000000001</v>
      </c>
      <c r="S69" s="290">
        <f t="shared" si="5"/>
        <v>9.4047423634442101E-2</v>
      </c>
      <c r="U69" s="70"/>
    </row>
    <row r="70" spans="1:21" ht="15">
      <c r="A70" s="326">
        <v>1999</v>
      </c>
      <c r="B70" s="385">
        <f>'Table T3'!D74+'Table T3'!H74</f>
        <v>3727.7599999999998</v>
      </c>
      <c r="C70" s="312">
        <f>'Table T3'!E74</f>
        <v>1624.5309999999999</v>
      </c>
      <c r="D70" s="312">
        <f>'Table T3'!F74</f>
        <v>1784.9359999999999</v>
      </c>
      <c r="E70" s="313">
        <f>'Table T3'!H74</f>
        <v>318.29300000000001</v>
      </c>
      <c r="F70" s="226">
        <f t="shared" si="6"/>
        <v>2894.3710000000001</v>
      </c>
      <c r="G70" s="227">
        <f t="shared" si="7"/>
        <v>1537.3509999999999</v>
      </c>
      <c r="H70" s="227">
        <f t="shared" si="8"/>
        <v>1236.136</v>
      </c>
      <c r="I70" s="321">
        <f t="shared" si="9"/>
        <v>120.88400000000001</v>
      </c>
      <c r="J70" s="322">
        <f t="shared" si="10"/>
        <v>833.3889999999999</v>
      </c>
      <c r="K70" s="227">
        <f>RawData!M57/1000</f>
        <v>87.18</v>
      </c>
      <c r="L70" s="227">
        <f>RawData!N57/1000</f>
        <v>548.79999999999995</v>
      </c>
      <c r="M70" s="227">
        <f>RawData!CG57/1000</f>
        <v>197.40899999999999</v>
      </c>
      <c r="N70" s="378">
        <f t="shared" si="12"/>
        <v>0.22356294396634976</v>
      </c>
      <c r="O70" s="375">
        <f t="shared" si="13"/>
        <v>5.3664719232812429E-2</v>
      </c>
      <c r="P70" s="375">
        <f t="shared" si="14"/>
        <v>0.30746200423992792</v>
      </c>
      <c r="Q70" s="375">
        <f t="shared" si="15"/>
        <v>0.62021156607276939</v>
      </c>
      <c r="R70" s="317">
        <v>16635.114000000001</v>
      </c>
      <c r="S70" s="320">
        <f t="shared" si="5"/>
        <v>9.7656739833583334E-2</v>
      </c>
      <c r="U70" s="70"/>
    </row>
    <row r="71" spans="1:21" ht="15">
      <c r="A71" s="325">
        <v>2000</v>
      </c>
      <c r="B71" s="384">
        <f>'Table T3'!D75+'Table T3'!H75</f>
        <v>3984.8150000000001</v>
      </c>
      <c r="C71" s="284">
        <f>'Table T3'!E75</f>
        <v>1620.943</v>
      </c>
      <c r="D71" s="284">
        <f>'Table T3'!F75</f>
        <v>2040.1859999999999</v>
      </c>
      <c r="E71" s="295">
        <f>'Table T3'!H75</f>
        <v>323.68599999999998</v>
      </c>
      <c r="F71" s="78">
        <f t="shared" si="6"/>
        <v>3058.0940000000001</v>
      </c>
      <c r="G71" s="31">
        <f t="shared" si="7"/>
        <v>1532.99</v>
      </c>
      <c r="H71" s="31">
        <f t="shared" si="8"/>
        <v>1402.0319999999999</v>
      </c>
      <c r="I71" s="66">
        <f t="shared" si="9"/>
        <v>123.07199999999997</v>
      </c>
      <c r="J71" s="33">
        <f t="shared" si="10"/>
        <v>926.721</v>
      </c>
      <c r="K71" s="31">
        <f>RawData!M58/1000</f>
        <v>87.953000000000003</v>
      </c>
      <c r="L71" s="31">
        <f>RawData!N58/1000</f>
        <v>638.154</v>
      </c>
      <c r="M71" s="31">
        <f>RawData!CG58/1000</f>
        <v>200.614</v>
      </c>
      <c r="N71" s="377">
        <f t="shared" si="12"/>
        <v>0.23256311773570418</v>
      </c>
      <c r="O71" s="51">
        <f t="shared" si="13"/>
        <v>5.4260390402376887E-2</v>
      </c>
      <c r="P71" s="51">
        <f t="shared" si="14"/>
        <v>0.31279206895841849</v>
      </c>
      <c r="Q71" s="51">
        <f t="shared" si="15"/>
        <v>0.61977966300674114</v>
      </c>
      <c r="R71" s="292">
        <v>15104.037</v>
      </c>
      <c r="S71" s="290">
        <f t="shared" si="5"/>
        <v>0.107318526828291</v>
      </c>
      <c r="U71" s="70"/>
    </row>
    <row r="72" spans="1:21" ht="15">
      <c r="A72" s="325">
        <v>2001</v>
      </c>
      <c r="B72" s="384">
        <f>'Table T3'!D76+'Table T3'!H76</f>
        <v>4260.0759999999991</v>
      </c>
      <c r="C72" s="284">
        <f>'Table T3'!E76</f>
        <v>1573.079</v>
      </c>
      <c r="D72" s="284">
        <f>'Table T3'!F76</f>
        <v>2361.0749999999998</v>
      </c>
      <c r="E72" s="295">
        <f>'Table T3'!H76</f>
        <v>325.92200000000003</v>
      </c>
      <c r="F72" s="78">
        <f t="shared" si="6"/>
        <v>3291.4319999999989</v>
      </c>
      <c r="G72" s="31">
        <f t="shared" si="7"/>
        <v>1479.875</v>
      </c>
      <c r="H72" s="31">
        <f t="shared" si="8"/>
        <v>1686.9549999999999</v>
      </c>
      <c r="I72" s="66">
        <f t="shared" si="9"/>
        <v>124.60200000000003</v>
      </c>
      <c r="J72" s="33">
        <f t="shared" si="10"/>
        <v>968.64400000000001</v>
      </c>
      <c r="K72" s="31">
        <f>RawData!M59/1000</f>
        <v>93.203999999999994</v>
      </c>
      <c r="L72" s="31">
        <f>RawData!N59/1000</f>
        <v>674.12</v>
      </c>
      <c r="M72" s="31">
        <f>RawData!CG59/1000</f>
        <v>201.32</v>
      </c>
      <c r="N72" s="377">
        <f t="shared" si="12"/>
        <v>0.2273771641632685</v>
      </c>
      <c r="O72" s="51">
        <f t="shared" si="13"/>
        <v>5.9249408325964557E-2</v>
      </c>
      <c r="P72" s="51">
        <f t="shared" si="14"/>
        <v>0.28551401374373964</v>
      </c>
      <c r="Q72" s="51">
        <f t="shared" si="15"/>
        <v>0.61769380403900309</v>
      </c>
      <c r="R72" s="292">
        <v>13854.616194</v>
      </c>
      <c r="S72" s="290">
        <f t="shared" si="5"/>
        <v>0.11354186777698333</v>
      </c>
      <c r="U72" s="70"/>
    </row>
    <row r="73" spans="1:21" ht="15">
      <c r="A73" s="325">
        <v>2002</v>
      </c>
      <c r="B73" s="384">
        <f>'Table T3'!D77+'Table T3'!H77</f>
        <v>4473.165</v>
      </c>
      <c r="C73" s="284">
        <f>'Table T3'!E77</f>
        <v>1328.771</v>
      </c>
      <c r="D73" s="284">
        <f>'Table T3'!F77</f>
        <v>2720.4169999999999</v>
      </c>
      <c r="E73" s="295">
        <f>'Table T3'!H77</f>
        <v>423.97699999999998</v>
      </c>
      <c r="F73" s="78">
        <f t="shared" si="6"/>
        <v>3366.2170000000001</v>
      </c>
      <c r="G73" s="31">
        <f t="shared" si="7"/>
        <v>1243.732</v>
      </c>
      <c r="H73" s="31">
        <f t="shared" si="8"/>
        <v>1939.7139999999999</v>
      </c>
      <c r="I73" s="66">
        <f t="shared" si="9"/>
        <v>182.77099999999999</v>
      </c>
      <c r="J73" s="33">
        <f t="shared" si="10"/>
        <v>1106.9479999999999</v>
      </c>
      <c r="K73" s="31">
        <f>RawData!M60/1000</f>
        <v>85.039000000000001</v>
      </c>
      <c r="L73" s="31">
        <f>RawData!N60/1000</f>
        <v>780.70299999999997</v>
      </c>
      <c r="M73" s="31">
        <f>RawData!CG60/1000</f>
        <v>241.20599999999999</v>
      </c>
      <c r="N73" s="377">
        <f t="shared" si="12"/>
        <v>0.24746415569289304</v>
      </c>
      <c r="O73" s="51">
        <f t="shared" si="13"/>
        <v>6.3998235963909508E-2</v>
      </c>
      <c r="P73" s="51">
        <f t="shared" si="14"/>
        <v>0.2869791653264922</v>
      </c>
      <c r="Q73" s="51">
        <f t="shared" si="15"/>
        <v>0.56891293631494166</v>
      </c>
      <c r="R73" s="292">
        <v>11098.10153</v>
      </c>
      <c r="S73" s="290">
        <f t="shared" si="5"/>
        <v>0.11972957684772595</v>
      </c>
      <c r="U73" s="70"/>
    </row>
    <row r="74" spans="1:21" ht="15">
      <c r="A74" s="325">
        <v>2003</v>
      </c>
      <c r="B74" s="384">
        <f>'Table T3'!D78+'Table T3'!H78</f>
        <v>5442.34</v>
      </c>
      <c r="C74" s="284">
        <f>'Table T3'!E78</f>
        <v>1838.8789999999999</v>
      </c>
      <c r="D74" s="284">
        <f>'Table T3'!F78</f>
        <v>3141.89</v>
      </c>
      <c r="E74" s="295">
        <f>'Table T3'!H78</f>
        <v>461.57100000000003</v>
      </c>
      <c r="F74" s="78">
        <f t="shared" si="6"/>
        <v>4045.846</v>
      </c>
      <c r="G74" s="31">
        <f t="shared" si="7"/>
        <v>1714.5339999999999</v>
      </c>
      <c r="H74" s="31">
        <f t="shared" si="8"/>
        <v>2153.8599999999997</v>
      </c>
      <c r="I74" s="66">
        <f t="shared" si="9"/>
        <v>177.452</v>
      </c>
      <c r="J74" s="33">
        <f t="shared" si="10"/>
        <v>1396.4940000000001</v>
      </c>
      <c r="K74" s="31">
        <f>RawData!M61/1000</f>
        <v>124.345</v>
      </c>
      <c r="L74" s="31">
        <f>RawData!N61/1000</f>
        <v>988.03</v>
      </c>
      <c r="M74" s="31">
        <f>RawData!CG61/1000</f>
        <v>284.11900000000003</v>
      </c>
      <c r="N74" s="377">
        <f t="shared" si="12"/>
        <v>0.25659808097252285</v>
      </c>
      <c r="O74" s="51">
        <f t="shared" si="13"/>
        <v>6.7620001098495336E-2</v>
      </c>
      <c r="P74" s="51">
        <f t="shared" si="14"/>
        <v>0.31446995279911139</v>
      </c>
      <c r="Q74" s="51">
        <f t="shared" si="15"/>
        <v>0.61554777054884302</v>
      </c>
      <c r="R74" s="292">
        <v>14266.2657</v>
      </c>
      <c r="S74" s="290">
        <f t="shared" si="5"/>
        <v>0.12889701051901759</v>
      </c>
      <c r="U74" s="70"/>
    </row>
    <row r="75" spans="1:21" ht="15">
      <c r="A75" s="325">
        <v>2004</v>
      </c>
      <c r="B75" s="384">
        <f>'Table T3'!D79+'Table T3'!H79</f>
        <v>6605.8660000000009</v>
      </c>
      <c r="C75" s="284">
        <f>'Table T3'!E79</f>
        <v>2124.3580000000002</v>
      </c>
      <c r="D75" s="284">
        <f>'Table T3'!F79</f>
        <v>3847.556</v>
      </c>
      <c r="E75" s="295">
        <f>'Table T3'!H79</f>
        <v>633.952</v>
      </c>
      <c r="F75" s="78">
        <f t="shared" si="6"/>
        <v>4761.7160000000003</v>
      </c>
      <c r="G75" s="31">
        <f t="shared" si="7"/>
        <v>1962.6870000000001</v>
      </c>
      <c r="H75" s="31">
        <f t="shared" si="8"/>
        <v>2535.1469999999999</v>
      </c>
      <c r="I75" s="66">
        <f t="shared" si="9"/>
        <v>263.88200000000001</v>
      </c>
      <c r="J75" s="33">
        <f t="shared" si="10"/>
        <v>1844.15</v>
      </c>
      <c r="K75" s="31">
        <f>RawData!M62/1000</f>
        <v>161.67099999999999</v>
      </c>
      <c r="L75" s="31">
        <f>RawData!N62/1000</f>
        <v>1312.4090000000001</v>
      </c>
      <c r="M75" s="31">
        <f>RawData!CG62/1000</f>
        <v>370.07</v>
      </c>
      <c r="N75" s="377">
        <f t="shared" si="12"/>
        <v>0.2791685450476894</v>
      </c>
      <c r="O75" s="51">
        <f t="shared" si="13"/>
        <v>7.610346278734563E-2</v>
      </c>
      <c r="P75" s="51">
        <f t="shared" si="14"/>
        <v>0.34110198785930601</v>
      </c>
      <c r="Q75" s="51">
        <f t="shared" si="15"/>
        <v>0.58375082025137548</v>
      </c>
      <c r="R75" s="292">
        <v>16323.7263</v>
      </c>
      <c r="S75" s="290">
        <f t="shared" si="5"/>
        <v>0.13013928075968784</v>
      </c>
      <c r="U75" s="70"/>
    </row>
    <row r="76" spans="1:21" ht="15">
      <c r="A76" s="325">
        <v>2005</v>
      </c>
      <c r="B76" s="384">
        <f>'Table T3'!D80+'Table T3'!H80</f>
        <v>7312.7569999999996</v>
      </c>
      <c r="C76" s="284">
        <f>'Table T3'!E80</f>
        <v>2308.9340000000002</v>
      </c>
      <c r="D76" s="284">
        <f>'Table T3'!F80</f>
        <v>4424.3819999999996</v>
      </c>
      <c r="E76" s="295">
        <f>'Table T3'!H80</f>
        <v>579.44100000000003</v>
      </c>
      <c r="F76" s="78">
        <f t="shared" si="6"/>
        <v>5185.4589999999998</v>
      </c>
      <c r="G76" s="31">
        <f t="shared" si="7"/>
        <v>2112.7870000000003</v>
      </c>
      <c r="H76" s="31">
        <f t="shared" si="8"/>
        <v>2820.7569999999996</v>
      </c>
      <c r="I76" s="66">
        <f t="shared" si="9"/>
        <v>251.91500000000002</v>
      </c>
      <c r="J76" s="33">
        <f t="shared" si="10"/>
        <v>2127.2979999999998</v>
      </c>
      <c r="K76" s="31">
        <f>RawData!M63/1000</f>
        <v>196.14699999999999</v>
      </c>
      <c r="L76" s="31">
        <f>RawData!N63/1000</f>
        <v>1603.625</v>
      </c>
      <c r="M76" s="31">
        <f>RawData!CG63/1000</f>
        <v>327.52600000000001</v>
      </c>
      <c r="N76" s="377">
        <f t="shared" si="12"/>
        <v>0.29090232315937747</v>
      </c>
      <c r="O76" s="51">
        <f t="shared" si="13"/>
        <v>8.49513238576763E-2</v>
      </c>
      <c r="P76" s="51">
        <f t="shared" si="14"/>
        <v>0.36245175032354804</v>
      </c>
      <c r="Q76" s="51">
        <f t="shared" si="15"/>
        <v>0.56524477901977943</v>
      </c>
      <c r="R76" s="292">
        <v>16970.864548059999</v>
      </c>
      <c r="S76" s="290">
        <f t="shared" si="5"/>
        <v>0.13605282120196657</v>
      </c>
      <c r="U76" s="70"/>
    </row>
    <row r="77" spans="1:21" ht="15">
      <c r="A77" s="325">
        <v>2006</v>
      </c>
      <c r="B77" s="384">
        <f>'Table T3'!D81+'Table T3'!H81</f>
        <v>8844.3560000000016</v>
      </c>
      <c r="C77" s="284">
        <f>'Table T3'!E81</f>
        <v>2787.3429999999998</v>
      </c>
      <c r="D77" s="284">
        <f>'Table T3'!F81</f>
        <v>5434.3950000000004</v>
      </c>
      <c r="E77" s="295">
        <f>'Table T3'!H81</f>
        <v>622.61800000000005</v>
      </c>
      <c r="F77" s="78">
        <f t="shared" si="6"/>
        <v>6235.3060000000014</v>
      </c>
      <c r="G77" s="31">
        <f t="shared" si="7"/>
        <v>2547.2399999999998</v>
      </c>
      <c r="H77" s="31">
        <f t="shared" si="8"/>
        <v>3348.1500000000005</v>
      </c>
      <c r="I77" s="66">
        <f t="shared" si="9"/>
        <v>339.91600000000005</v>
      </c>
      <c r="J77" s="33">
        <f t="shared" si="10"/>
        <v>2609.0500000000002</v>
      </c>
      <c r="K77" s="31">
        <f>RawData!M64/1000</f>
        <v>240.10300000000001</v>
      </c>
      <c r="L77" s="31">
        <f>RawData!N64/1000</f>
        <v>2086.2449999999999</v>
      </c>
      <c r="M77" s="31">
        <f>RawData!CG64/1000</f>
        <v>282.702</v>
      </c>
      <c r="N77" s="377">
        <f t="shared" si="12"/>
        <v>0.29499604041266542</v>
      </c>
      <c r="O77" s="51">
        <f t="shared" si="13"/>
        <v>8.6140457058926728E-2</v>
      </c>
      <c r="P77" s="51">
        <f t="shared" si="14"/>
        <v>0.38389645949549117</v>
      </c>
      <c r="Q77" s="51">
        <f t="shared" si="15"/>
        <v>0.45405368942112173</v>
      </c>
      <c r="R77" s="292">
        <v>19425.854794359999</v>
      </c>
      <c r="S77" s="290">
        <f t="shared" si="5"/>
        <v>0.14348624704068427</v>
      </c>
      <c r="U77" s="70"/>
    </row>
    <row r="78" spans="1:21" ht="15">
      <c r="A78" s="325">
        <v>2007</v>
      </c>
      <c r="B78" s="384">
        <f>'Table T3'!D82+'Table T3'!H82</f>
        <v>10289.152</v>
      </c>
      <c r="C78" s="284">
        <f>'Table T3'!E82</f>
        <v>3231.8319999999999</v>
      </c>
      <c r="D78" s="284">
        <f>'Table T3'!F82</f>
        <v>6252.8440000000001</v>
      </c>
      <c r="E78" s="295">
        <f>'Table T3'!H82</f>
        <v>804.476</v>
      </c>
      <c r="F78" s="78">
        <f t="shared" si="6"/>
        <v>7104.5339999999997</v>
      </c>
      <c r="G78" s="31">
        <f t="shared" si="7"/>
        <v>2897.2939999999999</v>
      </c>
      <c r="H78" s="31">
        <f t="shared" si="8"/>
        <v>3783.203</v>
      </c>
      <c r="I78" s="66">
        <f t="shared" si="9"/>
        <v>424.03699999999998</v>
      </c>
      <c r="J78" s="33">
        <f t="shared" si="10"/>
        <v>3184.6180000000004</v>
      </c>
      <c r="K78" s="31">
        <f>RawData!M65/1000</f>
        <v>334.53800000000001</v>
      </c>
      <c r="L78" s="31">
        <f>RawData!N65/1000</f>
        <v>2469.6410000000001</v>
      </c>
      <c r="M78" s="31">
        <f>RawData!CG65/1000</f>
        <v>380.43900000000002</v>
      </c>
      <c r="N78" s="377">
        <f t="shared" si="12"/>
        <v>0.30951219303592759</v>
      </c>
      <c r="O78" s="51">
        <f t="shared" si="13"/>
        <v>0.1035134252027952</v>
      </c>
      <c r="P78" s="51">
        <f t="shared" si="14"/>
        <v>0.39496283611105604</v>
      </c>
      <c r="Q78" s="51">
        <f t="shared" si="15"/>
        <v>0.47290285850665531</v>
      </c>
      <c r="R78" s="292">
        <v>19947.283820000001</v>
      </c>
      <c r="S78" s="290">
        <f t="shared" si="5"/>
        <v>0.16201865021640824</v>
      </c>
      <c r="U78" s="70"/>
    </row>
    <row r="79" spans="1:21" ht="15">
      <c r="A79" s="325">
        <v>2008</v>
      </c>
      <c r="B79" s="384">
        <f>'Table T3'!D83+'Table T3'!H83</f>
        <v>9376.1720000000005</v>
      </c>
      <c r="C79" s="284">
        <f>'Table T3'!E83</f>
        <v>2115.348</v>
      </c>
      <c r="D79" s="284">
        <f>'Table T3'!F83</f>
        <v>6160.8739999999998</v>
      </c>
      <c r="E79" s="295">
        <f>'Table T3'!H83</f>
        <v>1099.95</v>
      </c>
      <c r="F79" s="78">
        <f t="shared" si="6"/>
        <v>5667.5970000000007</v>
      </c>
      <c r="G79" s="31">
        <f t="shared" si="7"/>
        <v>1837.6569999999999</v>
      </c>
      <c r="H79" s="31">
        <f t="shared" si="8"/>
        <v>3250.5309999999999</v>
      </c>
      <c r="I79" s="66">
        <f t="shared" si="9"/>
        <v>579.40899999999999</v>
      </c>
      <c r="J79" s="33">
        <f t="shared" si="10"/>
        <v>3708.5749999999998</v>
      </c>
      <c r="K79" s="31">
        <f>RawData!M66/1000</f>
        <v>277.69099999999997</v>
      </c>
      <c r="L79" s="31">
        <f>RawData!N66/1000</f>
        <v>2910.3429999999998</v>
      </c>
      <c r="M79" s="31">
        <f>RawData!CG66/1000</f>
        <v>520.54100000000005</v>
      </c>
      <c r="N79" s="377">
        <f t="shared" si="12"/>
        <v>0.3955318865737531</v>
      </c>
      <c r="O79" s="51">
        <f t="shared" si="13"/>
        <v>0.13127438133110958</v>
      </c>
      <c r="P79" s="51">
        <f t="shared" si="14"/>
        <v>0.47239125487714889</v>
      </c>
      <c r="Q79" s="51">
        <f t="shared" si="15"/>
        <v>0.47324060184553846</v>
      </c>
      <c r="R79" s="292">
        <v>11737.64561</v>
      </c>
      <c r="S79" s="290">
        <f t="shared" si="5"/>
        <v>0.18021910613810055</v>
      </c>
      <c r="U79" s="70"/>
    </row>
    <row r="80" spans="1:21" ht="15">
      <c r="A80" s="326">
        <v>2009</v>
      </c>
      <c r="B80" s="385">
        <f>'Table T3'!D84+'Table T3'!H84</f>
        <v>10482.84</v>
      </c>
      <c r="C80" s="312">
        <f>'Table T3'!E84</f>
        <v>2922.8020000000001</v>
      </c>
      <c r="D80" s="312">
        <f>'Table T3'!F84</f>
        <v>6581.0209999999997</v>
      </c>
      <c r="E80" s="313">
        <f>'Table T3'!H84</f>
        <v>979.01700000000005</v>
      </c>
      <c r="F80" s="226">
        <f t="shared" si="6"/>
        <v>6361.7780000000002</v>
      </c>
      <c r="G80" s="227">
        <f t="shared" si="7"/>
        <v>2499.0510000000004</v>
      </c>
      <c r="H80" s="227">
        <f t="shared" si="8"/>
        <v>3436.4019999999996</v>
      </c>
      <c r="I80" s="321">
        <f t="shared" si="9"/>
        <v>426.32500000000005</v>
      </c>
      <c r="J80" s="322">
        <f t="shared" si="10"/>
        <v>4121.0619999999999</v>
      </c>
      <c r="K80" s="227">
        <f>RawData!M67/1000</f>
        <v>423.75099999999998</v>
      </c>
      <c r="L80" s="227">
        <f>RawData!N67/1000</f>
        <v>3144.6190000000001</v>
      </c>
      <c r="M80" s="227">
        <f>RawData!CG67/1000</f>
        <v>552.69200000000001</v>
      </c>
      <c r="N80" s="378">
        <f t="shared" si="12"/>
        <v>0.3931245731118666</v>
      </c>
      <c r="O80" s="375">
        <f t="shared" si="13"/>
        <v>0.14498108322082712</v>
      </c>
      <c r="P80" s="375">
        <f t="shared" si="14"/>
        <v>0.4778314793403638</v>
      </c>
      <c r="Q80" s="375">
        <f t="shared" si="15"/>
        <v>0.56453769444248669</v>
      </c>
      <c r="R80" s="317">
        <v>15077.285739999999</v>
      </c>
      <c r="S80" s="320">
        <f t="shared" si="5"/>
        <v>0.19385465331109392</v>
      </c>
    </row>
    <row r="81" spans="1:21" ht="15">
      <c r="A81" s="325">
        <v>2010</v>
      </c>
      <c r="B81" s="384">
        <f>'Table T3'!D85+'Table T3'!H85</f>
        <v>11906.971000000001</v>
      </c>
      <c r="C81" s="284">
        <f>'Table T3'!E85</f>
        <v>3590.7840000000001</v>
      </c>
      <c r="D81" s="284">
        <f>'Table T3'!F85</f>
        <v>7394.6210000000001</v>
      </c>
      <c r="E81" s="295">
        <f>'Table T3'!H85</f>
        <v>921.56600000000003</v>
      </c>
      <c r="F81" s="78">
        <f t="shared" si="6"/>
        <v>7255.4470000000019</v>
      </c>
      <c r="G81" s="31">
        <f t="shared" si="7"/>
        <v>3050.2530000000002</v>
      </c>
      <c r="H81" s="31">
        <f t="shared" si="8"/>
        <v>3772.4900000000002</v>
      </c>
      <c r="I81" s="66">
        <f t="shared" si="9"/>
        <v>432.70400000000001</v>
      </c>
      <c r="J81" s="33">
        <f t="shared" si="10"/>
        <v>4651.5239999999994</v>
      </c>
      <c r="K81" s="31">
        <f>RawData!M68/1000</f>
        <v>540.53099999999995</v>
      </c>
      <c r="L81" s="31">
        <f>RawData!N68/1000</f>
        <v>3622.1309999999999</v>
      </c>
      <c r="M81" s="31">
        <f>RawData!CG68/1000</f>
        <v>488.86200000000002</v>
      </c>
      <c r="N81" s="377">
        <f t="shared" si="12"/>
        <v>0.39065552439827045</v>
      </c>
      <c r="O81" s="51">
        <f t="shared" si="13"/>
        <v>0.15053286413217837</v>
      </c>
      <c r="P81" s="51">
        <f t="shared" si="14"/>
        <v>0.48983321795667417</v>
      </c>
      <c r="Q81" s="51">
        <f t="shared" si="15"/>
        <v>0.53046878899612182</v>
      </c>
      <c r="R81" s="292">
        <v>17138.977999999999</v>
      </c>
      <c r="S81" s="290">
        <f>C81/R81</f>
        <v>0.20950980857785104</v>
      </c>
    </row>
    <row r="82" spans="1:21" ht="15">
      <c r="A82" s="325">
        <v>2011</v>
      </c>
      <c r="B82" s="384">
        <f>'Table T3'!D86+'Table T3'!H86</f>
        <v>12439.575999999999</v>
      </c>
      <c r="C82" s="284">
        <f>'Table T3'!E86</f>
        <v>3829.8960000000002</v>
      </c>
      <c r="D82" s="284">
        <f>'Table T3'!F86</f>
        <v>7731.3</v>
      </c>
      <c r="E82" s="295">
        <f>'Table T3'!H86</f>
        <v>878.38</v>
      </c>
      <c r="F82" s="78">
        <f t="shared" si="6"/>
        <v>7592.5759999999991</v>
      </c>
      <c r="G82" s="31">
        <f t="shared" si="7"/>
        <v>3262.8960000000002</v>
      </c>
      <c r="H82" s="31">
        <f t="shared" si="8"/>
        <v>3889.3</v>
      </c>
      <c r="I82" s="66">
        <f t="shared" si="9"/>
        <v>440.38</v>
      </c>
      <c r="J82" s="33">
        <f t="shared" si="10"/>
        <v>4847</v>
      </c>
      <c r="K82" s="31">
        <f>RawData!M69/1000</f>
        <v>567</v>
      </c>
      <c r="L82" s="31">
        <f>RawData!N69/1000</f>
        <v>3842</v>
      </c>
      <c r="M82" s="31">
        <f>RawData!CG69/1000</f>
        <v>438</v>
      </c>
      <c r="N82" s="377">
        <f t="shared" si="12"/>
        <v>0.38964350553427224</v>
      </c>
      <c r="O82" s="51">
        <f t="shared" si="13"/>
        <v>0.1480457954994078</v>
      </c>
      <c r="P82" s="51">
        <f t="shared" si="14"/>
        <v>0.49694100604038127</v>
      </c>
      <c r="Q82" s="51">
        <f t="shared" si="15"/>
        <v>0.49864523327033861</v>
      </c>
      <c r="R82" s="292">
        <v>16389.842550000001</v>
      </c>
      <c r="S82" s="290">
        <f>C82/R82</f>
        <v>0.23367497206371882</v>
      </c>
      <c r="U82" s="16"/>
    </row>
    <row r="83" spans="1:21" ht="16" thickBot="1">
      <c r="A83" s="329">
        <v>2012</v>
      </c>
      <c r="B83" s="386">
        <f>'Table T3'!D87+'Table T3'!H87</f>
        <v>13261.27</v>
      </c>
      <c r="C83" s="286">
        <f>'Table T3'!E87</f>
        <v>4237.3580000000002</v>
      </c>
      <c r="D83" s="286">
        <f>'Table T3'!F87</f>
        <v>8213.1859999999997</v>
      </c>
      <c r="E83" s="296">
        <f>'Table T3'!H87</f>
        <v>810.726</v>
      </c>
      <c r="F83" s="79">
        <f t="shared" si="6"/>
        <v>8112.27</v>
      </c>
      <c r="G83" s="38">
        <f t="shared" si="7"/>
        <v>3607.3580000000002</v>
      </c>
      <c r="H83" s="38">
        <f t="shared" si="8"/>
        <v>4071.1859999999997</v>
      </c>
      <c r="I83" s="299">
        <f t="shared" si="9"/>
        <v>433.726</v>
      </c>
      <c r="J83" s="37">
        <f t="shared" si="10"/>
        <v>5149</v>
      </c>
      <c r="K83" s="38">
        <f>RawData!M70/1000</f>
        <v>630</v>
      </c>
      <c r="L83" s="38">
        <f>RawData!N70/1000</f>
        <v>4142</v>
      </c>
      <c r="M83" s="38">
        <f>RawData!CG70/1000</f>
        <v>377</v>
      </c>
      <c r="N83" s="379">
        <f t="shared" si="12"/>
        <v>0.38827352131432358</v>
      </c>
      <c r="O83" s="62">
        <f t="shared" si="13"/>
        <v>0.1486775486045786</v>
      </c>
      <c r="P83" s="62">
        <f t="shared" si="14"/>
        <v>0.50431099453975592</v>
      </c>
      <c r="Q83" s="62">
        <f t="shared" si="15"/>
        <v>0.46501530726780688</v>
      </c>
      <c r="R83" s="293">
        <v>17154.520154999998</v>
      </c>
      <c r="S83" s="291">
        <f>C83/R83</f>
        <v>0.24701116450435628</v>
      </c>
      <c r="U83" s="16"/>
    </row>
    <row r="84" spans="1:21" ht="16" thickTop="1">
      <c r="C84" s="285"/>
      <c r="D84" s="285"/>
      <c r="J84" s="33"/>
    </row>
    <row r="85" spans="1:21" ht="15">
      <c r="J85" s="33"/>
    </row>
  </sheetData>
  <mergeCells count="19">
    <mergeCell ref="A3:S3"/>
    <mergeCell ref="B6:B8"/>
    <mergeCell ref="F6:F8"/>
    <mergeCell ref="J6:J8"/>
    <mergeCell ref="N6:N8"/>
    <mergeCell ref="R6:R8"/>
    <mergeCell ref="S6:S8"/>
    <mergeCell ref="C7:C8"/>
    <mergeCell ref="E7:E8"/>
    <mergeCell ref="G7:G8"/>
    <mergeCell ref="O7:O8"/>
    <mergeCell ref="P7:P8"/>
    <mergeCell ref="Q7:Q8"/>
    <mergeCell ref="I7:I8"/>
    <mergeCell ref="K7:K8"/>
    <mergeCell ref="M7:M8"/>
    <mergeCell ref="D7:D8"/>
    <mergeCell ref="H7:H8"/>
    <mergeCell ref="L7:L8"/>
  </mergeCells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T53"/>
  <sheetViews>
    <sheetView workbookViewId="0">
      <pane xSplit="1" ySplit="8" topLeftCell="C9" activePane="bottomRight" state="frozen"/>
      <selection pane="topRight" activeCell="C1" sqref="C1"/>
      <selection pane="bottomLeft" activeCell="A9" sqref="A9"/>
      <selection pane="bottomRight" activeCell="A3" sqref="A3:Q3"/>
    </sheetView>
  </sheetViews>
  <sheetFormatPr baseColWidth="10" defaultColWidth="10.83203125" defaultRowHeight="12" x14ac:dyDescent="0"/>
  <cols>
    <col min="1" max="1" width="12.5" style="3" customWidth="1"/>
    <col min="2" max="2" width="12.5" style="2" customWidth="1"/>
    <col min="3" max="12" width="12.5" style="3" customWidth="1"/>
    <col min="13" max="13" width="12.5" style="2" customWidth="1"/>
    <col min="14" max="17" width="12.5" style="3" customWidth="1"/>
    <col min="18" max="16384" width="10.83203125" style="3"/>
  </cols>
  <sheetData>
    <row r="2" spans="1:20" ht="13" customHeight="1" thickBot="1">
      <c r="A2" s="1"/>
    </row>
    <row r="3" spans="1:20" s="5" customFormat="1" ht="20" customHeight="1" thickTop="1">
      <c r="A3" s="449" t="s">
        <v>219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1"/>
    </row>
    <row r="4" spans="1:20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9"/>
      <c r="P4" s="9"/>
      <c r="Q4" s="10"/>
    </row>
    <row r="5" spans="1:20">
      <c r="A5" s="7"/>
      <c r="B5" s="11" t="s">
        <v>17</v>
      </c>
      <c r="C5" s="12" t="s">
        <v>18</v>
      </c>
      <c r="D5" s="22" t="s">
        <v>19</v>
      </c>
      <c r="E5" s="25" t="s">
        <v>20</v>
      </c>
      <c r="F5" s="41" t="s">
        <v>21</v>
      </c>
      <c r="G5" s="22" t="s">
        <v>22</v>
      </c>
      <c r="H5" s="22" t="s">
        <v>23</v>
      </c>
      <c r="I5" s="12" t="s">
        <v>24</v>
      </c>
      <c r="J5" s="22" t="s">
        <v>25</v>
      </c>
      <c r="K5" s="13" t="s">
        <v>26</v>
      </c>
      <c r="L5" s="13" t="s">
        <v>27</v>
      </c>
      <c r="M5" s="41" t="s">
        <v>28</v>
      </c>
      <c r="N5" s="13" t="s">
        <v>29</v>
      </c>
      <c r="O5" s="13" t="s">
        <v>30</v>
      </c>
      <c r="P5" s="22" t="s">
        <v>69</v>
      </c>
      <c r="Q5" s="39" t="s">
        <v>70</v>
      </c>
    </row>
    <row r="6" spans="1:20" ht="32" customHeight="1" thickBot="1">
      <c r="A6" s="7"/>
      <c r="B6" s="509" t="s">
        <v>112</v>
      </c>
      <c r="C6" s="509"/>
      <c r="D6" s="509"/>
      <c r="E6" s="509"/>
      <c r="F6" s="509"/>
      <c r="G6" s="509"/>
      <c r="H6" s="509"/>
      <c r="I6" s="510"/>
      <c r="J6" s="511" t="s">
        <v>68</v>
      </c>
      <c r="K6" s="511"/>
      <c r="L6" s="511"/>
      <c r="M6" s="511"/>
      <c r="N6" s="511"/>
      <c r="O6" s="511"/>
      <c r="P6" s="511"/>
      <c r="Q6" s="512"/>
    </row>
    <row r="7" spans="1:20" ht="25" customHeight="1">
      <c r="A7" s="7"/>
      <c r="B7" s="476" t="s">
        <v>14</v>
      </c>
      <c r="C7" s="503" t="s">
        <v>32</v>
      </c>
      <c r="D7" s="503" t="s">
        <v>33</v>
      </c>
      <c r="E7" s="40"/>
      <c r="F7" s="40"/>
      <c r="G7" s="503" t="s">
        <v>34</v>
      </c>
      <c r="H7" s="26"/>
      <c r="I7" s="507" t="s">
        <v>56</v>
      </c>
      <c r="J7" s="513" t="s">
        <v>14</v>
      </c>
      <c r="K7" s="503" t="s">
        <v>32</v>
      </c>
      <c r="L7" s="503" t="s">
        <v>33</v>
      </c>
      <c r="M7" s="40"/>
      <c r="N7" s="40"/>
      <c r="O7" s="458" t="s">
        <v>34</v>
      </c>
      <c r="P7" s="26"/>
      <c r="Q7" s="505" t="s">
        <v>56</v>
      </c>
    </row>
    <row r="8" spans="1:20" ht="61" customHeight="1" thickBot="1">
      <c r="A8" s="14"/>
      <c r="B8" s="495"/>
      <c r="C8" s="504"/>
      <c r="D8" s="504"/>
      <c r="E8" s="15" t="s">
        <v>66</v>
      </c>
      <c r="F8" s="15" t="s">
        <v>67</v>
      </c>
      <c r="G8" s="504"/>
      <c r="H8" s="15" t="s">
        <v>49</v>
      </c>
      <c r="I8" s="508"/>
      <c r="J8" s="514"/>
      <c r="K8" s="504"/>
      <c r="L8" s="504"/>
      <c r="M8" s="15" t="s">
        <v>59</v>
      </c>
      <c r="N8" s="15" t="s">
        <v>35</v>
      </c>
      <c r="O8" s="492"/>
      <c r="P8" s="15" t="s">
        <v>49</v>
      </c>
      <c r="Q8" s="506"/>
    </row>
    <row r="9" spans="1:20" ht="13" customHeight="1">
      <c r="A9" s="324">
        <v>1914</v>
      </c>
      <c r="B9" s="387">
        <f>'Table T3'!D13</f>
        <v>5.4059999999999997</v>
      </c>
      <c r="C9" s="404">
        <f>RawData!S11/1000</f>
        <v>5.218</v>
      </c>
      <c r="D9" s="332">
        <f>RawData!V11/1000</f>
        <v>1E-3</v>
      </c>
      <c r="E9" s="308">
        <v>0</v>
      </c>
      <c r="F9" s="308">
        <v>0</v>
      </c>
      <c r="G9" s="361">
        <f>RawData!P11/1000</f>
        <v>0.06</v>
      </c>
      <c r="H9" s="306">
        <f>RawData!AM11/1000</f>
        <v>0.05</v>
      </c>
      <c r="I9" s="333">
        <f>B9-C9-D9-G9</f>
        <v>0.12699999999999972</v>
      </c>
      <c r="J9" s="331">
        <f>'Table T3'!E13</f>
        <v>1.7</v>
      </c>
      <c r="K9" s="334"/>
      <c r="L9" s="332"/>
      <c r="M9" s="334"/>
      <c r="N9" s="332"/>
      <c r="O9" s="332"/>
      <c r="P9" s="332"/>
      <c r="Q9" s="353"/>
    </row>
    <row r="10" spans="1:20" ht="15">
      <c r="A10" s="325">
        <v>1929</v>
      </c>
      <c r="B10" s="384">
        <f>'Table T3'!D16</f>
        <v>4.3250000000000002</v>
      </c>
      <c r="C10" s="405">
        <f>RawData!S16/1000</f>
        <v>3.4001900000000003</v>
      </c>
      <c r="D10" s="43">
        <v>0</v>
      </c>
      <c r="E10" s="31">
        <v>0</v>
      </c>
      <c r="F10" s="31">
        <v>0</v>
      </c>
      <c r="G10" s="362">
        <f>RawData!P16/1000</f>
        <v>0.253</v>
      </c>
      <c r="H10" s="30">
        <f>RawData!AM16/1000</f>
        <v>0.184</v>
      </c>
      <c r="I10" s="46">
        <f>B10-C10-D10-G10</f>
        <v>0.67180999999999991</v>
      </c>
      <c r="J10" s="19">
        <f>'Table T3'!E16</f>
        <v>2.9799250000000002</v>
      </c>
      <c r="K10" s="42"/>
      <c r="L10" s="43"/>
      <c r="M10" s="42"/>
      <c r="N10" s="43"/>
      <c r="O10" s="43"/>
      <c r="P10" s="43"/>
      <c r="Q10" s="354"/>
      <c r="S10" s="16"/>
    </row>
    <row r="11" spans="1:20" ht="15">
      <c r="A11" s="325">
        <v>1934</v>
      </c>
      <c r="B11" s="384">
        <f>'Table T3'!D17</f>
        <v>3.1429999999999998</v>
      </c>
      <c r="C11" s="405">
        <f>RawData!S18/1000</f>
        <v>2.6566000000000001</v>
      </c>
      <c r="D11" s="43">
        <v>0</v>
      </c>
      <c r="E11" s="31">
        <v>0</v>
      </c>
      <c r="F11" s="31">
        <v>0</v>
      </c>
      <c r="G11" s="362">
        <f>RawData!P18/1000</f>
        <v>0.35919999999999996</v>
      </c>
      <c r="H11" s="30">
        <f>RawData!AM18/1000</f>
        <v>0.28899999999999998</v>
      </c>
      <c r="I11" s="46">
        <f>B11-C11-D11-G11</f>
        <v>0.12719999999999976</v>
      </c>
      <c r="J11" s="19">
        <f>'Table T3'!E17</f>
        <v>1.6</v>
      </c>
      <c r="K11" s="42"/>
      <c r="L11" s="43"/>
      <c r="M11" s="42"/>
      <c r="N11" s="43"/>
      <c r="O11" s="43"/>
      <c r="P11" s="43"/>
      <c r="Q11" s="354"/>
      <c r="S11" s="16"/>
    </row>
    <row r="12" spans="1:20" ht="15">
      <c r="A12" s="326">
        <v>1937</v>
      </c>
      <c r="B12" s="385">
        <f>'Table T3'!D18</f>
        <v>5.1239999999999997</v>
      </c>
      <c r="C12" s="406">
        <f>RawData!S21/1000</f>
        <v>3.2146699999999999</v>
      </c>
      <c r="D12" s="336">
        <f>RawData!V21/1000</f>
        <v>4.9520000000000002E-2</v>
      </c>
      <c r="E12" s="227">
        <v>0</v>
      </c>
      <c r="F12" s="227">
        <f>RawData!AD21/1000</f>
        <v>4.3740000000000001E-2</v>
      </c>
      <c r="G12" s="363">
        <f>RawData!P21/1000</f>
        <v>0.61099999999999999</v>
      </c>
      <c r="H12" s="217">
        <f>RawData!AM21/1000</f>
        <v>0.55214695550351289</v>
      </c>
      <c r="I12" s="337">
        <f>B12-C12-D12-G12</f>
        <v>1.2488099999999998</v>
      </c>
      <c r="J12" s="335"/>
      <c r="K12" s="338"/>
      <c r="L12" s="336"/>
      <c r="M12" s="339"/>
      <c r="N12" s="336"/>
      <c r="O12" s="336"/>
      <c r="P12" s="336"/>
      <c r="Q12" s="355"/>
      <c r="S12" s="16"/>
    </row>
    <row r="13" spans="1:20" ht="15">
      <c r="A13" s="389">
        <v>1941</v>
      </c>
      <c r="B13" s="388">
        <f>'Table T3'!D19</f>
        <v>3.5663</v>
      </c>
      <c r="C13" s="407">
        <f>RawData!S25/1000</f>
        <v>2.3824999999999998</v>
      </c>
      <c r="D13" s="342">
        <f>RawData!V25/1000</f>
        <v>0.23669999999999999</v>
      </c>
      <c r="E13" s="348">
        <v>0</v>
      </c>
      <c r="F13" s="341">
        <f>RawData!AD25/1000</f>
        <v>5.5200000000000006E-2</v>
      </c>
      <c r="G13" s="364">
        <f>RawData!P25/1000</f>
        <v>0.5737000000000001</v>
      </c>
      <c r="H13" s="342">
        <f>RawData!AM25/1000</f>
        <v>0.47899999999999998</v>
      </c>
      <c r="I13" s="343">
        <f>B13-C13-D13-G13</f>
        <v>0.37340000000000007</v>
      </c>
      <c r="J13" s="340">
        <f>'Table T3'!E19</f>
        <v>2.1486999999999998</v>
      </c>
      <c r="K13" s="342">
        <f>RawData!T25/1000</f>
        <v>1.4173</v>
      </c>
      <c r="L13" s="342">
        <f>RawData!W25/1000</f>
        <v>0.15109999999999998</v>
      </c>
      <c r="M13" s="344">
        <v>0</v>
      </c>
      <c r="N13" s="341">
        <f>RawData!AE25/1000</f>
        <v>3.5700000000000003E-2</v>
      </c>
      <c r="O13" s="342">
        <f>RawData!Q25/1000</f>
        <v>0.37989999999999996</v>
      </c>
      <c r="P13" s="342">
        <f>RawData!BB25/1000</f>
        <v>0.30219999999999997</v>
      </c>
      <c r="Q13" s="356">
        <f>J13-K13-L13-O13</f>
        <v>0.20039999999999986</v>
      </c>
      <c r="S13" s="70"/>
      <c r="T13" s="70"/>
    </row>
    <row r="14" spans="1:20" s="2" customFormat="1" ht="15">
      <c r="A14" s="390">
        <v>1974</v>
      </c>
      <c r="B14" s="384">
        <f>'Table T3'!D49</f>
        <v>67.052333333333337</v>
      </c>
      <c r="C14" s="408"/>
      <c r="D14" s="42"/>
      <c r="E14" s="32">
        <f>RawData!AG32/1000</f>
        <v>2.0979999999999999</v>
      </c>
      <c r="F14" s="32">
        <v>0</v>
      </c>
      <c r="G14" s="365"/>
      <c r="H14" s="23"/>
      <c r="I14" s="47"/>
      <c r="J14" s="19">
        <f>'Table T3'!E49</f>
        <v>24.652333333333331</v>
      </c>
      <c r="K14" s="23">
        <f>RawData!T32/1000</f>
        <v>13.343999999999999</v>
      </c>
      <c r="L14" s="23">
        <f>RawData!W32/1000</f>
        <v>1.1359999999999999</v>
      </c>
      <c r="M14" s="32">
        <f>RawData!AH32/1000</f>
        <v>0.51800000000000002</v>
      </c>
      <c r="N14" s="32">
        <v>0</v>
      </c>
      <c r="O14" s="23">
        <f>(RawData!Q32-RawData!BN32)/1000</f>
        <v>9.2840000000000007</v>
      </c>
      <c r="P14" s="23">
        <f>RawData!BB32/1000</f>
        <v>7.032</v>
      </c>
      <c r="Q14" s="357">
        <f>J14-K14-L14-O14</f>
        <v>0.88833333333333186</v>
      </c>
      <c r="S14" s="70"/>
      <c r="T14" s="70"/>
    </row>
    <row r="15" spans="1:20" ht="15">
      <c r="A15" s="327">
        <v>1978</v>
      </c>
      <c r="B15" s="385">
        <f>'Table T3'!D53</f>
        <v>98.443666666666672</v>
      </c>
      <c r="C15" s="409">
        <f>RawData!S36/1000</f>
        <v>52.399000000000001</v>
      </c>
      <c r="D15" s="345">
        <f>RawData!V36/1000</f>
        <v>22.388999999999999</v>
      </c>
      <c r="E15" s="227">
        <f>RawData!AG36/1000</f>
        <v>19.302</v>
      </c>
      <c r="F15" s="227">
        <f>RawData!AD36/1000</f>
        <v>5.0000000000000001E-3</v>
      </c>
      <c r="G15" s="366">
        <f>RawData!P36/1000</f>
        <v>18.52</v>
      </c>
      <c r="H15" s="345">
        <f>RawData!AM36/1000</f>
        <v>13.414999999999999</v>
      </c>
      <c r="I15" s="346">
        <f>B15-C15-D15-G15</f>
        <v>5.1356666666666726</v>
      </c>
      <c r="J15" s="335">
        <f>'Table T3'!E53</f>
        <v>47.743666666666662</v>
      </c>
      <c r="K15" s="347">
        <f>RawData!T36/1000</f>
        <v>23.727</v>
      </c>
      <c r="L15" s="347">
        <f>RawData!W36/1000</f>
        <v>7.5060000000000002</v>
      </c>
      <c r="M15" s="250">
        <f>RawData!AH36/1000</f>
        <v>6.0140000000000002</v>
      </c>
      <c r="N15" s="227">
        <f>RawData!AE36/1000</f>
        <v>5.0000000000000001E-3</v>
      </c>
      <c r="O15" s="345">
        <f>RawData!Q36/1000</f>
        <v>16.268000000000001</v>
      </c>
      <c r="P15" s="347">
        <f>RawData!BB36/1000</f>
        <v>12.255000000000001</v>
      </c>
      <c r="Q15" s="358">
        <f t="shared" ref="Q15:Q44" si="0">J15-K15-L15-O15</f>
        <v>0.24266666666666126</v>
      </c>
      <c r="S15" s="70"/>
      <c r="T15" s="70"/>
    </row>
    <row r="16" spans="1:20" ht="15">
      <c r="A16" s="389">
        <v>1984</v>
      </c>
      <c r="B16" s="388">
        <f>'Table T3'!D59</f>
        <v>268.08000000000004</v>
      </c>
      <c r="C16" s="410">
        <f>RawData!S42/1000</f>
        <v>145.94399999999999</v>
      </c>
      <c r="D16" s="349">
        <f>RawData!V42/1000</f>
        <v>59.66</v>
      </c>
      <c r="E16" s="348">
        <f>RawData!AG42/1000</f>
        <v>44.627000000000002</v>
      </c>
      <c r="F16" s="348">
        <f>RawData!AD42/1000</f>
        <v>1.4E-2</v>
      </c>
      <c r="G16" s="367">
        <f>RawData!P42/1000</f>
        <v>47.055</v>
      </c>
      <c r="H16" s="349">
        <f>RawData!AM42/1000</f>
        <v>22.41</v>
      </c>
      <c r="I16" s="350">
        <f t="shared" ref="I16:I40" si="1">B16-C16-D16-G16</f>
        <v>15.421000000000056</v>
      </c>
      <c r="J16" s="340">
        <f>'Table T3'!E59</f>
        <v>104.852</v>
      </c>
      <c r="K16" s="351">
        <f>RawData!T42/1000</f>
        <v>62.347999999999999</v>
      </c>
      <c r="L16" s="351">
        <f>RawData!W42/1000</f>
        <v>12.278</v>
      </c>
      <c r="M16" s="352">
        <f>RawData!AH42/1000</f>
        <v>9.3140000000000001</v>
      </c>
      <c r="N16" s="348">
        <f>RawData!AE42/1000</f>
        <v>1.2999999999999999E-2</v>
      </c>
      <c r="O16" s="349">
        <f>RawData!Q42/1000</f>
        <v>28.271000000000001</v>
      </c>
      <c r="P16" s="351">
        <f>RawData!BB42/1000</f>
        <v>17.375</v>
      </c>
      <c r="Q16" s="359">
        <f t="shared" si="0"/>
        <v>1.9550000000000054</v>
      </c>
      <c r="S16" s="70"/>
      <c r="T16" s="70"/>
    </row>
    <row r="17" spans="1:20" ht="15">
      <c r="A17" s="325">
        <v>1985</v>
      </c>
      <c r="B17" s="384">
        <f>'Table T3'!D60</f>
        <v>397.04300000000001</v>
      </c>
      <c r="C17" s="411">
        <f>RawData!S43/1000</f>
        <v>233.322</v>
      </c>
      <c r="D17" s="20">
        <f>RawData!V43/1000</f>
        <v>64.003</v>
      </c>
      <c r="E17" s="31">
        <f>RawData!AG43/1000</f>
        <v>45.24</v>
      </c>
      <c r="F17" s="31">
        <f>RawData!AD43/1000</f>
        <v>0.30299999999999999</v>
      </c>
      <c r="G17" s="20">
        <f>RawData!P43/1000</f>
        <v>72.19</v>
      </c>
      <c r="H17" s="20">
        <f>RawData!AM43/1000</f>
        <v>30.893000000000001</v>
      </c>
      <c r="I17" s="24">
        <f t="shared" si="1"/>
        <v>27.528000000000006</v>
      </c>
      <c r="J17" s="19">
        <f>'Table T3'!E60</f>
        <v>138.19900000000001</v>
      </c>
      <c r="K17" s="23">
        <f>RawData!T43/1000</f>
        <v>82.745999999999995</v>
      </c>
      <c r="L17" s="23">
        <f>RawData!W43/1000</f>
        <v>16.215</v>
      </c>
      <c r="M17" s="32">
        <f>RawData!AH43/1000</f>
        <v>12.192</v>
      </c>
      <c r="N17" s="31">
        <f>RawData!AE43/1000</f>
        <v>1.9E-2</v>
      </c>
      <c r="O17" s="20">
        <f>RawData!Q43/1000</f>
        <v>36.405000000000001</v>
      </c>
      <c r="P17" s="23">
        <f>RawData!BB43/1000</f>
        <v>21.033999999999999</v>
      </c>
      <c r="Q17" s="357">
        <f t="shared" si="0"/>
        <v>2.8330000000000126</v>
      </c>
      <c r="S17" s="70"/>
      <c r="T17" s="70"/>
    </row>
    <row r="18" spans="1:20" ht="15">
      <c r="A18" s="325">
        <v>1986</v>
      </c>
      <c r="B18" s="384">
        <f>'Table T3'!D61</f>
        <v>523.91699999999992</v>
      </c>
      <c r="C18" s="411">
        <f>RawData!S44/1000</f>
        <v>312.30700000000002</v>
      </c>
      <c r="D18" s="20">
        <f>RawData!V44/1000</f>
        <v>68.191000000000003</v>
      </c>
      <c r="E18" s="31">
        <f>RawData!AG44/1000</f>
        <v>44.561999999999998</v>
      </c>
      <c r="F18" s="31">
        <f>RawData!AD44/1000</f>
        <v>0.41899999999999998</v>
      </c>
      <c r="G18" s="20">
        <f>RawData!P44/1000</f>
        <v>93.027000000000001</v>
      </c>
      <c r="H18" s="20">
        <f>RawData!AM44/1000</f>
        <v>38.048999999999999</v>
      </c>
      <c r="I18" s="24">
        <f t="shared" si="1"/>
        <v>50.391999999999896</v>
      </c>
      <c r="J18" s="19">
        <f>'Table T3'!E61</f>
        <v>175.72399999999999</v>
      </c>
      <c r="K18" s="23">
        <f>RawData!T44/1000</f>
        <v>106.88500000000001</v>
      </c>
      <c r="L18" s="23">
        <f>RawData!W44/1000</f>
        <v>20.527000000000001</v>
      </c>
      <c r="M18" s="32">
        <f>RawData!AH44/1000</f>
        <v>14.954000000000001</v>
      </c>
      <c r="N18" s="31">
        <f>RawData!AE44/1000</f>
        <v>4.0000000000000001E-3</v>
      </c>
      <c r="O18" s="20">
        <f>RawData!Q44/1000</f>
        <v>44.89</v>
      </c>
      <c r="P18" s="23">
        <f>RawData!BB44/1000</f>
        <v>24.488</v>
      </c>
      <c r="Q18" s="357">
        <f t="shared" si="0"/>
        <v>3.4219999999999828</v>
      </c>
      <c r="S18" s="70"/>
      <c r="T18" s="70"/>
    </row>
    <row r="19" spans="1:20" ht="15">
      <c r="A19" s="325">
        <v>1987</v>
      </c>
      <c r="B19" s="384">
        <f>'Table T3'!D62</f>
        <v>571.10500000000002</v>
      </c>
      <c r="C19" s="411">
        <f>RawData!S45/1000</f>
        <v>338.01100000000002</v>
      </c>
      <c r="D19" s="20">
        <f>RawData!V45/1000</f>
        <v>72.701999999999998</v>
      </c>
      <c r="E19" s="31">
        <f>RawData!AG45/1000</f>
        <v>37.707999999999998</v>
      </c>
      <c r="F19" s="31">
        <f>RawData!AD45/1000</f>
        <v>0.307</v>
      </c>
      <c r="G19" s="20">
        <f>RawData!P45/1000</f>
        <v>89.382999999999996</v>
      </c>
      <c r="H19" s="20">
        <f>RawData!AM45/1000</f>
        <v>36.578000000000003</v>
      </c>
      <c r="I19" s="24">
        <f t="shared" si="1"/>
        <v>71.009</v>
      </c>
      <c r="J19" s="19">
        <f>'Table T3'!E62</f>
        <v>189.136</v>
      </c>
      <c r="K19" s="23">
        <f>RawData!T45/1000</f>
        <v>119.989</v>
      </c>
      <c r="L19" s="23">
        <f>RawData!W45/1000</f>
        <v>20.440999999999999</v>
      </c>
      <c r="M19" s="32">
        <f>RawData!AH45/1000</f>
        <v>14.057</v>
      </c>
      <c r="N19" s="31">
        <f>RawData!AE45/1000</f>
        <v>8.0000000000000002E-3</v>
      </c>
      <c r="O19" s="20">
        <f>RawData!Q45/1000</f>
        <v>45.064999999999998</v>
      </c>
      <c r="P19" s="23">
        <f>RawData!BB45/1000</f>
        <v>22.385999999999999</v>
      </c>
      <c r="Q19" s="357">
        <f t="shared" si="0"/>
        <v>3.6409999999999911</v>
      </c>
      <c r="S19" s="70"/>
      <c r="T19" s="70"/>
    </row>
    <row r="20" spans="1:20" ht="15">
      <c r="A20" s="325">
        <v>1988</v>
      </c>
      <c r="B20" s="384">
        <f>'Table T3'!D63</f>
        <v>665.76</v>
      </c>
      <c r="C20" s="411">
        <f>RawData!S46/1000</f>
        <v>392.97899999999998</v>
      </c>
      <c r="D20" s="20">
        <f>RawData!V46/1000</f>
        <v>77.849000000000004</v>
      </c>
      <c r="E20" s="31">
        <f>RawData!AG46/1000</f>
        <v>37.915999999999997</v>
      </c>
      <c r="F20" s="31">
        <f>RawData!AD46/1000</f>
        <v>0.38700000000000001</v>
      </c>
      <c r="G20" s="20">
        <f>RawData!P46/1000</f>
        <v>93.135999999999996</v>
      </c>
      <c r="H20" s="20">
        <f>RawData!AM46/1000</f>
        <v>33.670999999999999</v>
      </c>
      <c r="I20" s="24">
        <f t="shared" si="1"/>
        <v>101.79600000000002</v>
      </c>
      <c r="J20" s="19">
        <f>'Table T3'!E63</f>
        <v>208.95500000000001</v>
      </c>
      <c r="K20" s="23">
        <f>RawData!T46/1000</f>
        <v>136.97</v>
      </c>
      <c r="L20" s="23">
        <f>RawData!W46/1000</f>
        <v>20.587</v>
      </c>
      <c r="M20" s="32">
        <f>RawData!AH46/1000</f>
        <v>13.241</v>
      </c>
      <c r="N20" s="31">
        <f>RawData!AE46/1000</f>
        <v>2.8000000000000001E-2</v>
      </c>
      <c r="O20" s="20">
        <f>RawData!Q46/1000</f>
        <v>47.037999999999997</v>
      </c>
      <c r="P20" s="23">
        <f>RawData!BB46/1000</f>
        <v>21.882000000000001</v>
      </c>
      <c r="Q20" s="357">
        <f t="shared" si="0"/>
        <v>4.3600000000000136</v>
      </c>
      <c r="S20" s="70"/>
      <c r="T20" s="70"/>
    </row>
    <row r="21" spans="1:20" ht="15">
      <c r="A21" s="326">
        <v>1989</v>
      </c>
      <c r="B21" s="385">
        <f>'Table T3'!D64</f>
        <v>847.67499999999995</v>
      </c>
      <c r="C21" s="409">
        <f>RawData!S47/1000</f>
        <v>486.96</v>
      </c>
      <c r="D21" s="345">
        <f>RawData!V47/1000</f>
        <v>100.937</v>
      </c>
      <c r="E21" s="227">
        <f>RawData!AG47/1000</f>
        <v>54.37</v>
      </c>
      <c r="F21" s="227">
        <f>RawData!AD47/1000</f>
        <v>0.214</v>
      </c>
      <c r="G21" s="345">
        <f>RawData!P47/1000</f>
        <v>117.241</v>
      </c>
      <c r="H21" s="345">
        <f>RawData!AM47/1000</f>
        <v>34.896999999999998</v>
      </c>
      <c r="I21" s="346">
        <f t="shared" si="1"/>
        <v>142.53699999999998</v>
      </c>
      <c r="J21" s="335">
        <f>'Table T3'!E64</f>
        <v>276.10300000000001</v>
      </c>
      <c r="K21" s="347">
        <f>RawData!T47/1000</f>
        <v>181.25800000000001</v>
      </c>
      <c r="L21" s="347">
        <f>RawData!W47/1000</f>
        <v>30.285</v>
      </c>
      <c r="M21" s="250">
        <f>RawData!AH47/1000</f>
        <v>20.693000000000001</v>
      </c>
      <c r="N21" s="227">
        <f>RawData!AE47/1000</f>
        <v>4.7E-2</v>
      </c>
      <c r="O21" s="345">
        <f>RawData!Q47/1000</f>
        <v>59.482999999999997</v>
      </c>
      <c r="P21" s="347">
        <f>RawData!BB47/1000</f>
        <v>23.295000000000002</v>
      </c>
      <c r="Q21" s="358">
        <f t="shared" si="0"/>
        <v>5.0770000000000053</v>
      </c>
      <c r="S21" s="70"/>
      <c r="T21" s="70"/>
    </row>
    <row r="22" spans="1:20" ht="15">
      <c r="A22" s="325">
        <v>1990</v>
      </c>
      <c r="B22" s="384">
        <f>'Table T3'!D65</f>
        <v>831.23099999999999</v>
      </c>
      <c r="C22" s="411">
        <f>RawData!S48/1000</f>
        <v>458.346</v>
      </c>
      <c r="D22" s="20">
        <f>RawData!V48/1000</f>
        <v>99.108999999999995</v>
      </c>
      <c r="E22" s="31">
        <f>RawData!AG48/1000</f>
        <v>48.511000000000003</v>
      </c>
      <c r="F22" s="31">
        <f>RawData!AD48/1000</f>
        <v>0.63</v>
      </c>
      <c r="G22" s="20">
        <f>RawData!P48/1000</f>
        <v>133.08099999999999</v>
      </c>
      <c r="H22" s="20">
        <f>RawData!AM48/1000</f>
        <v>33.99</v>
      </c>
      <c r="I22" s="24">
        <f t="shared" si="1"/>
        <v>140.69500000000002</v>
      </c>
      <c r="J22" s="19">
        <f>'Table T3'!E65</f>
        <v>248.251</v>
      </c>
      <c r="K22" s="23">
        <f>RawData!T48/1000</f>
        <v>162.446</v>
      </c>
      <c r="L22" s="23">
        <f>RawData!W48/1000</f>
        <v>25.102</v>
      </c>
      <c r="M22" s="32">
        <f>RawData!AH48/1000</f>
        <v>16.408000000000001</v>
      </c>
      <c r="N22" s="31">
        <f>RawData!AE48/1000</f>
        <v>6.8000000000000005E-2</v>
      </c>
      <c r="O22" s="20">
        <f>RawData!Q48/1000</f>
        <v>54.436999999999998</v>
      </c>
      <c r="P22" s="23">
        <f>RawData!BB48/1000</f>
        <v>20.965</v>
      </c>
      <c r="Q22" s="357">
        <f t="shared" si="0"/>
        <v>6.2660000000000053</v>
      </c>
      <c r="S22" s="70"/>
      <c r="T22" s="70"/>
    </row>
    <row r="23" spans="1:20" ht="15">
      <c r="A23" s="325">
        <v>1991</v>
      </c>
      <c r="B23" s="384">
        <f>'Table T3'!D66</f>
        <v>988.28</v>
      </c>
      <c r="C23" s="411">
        <f>RawData!S49/1000</f>
        <v>525.976</v>
      </c>
      <c r="D23" s="20">
        <f>RawData!V49/1000</f>
        <v>119.988</v>
      </c>
      <c r="E23" s="31">
        <f>RawData!AG49/1000</f>
        <v>47.895000000000003</v>
      </c>
      <c r="F23" s="31">
        <f>RawData!AD49/1000</f>
        <v>0.91200000000000003</v>
      </c>
      <c r="G23" s="20">
        <f>RawData!P49/1000</f>
        <v>177.363</v>
      </c>
      <c r="H23" s="20">
        <f>RawData!AM49/1000</f>
        <v>45.488999999999997</v>
      </c>
      <c r="I23" s="24">
        <f t="shared" si="1"/>
        <v>164.95299999999997</v>
      </c>
      <c r="J23" s="19">
        <f>'Table T3'!E66</f>
        <v>332.85599999999999</v>
      </c>
      <c r="K23" s="23">
        <f>RawData!T49/1000</f>
        <v>211.98400000000001</v>
      </c>
      <c r="L23" s="23">
        <f>RawData!W49/1000</f>
        <v>32.198999999999998</v>
      </c>
      <c r="M23" s="32">
        <f>RawData!AH49/1000</f>
        <v>20.004000000000001</v>
      </c>
      <c r="N23" s="31">
        <f>RawData!AE49/1000</f>
        <v>0.121</v>
      </c>
      <c r="O23" s="20">
        <f>RawData!Q49/1000</f>
        <v>77.983999999999995</v>
      </c>
      <c r="P23" s="23">
        <f>RawData!BB49/1000</f>
        <v>28.387</v>
      </c>
      <c r="Q23" s="357">
        <f t="shared" si="0"/>
        <v>10.688999999999993</v>
      </c>
      <c r="S23" s="70"/>
      <c r="T23" s="70"/>
    </row>
    <row r="24" spans="1:20" ht="15">
      <c r="A24" s="325">
        <v>1992</v>
      </c>
      <c r="B24" s="384">
        <f>'Table T3'!D67</f>
        <v>1060.162</v>
      </c>
      <c r="C24" s="411">
        <f>RawData!S50/1000</f>
        <v>539.23</v>
      </c>
      <c r="D24" s="20">
        <f>RawData!V50/1000</f>
        <v>150.876</v>
      </c>
      <c r="E24" s="31">
        <f>RawData!AG50/1000</f>
        <v>54.411999999999999</v>
      </c>
      <c r="F24" s="31">
        <f>RawData!AD50/1000</f>
        <v>5.476</v>
      </c>
      <c r="G24" s="20">
        <f>RawData!P50/1000</f>
        <v>190.90100000000001</v>
      </c>
      <c r="H24" s="20">
        <f>RawData!AM50/1000</f>
        <v>49.643999999999998</v>
      </c>
      <c r="I24" s="24">
        <f t="shared" si="1"/>
        <v>179.15500000000003</v>
      </c>
      <c r="J24" s="19">
        <f>'Table T3'!E67</f>
        <v>344.85300000000001</v>
      </c>
      <c r="K24" s="23">
        <f>RawData!T50/1000</f>
        <v>211.86</v>
      </c>
      <c r="L24" s="23">
        <f>RawData!W50/1000</f>
        <v>34.1</v>
      </c>
      <c r="M24" s="32">
        <f>RawData!AH50/1000</f>
        <v>20.119</v>
      </c>
      <c r="N24" s="31">
        <f>RawData!AE50/1000</f>
        <v>0.16700000000000001</v>
      </c>
      <c r="O24" s="20">
        <f>RawData!Q50/1000</f>
        <v>85.626999999999995</v>
      </c>
      <c r="P24" s="23">
        <f>RawData!BB50/1000</f>
        <v>31.527999999999999</v>
      </c>
      <c r="Q24" s="357">
        <f t="shared" si="0"/>
        <v>13.266000000000005</v>
      </c>
      <c r="S24" s="70"/>
      <c r="T24" s="70"/>
    </row>
    <row r="25" spans="1:20" ht="15">
      <c r="A25" s="325">
        <v>1993</v>
      </c>
      <c r="B25" s="384">
        <f>'Table T3'!D68</f>
        <v>1207.2090000000001</v>
      </c>
      <c r="C25" s="411">
        <f>RawData!S51/1000</f>
        <v>596.45100000000002</v>
      </c>
      <c r="D25" s="20">
        <f>RawData!V51/1000</f>
        <v>161.999</v>
      </c>
      <c r="E25" s="31">
        <f>RawData!AG51/1000</f>
        <v>49.482999999999997</v>
      </c>
      <c r="F25" s="31">
        <f>RawData!AD51/1000</f>
        <v>6.5570000000000004</v>
      </c>
      <c r="G25" s="20">
        <f>RawData!P51/1000</f>
        <v>243.02199999999999</v>
      </c>
      <c r="H25" s="20">
        <f>RawData!AM51/1000</f>
        <v>56.213000000000001</v>
      </c>
      <c r="I25" s="24">
        <f t="shared" si="1"/>
        <v>205.73700000000002</v>
      </c>
      <c r="J25" s="19">
        <f>'Table T3'!E68</f>
        <v>394.565</v>
      </c>
      <c r="K25" s="23">
        <f>RawData!T51/1000</f>
        <v>232.53</v>
      </c>
      <c r="L25" s="23">
        <f>RawData!W51/1000</f>
        <v>37.067999999999998</v>
      </c>
      <c r="M25" s="32">
        <f>RawData!AH51/1000</f>
        <v>20.605</v>
      </c>
      <c r="N25" s="31">
        <f>RawData!AE51/1000</f>
        <v>0.14899999999999999</v>
      </c>
      <c r="O25" s="20">
        <f>RawData!Q51/1000</f>
        <v>108.696</v>
      </c>
      <c r="P25" s="23">
        <f>RawData!BB51/1000</f>
        <v>38.619</v>
      </c>
      <c r="Q25" s="357">
        <f t="shared" si="0"/>
        <v>16.271000000000001</v>
      </c>
      <c r="S25" s="70"/>
      <c r="T25" s="70"/>
    </row>
    <row r="26" spans="1:20" ht="15">
      <c r="A26" s="325">
        <v>1994</v>
      </c>
      <c r="B26" s="384">
        <f>'Table T3'!D69</f>
        <v>1243.8629999999998</v>
      </c>
      <c r="C26" s="411">
        <f>RawData!S52/1000</f>
        <v>638.79600000000005</v>
      </c>
      <c r="D26" s="20">
        <f>RawData!V52/1000</f>
        <v>158.33199999999999</v>
      </c>
      <c r="E26" s="31">
        <f>RawData!AG52/1000</f>
        <v>44.488</v>
      </c>
      <c r="F26" s="31">
        <f>RawData!AD52/1000</f>
        <v>18.181000000000001</v>
      </c>
      <c r="G26" s="20">
        <f>RawData!P52/1000</f>
        <v>253.227</v>
      </c>
      <c r="H26" s="20">
        <f>RawData!AM52/1000</f>
        <v>57.985999999999997</v>
      </c>
      <c r="I26" s="24">
        <f t="shared" si="1"/>
        <v>193.50799999999978</v>
      </c>
      <c r="J26" s="19">
        <f>'Table T3'!E69</f>
        <v>397.70299999999997</v>
      </c>
      <c r="K26" s="23">
        <f>RawData!T52/1000</f>
        <v>237.709</v>
      </c>
      <c r="L26" s="23">
        <f>RawData!W52/1000</f>
        <v>34.002000000000002</v>
      </c>
      <c r="M26" s="32">
        <f>RawData!AH52/1000</f>
        <v>18.789000000000001</v>
      </c>
      <c r="N26" s="31">
        <f>RawData!AE52/1000</f>
        <v>0.13500000000000001</v>
      </c>
      <c r="O26" s="20">
        <f>RawData!Q52/1000</f>
        <v>108.45399999999999</v>
      </c>
      <c r="P26" s="23">
        <f>RawData!BB52/1000</f>
        <v>39.96</v>
      </c>
      <c r="Q26" s="357">
        <f t="shared" si="0"/>
        <v>17.537999999999968</v>
      </c>
      <c r="S26" s="70"/>
      <c r="T26" s="70"/>
    </row>
    <row r="27" spans="1:20" ht="15">
      <c r="A27" s="325">
        <v>1995</v>
      </c>
      <c r="B27" s="384">
        <f>'Table T3'!D70</f>
        <v>1648.002</v>
      </c>
      <c r="C27" s="411">
        <f>RawData!S53/1000</f>
        <v>842.66499999999996</v>
      </c>
      <c r="D27" s="20">
        <f>RawData!V53/1000</f>
        <v>213.005</v>
      </c>
      <c r="E27" s="31">
        <f>RawData!AG53/1000</f>
        <v>53.264000000000003</v>
      </c>
      <c r="F27" s="31">
        <f>RawData!AD53/1000</f>
        <v>23.434999999999999</v>
      </c>
      <c r="G27" s="20">
        <f>RawData!P53/1000</f>
        <v>380.46600000000001</v>
      </c>
      <c r="H27" s="20">
        <f>RawData!AM53/1000</f>
        <v>70.933999999999997</v>
      </c>
      <c r="I27" s="24">
        <f t="shared" si="1"/>
        <v>211.86599999999999</v>
      </c>
      <c r="J27" s="19">
        <f>'Table T3'!E70</f>
        <v>546.54100000000005</v>
      </c>
      <c r="K27" s="23">
        <f>RawData!T53/1000</f>
        <v>325.44299999999998</v>
      </c>
      <c r="L27" s="23">
        <f>RawData!W53/1000</f>
        <v>41.475999999999999</v>
      </c>
      <c r="M27" s="32">
        <f>RawData!AH53/1000</f>
        <v>23.082999999999998</v>
      </c>
      <c r="N27" s="31">
        <f>RawData!AE53/1000</f>
        <v>0.184</v>
      </c>
      <c r="O27" s="20">
        <f>RawData!Q53/1000</f>
        <v>156.97900000000001</v>
      </c>
      <c r="P27" s="23">
        <f>RawData!BB53/1000</f>
        <v>49.518000000000001</v>
      </c>
      <c r="Q27" s="357">
        <f t="shared" si="0"/>
        <v>22.643000000000058</v>
      </c>
      <c r="S27" s="70"/>
      <c r="T27" s="70"/>
    </row>
    <row r="28" spans="1:20" ht="15">
      <c r="A28" s="325">
        <v>1996</v>
      </c>
      <c r="B28" s="384">
        <f>'Table T3'!D71</f>
        <v>2016.5720000000001</v>
      </c>
      <c r="C28" s="411">
        <f>RawData!S54/1000</f>
        <v>1047.9639999999999</v>
      </c>
      <c r="D28" s="20">
        <f>RawData!V54/1000</f>
        <v>267.57100000000003</v>
      </c>
      <c r="E28" s="31">
        <f>RawData!AG54/1000</f>
        <v>61.72</v>
      </c>
      <c r="F28" s="31">
        <f>RawData!AD54/1000</f>
        <v>42.3</v>
      </c>
      <c r="G28" s="20">
        <f>RawData!P54/1000</f>
        <v>481.20400000000001</v>
      </c>
      <c r="H28" s="20">
        <f>RawData!AM54/1000</f>
        <v>84.745000000000005</v>
      </c>
      <c r="I28" s="24">
        <f t="shared" si="1"/>
        <v>219.83300000000014</v>
      </c>
      <c r="J28" s="19">
        <f>'Table T3'!E71</f>
        <v>675.35400000000004</v>
      </c>
      <c r="K28" s="23">
        <f>RawData!T54/1000</f>
        <v>393.49700000000001</v>
      </c>
      <c r="L28" s="23">
        <f>RawData!W54/1000</f>
        <v>45.414000000000001</v>
      </c>
      <c r="M28" s="32">
        <f>RawData!AH54/1000</f>
        <v>24.337</v>
      </c>
      <c r="N28" s="31">
        <f>RawData!AE54/1000</f>
        <v>0.34599999999999997</v>
      </c>
      <c r="O28" s="20">
        <f>RawData!Q54/1000</f>
        <v>208.28800000000001</v>
      </c>
      <c r="P28" s="23">
        <f>RawData!BB54/1000</f>
        <v>61.481000000000002</v>
      </c>
      <c r="Q28" s="357">
        <f t="shared" si="0"/>
        <v>28.15500000000003</v>
      </c>
      <c r="S28" s="70"/>
      <c r="T28" s="70"/>
    </row>
    <row r="29" spans="1:20" ht="15">
      <c r="A29" s="325">
        <v>1997</v>
      </c>
      <c r="B29" s="384">
        <f>'Table T3'!D72</f>
        <v>2564.7939999999999</v>
      </c>
      <c r="C29" s="411">
        <f>RawData!S55/1000</f>
        <v>1351.3409999999999</v>
      </c>
      <c r="D29" s="20">
        <f>RawData!V55/1000</f>
        <v>315.61200000000002</v>
      </c>
      <c r="E29" s="31">
        <f>RawData!AG55/1000</f>
        <v>74.021000000000001</v>
      </c>
      <c r="F29" s="31">
        <f>RawData!AD55/1000</f>
        <v>56.811999999999998</v>
      </c>
      <c r="G29" s="20">
        <f>RawData!P55/1000</f>
        <v>624.02200000000005</v>
      </c>
      <c r="H29" s="20">
        <f>RawData!AM55/1000</f>
        <v>118.786</v>
      </c>
      <c r="I29" s="24">
        <f t="shared" si="1"/>
        <v>273.81899999999985</v>
      </c>
      <c r="J29" s="19">
        <f>'Table T3'!E72</f>
        <v>953.77</v>
      </c>
      <c r="K29" s="23">
        <f>RawData!T55/1000</f>
        <v>557.48400000000004</v>
      </c>
      <c r="L29" s="23">
        <f>RawData!W55/1000</f>
        <v>59.500999999999998</v>
      </c>
      <c r="M29" s="32">
        <f>RawData!AH55/1000</f>
        <v>30.323</v>
      </c>
      <c r="N29" s="31">
        <f>RawData!AE55/1000</f>
        <v>0.69299999999999995</v>
      </c>
      <c r="O29" s="20">
        <f>RawData!Q55/1000</f>
        <v>297.69900000000001</v>
      </c>
      <c r="P29" s="23">
        <f>RawData!BB55/1000</f>
        <v>87.632000000000005</v>
      </c>
      <c r="Q29" s="357">
        <f t="shared" si="0"/>
        <v>39.085999999999956</v>
      </c>
      <c r="S29" s="70"/>
      <c r="T29" s="70"/>
    </row>
    <row r="30" spans="1:20" ht="15">
      <c r="A30" s="325">
        <v>1998</v>
      </c>
      <c r="B30" s="384">
        <f>'Table T3'!D73</f>
        <v>3054.3559999999998</v>
      </c>
      <c r="C30" s="411">
        <f>RawData!S56/1000</f>
        <v>1586.5550000000001</v>
      </c>
      <c r="D30" s="20">
        <f>RawData!V56/1000</f>
        <v>351.66800000000001</v>
      </c>
      <c r="E30" s="31">
        <f>RawData!AG56/1000</f>
        <v>63.878</v>
      </c>
      <c r="F30" s="31">
        <f>RawData!AD56/1000</f>
        <v>65.147999999999996</v>
      </c>
      <c r="G30" s="20">
        <f>RawData!P56/1000</f>
        <v>767.65499999999997</v>
      </c>
      <c r="H30" s="20">
        <f>RawData!AM56/1000</f>
        <v>159.59399999999999</v>
      </c>
      <c r="I30" s="24">
        <f t="shared" si="1"/>
        <v>348.47799999999984</v>
      </c>
      <c r="J30" s="19">
        <f>'Table T3'!E73</f>
        <v>1265.0650000000001</v>
      </c>
      <c r="K30" s="23">
        <f>RawData!T56/1000</f>
        <v>754.71900000000005</v>
      </c>
      <c r="L30" s="23">
        <f>RawData!W56/1000</f>
        <v>73.225999999999999</v>
      </c>
      <c r="M30" s="32">
        <f>RawData!AH56/1000</f>
        <v>34.996000000000002</v>
      </c>
      <c r="N30" s="31">
        <f>RawData!AE56/1000</f>
        <v>0.94599999999999995</v>
      </c>
      <c r="O30" s="20">
        <f>RawData!Q56/1000</f>
        <v>384.25700000000001</v>
      </c>
      <c r="P30" s="23">
        <f>RawData!BB56/1000</f>
        <v>115.971</v>
      </c>
      <c r="Q30" s="357">
        <f t="shared" si="0"/>
        <v>52.863</v>
      </c>
      <c r="S30" s="70"/>
      <c r="T30" s="70"/>
    </row>
    <row r="31" spans="1:20" ht="15">
      <c r="A31" s="326">
        <v>1999</v>
      </c>
      <c r="B31" s="385">
        <f>'Table T3'!D74</f>
        <v>3409.4669999999996</v>
      </c>
      <c r="C31" s="409">
        <f>RawData!S57/1000</f>
        <v>1746.2260000000001</v>
      </c>
      <c r="D31" s="345">
        <f>RawData!V57/1000</f>
        <v>387.21300000000002</v>
      </c>
      <c r="E31" s="227">
        <f>RawData!AG57/1000</f>
        <v>64.174999999999997</v>
      </c>
      <c r="F31" s="227">
        <f>RawData!AD57/1000</f>
        <v>79.394000000000005</v>
      </c>
      <c r="G31" s="345">
        <f>RawData!P57/1000</f>
        <v>885.97400000000005</v>
      </c>
      <c r="H31" s="345">
        <f>RawData!AM57/1000</f>
        <v>187.83799999999999</v>
      </c>
      <c r="I31" s="346">
        <f t="shared" si="1"/>
        <v>390.05399999999952</v>
      </c>
      <c r="J31" s="335">
        <f>'Table T3'!E74</f>
        <v>1624.5309999999999</v>
      </c>
      <c r="K31" s="347">
        <f>RawData!T57/1000</f>
        <v>984.46299999999997</v>
      </c>
      <c r="L31" s="347">
        <f>RawData!W57/1000</f>
        <v>85.138999999999996</v>
      </c>
      <c r="M31" s="250">
        <f>RawData!AH57/1000</f>
        <v>38.517000000000003</v>
      </c>
      <c r="N31" s="227">
        <f>RawData!AE57/1000</f>
        <v>1.419</v>
      </c>
      <c r="O31" s="345">
        <f>RawData!Q57/1000</f>
        <v>486.69400000000002</v>
      </c>
      <c r="P31" s="347">
        <f>RawData!BB57/1000</f>
        <v>143.57400000000001</v>
      </c>
      <c r="Q31" s="358">
        <f t="shared" si="0"/>
        <v>68.234999999999957</v>
      </c>
      <c r="S31" s="70"/>
      <c r="T31" s="70"/>
    </row>
    <row r="32" spans="1:20" ht="15">
      <c r="A32" s="325">
        <v>2000</v>
      </c>
      <c r="B32" s="384">
        <f>'Table T3'!D75</f>
        <v>3661.1289999999999</v>
      </c>
      <c r="C32" s="411">
        <f>RawData!S58/1000</f>
        <v>1826.338</v>
      </c>
      <c r="D32" s="20">
        <f>RawData!V58/1000</f>
        <v>485.154</v>
      </c>
      <c r="E32" s="31">
        <f>RawData!AG58/1000</f>
        <v>77.168999999999997</v>
      </c>
      <c r="F32" s="31">
        <f>RawData!AD58/1000</f>
        <v>101.541</v>
      </c>
      <c r="G32" s="20">
        <f>RawData!P58/1000</f>
        <v>976.35900000000004</v>
      </c>
      <c r="H32" s="20">
        <f>RawData!AM58/1000</f>
        <v>176.922</v>
      </c>
      <c r="I32" s="24">
        <f t="shared" si="1"/>
        <v>373.27799999999991</v>
      </c>
      <c r="J32" s="19">
        <f>'Table T3'!E75</f>
        <v>1620.943</v>
      </c>
      <c r="K32" s="23">
        <f>RawData!T58/1000</f>
        <v>983.80799999999999</v>
      </c>
      <c r="L32" s="23">
        <f>RawData!W58/1000</f>
        <v>118.98099999999999</v>
      </c>
      <c r="M32" s="32">
        <f>RawData!AH58/1000</f>
        <v>44.93</v>
      </c>
      <c r="N32" s="31">
        <f>RawData!AE58/1000</f>
        <v>2.6880000000000002</v>
      </c>
      <c r="O32" s="20">
        <f>RawData!Q58/1000</f>
        <v>487.68900000000002</v>
      </c>
      <c r="P32" s="23">
        <f>RawData!BB58/1000</f>
        <v>135.29599999999999</v>
      </c>
      <c r="Q32" s="357">
        <f t="shared" si="0"/>
        <v>30.464999999999975</v>
      </c>
      <c r="S32" s="70"/>
      <c r="T32" s="70"/>
    </row>
    <row r="33" spans="1:20" ht="15">
      <c r="A33" s="325">
        <v>2001</v>
      </c>
      <c r="B33" s="384">
        <f>'Table T3'!D76</f>
        <v>3934.1539999999995</v>
      </c>
      <c r="C33" s="411">
        <f>RawData!S59/1000</f>
        <v>1795.5450000000001</v>
      </c>
      <c r="D33" s="20">
        <f>RawData!V59/1000</f>
        <v>542.01800000000003</v>
      </c>
      <c r="E33" s="31">
        <f>RawData!AG59/1000</f>
        <v>81.56</v>
      </c>
      <c r="F33" s="31">
        <f>RawData!AD59/1000</f>
        <v>151.76900000000001</v>
      </c>
      <c r="G33" s="20">
        <f>RawData!P59/1000</f>
        <v>1128.74</v>
      </c>
      <c r="H33" s="20">
        <f>RawData!AM59/1000</f>
        <v>172.667</v>
      </c>
      <c r="I33" s="24">
        <f t="shared" si="1"/>
        <v>467.85099999999943</v>
      </c>
      <c r="J33" s="19">
        <f>'Table T3'!E76</f>
        <v>1573.079</v>
      </c>
      <c r="K33" s="23">
        <f>RawData!T59/1000</f>
        <v>934.05700000000002</v>
      </c>
      <c r="L33" s="23">
        <f>RawData!W59/1000</f>
        <v>115.48699999999999</v>
      </c>
      <c r="M33" s="32">
        <f>RawData!AH59/1000</f>
        <v>45.185000000000002</v>
      </c>
      <c r="N33" s="31">
        <f>RawData!AE59/1000</f>
        <v>3.9060000000000001</v>
      </c>
      <c r="O33" s="20">
        <f>RawData!Q59/1000</f>
        <v>496.42700000000002</v>
      </c>
      <c r="P33" s="23">
        <f>RawData!BB59/1000</f>
        <v>121.658</v>
      </c>
      <c r="Q33" s="357">
        <f t="shared" si="0"/>
        <v>27.107999999999947</v>
      </c>
      <c r="S33" s="70"/>
      <c r="T33" s="70"/>
    </row>
    <row r="34" spans="1:20" ht="15">
      <c r="A34" s="325">
        <v>2002</v>
      </c>
      <c r="B34" s="384">
        <f>'Table T3'!D77</f>
        <v>4049.1880000000001</v>
      </c>
      <c r="C34" s="411">
        <f>RawData!S60/1000</f>
        <v>1726.3510000000001</v>
      </c>
      <c r="D34" s="20">
        <f>RawData!V60/1000</f>
        <v>647.61500000000001</v>
      </c>
      <c r="E34" s="31">
        <f>RawData!AG60/1000</f>
        <v>72.751999999999995</v>
      </c>
      <c r="F34" s="31">
        <f>RawData!AD60/1000</f>
        <v>212.62799999999999</v>
      </c>
      <c r="G34" s="20">
        <f>RawData!P60/1000</f>
        <v>1229.6759999999999</v>
      </c>
      <c r="H34" s="20">
        <f>RawData!AM60/1000</f>
        <v>157.49299999999999</v>
      </c>
      <c r="I34" s="24">
        <f t="shared" si="1"/>
        <v>445.54600000000005</v>
      </c>
      <c r="J34" s="19">
        <f>'Table T3'!E77</f>
        <v>1328.771</v>
      </c>
      <c r="K34" s="23">
        <f>RawData!T60/1000</f>
        <v>772.39300000000003</v>
      </c>
      <c r="L34" s="23">
        <f>RawData!W60/1000</f>
        <v>101.244</v>
      </c>
      <c r="M34" s="32">
        <f>RawData!AH60/1000</f>
        <v>37.866999999999997</v>
      </c>
      <c r="N34" s="31">
        <f>RawData!AE60/1000</f>
        <v>2.6850000000000001</v>
      </c>
      <c r="O34" s="20">
        <f>RawData!Q60/1000</f>
        <v>444.21100000000001</v>
      </c>
      <c r="P34" s="23">
        <f>RawData!BB60/1000</f>
        <v>96.528000000000006</v>
      </c>
      <c r="Q34" s="357">
        <f t="shared" si="0"/>
        <v>10.922999999999888</v>
      </c>
      <c r="S34" s="70"/>
      <c r="T34" s="70"/>
    </row>
    <row r="35" spans="1:20" ht="15">
      <c r="A35" s="325">
        <v>2003</v>
      </c>
      <c r="B35" s="384">
        <f>'Table T3'!D78</f>
        <v>4980.7690000000002</v>
      </c>
      <c r="C35" s="411">
        <f>RawData!S61/1000</f>
        <v>2228.9630000000002</v>
      </c>
      <c r="D35" s="20">
        <f>RawData!V61/1000</f>
        <v>824.44399999999996</v>
      </c>
      <c r="E35" s="31">
        <f>RawData!AG61/1000</f>
        <v>87.463999999999999</v>
      </c>
      <c r="F35" s="31">
        <f>RawData!AD61/1000</f>
        <v>294.39800000000002</v>
      </c>
      <c r="G35" s="20">
        <f>RawData!P61/1000</f>
        <v>1620.9690000000001</v>
      </c>
      <c r="H35" s="20">
        <f>RawData!AM61/1000</f>
        <v>202.69800000000001</v>
      </c>
      <c r="I35" s="24">
        <f t="shared" si="1"/>
        <v>306.39300000000003</v>
      </c>
      <c r="J35" s="19">
        <f>'Table T3'!E78</f>
        <v>1838.8789999999999</v>
      </c>
      <c r="K35" s="23">
        <f>RawData!T61/1000</f>
        <v>1049.518</v>
      </c>
      <c r="L35" s="23">
        <f>RawData!W61/1000</f>
        <v>149.51599999999999</v>
      </c>
      <c r="M35" s="32">
        <f>RawData!AH61/1000</f>
        <v>57.595999999999997</v>
      </c>
      <c r="N35" s="31">
        <f>RawData!AE61/1000</f>
        <v>2.419</v>
      </c>
      <c r="O35" s="20">
        <f>RawData!Q61/1000</f>
        <v>636.16800000000001</v>
      </c>
      <c r="P35" s="23">
        <f>RawData!BB61/1000</f>
        <v>123.498</v>
      </c>
      <c r="Q35" s="357">
        <f t="shared" si="0"/>
        <v>3.6769999999999072</v>
      </c>
      <c r="S35" s="70"/>
      <c r="T35" s="70"/>
    </row>
    <row r="36" spans="1:20" ht="15">
      <c r="A36" s="325">
        <v>2004</v>
      </c>
      <c r="B36" s="384">
        <f>'Table T3'!D79</f>
        <v>5971.9140000000007</v>
      </c>
      <c r="C36" s="411">
        <f>RawData!S62/1000</f>
        <v>2759.0349999999999</v>
      </c>
      <c r="D36" s="20">
        <f>RawData!V62/1000</f>
        <v>1068.5170000000001</v>
      </c>
      <c r="E36" s="31">
        <f>RawData!AG62/1000</f>
        <v>127.102</v>
      </c>
      <c r="F36" s="31">
        <f>RawData!AD62/1000</f>
        <v>405.005</v>
      </c>
      <c r="G36" s="20">
        <f>RawData!P62/1000</f>
        <v>1927.576</v>
      </c>
      <c r="H36" s="20">
        <f>RawData!AM62/1000</f>
        <v>232.9</v>
      </c>
      <c r="I36" s="24">
        <f t="shared" si="1"/>
        <v>216.78600000000097</v>
      </c>
      <c r="J36" s="19">
        <f>'Table T3'!E79</f>
        <v>2124.3580000000002</v>
      </c>
      <c r="K36" s="23">
        <f>RawData!T62/1000</f>
        <v>1217.7670000000001</v>
      </c>
      <c r="L36" s="23">
        <f>RawData!W62/1000</f>
        <v>184.80199999999999</v>
      </c>
      <c r="M36" s="32">
        <f>RawData!AH62/1000</f>
        <v>78.807000000000002</v>
      </c>
      <c r="N36" s="31">
        <f>RawData!AE62/1000</f>
        <v>2.7629999999999999</v>
      </c>
      <c r="O36" s="20">
        <f>RawData!Q62/1000</f>
        <v>718.875</v>
      </c>
      <c r="P36" s="23">
        <f>RawData!BB62/1000</f>
        <v>134.54599999999999</v>
      </c>
      <c r="Q36" s="357">
        <f t="shared" si="0"/>
        <v>2.914000000000101</v>
      </c>
      <c r="S36" s="70"/>
      <c r="T36" s="70"/>
    </row>
    <row r="37" spans="1:20" ht="15">
      <c r="A37" s="325">
        <v>2005</v>
      </c>
      <c r="B37" s="384">
        <f>'Table T3'!D80</f>
        <v>6733.3159999999998</v>
      </c>
      <c r="C37" s="411">
        <f>RawData!S63/1000</f>
        <v>2986.6880000000001</v>
      </c>
      <c r="D37" s="20">
        <f>RawData!V63/1000</f>
        <v>1374.02</v>
      </c>
      <c r="E37" s="31">
        <f>RawData!AG63/1000</f>
        <v>162.56399999999999</v>
      </c>
      <c r="F37" s="31">
        <f>RawData!AD63/1000</f>
        <v>578.66600000000005</v>
      </c>
      <c r="G37" s="20">
        <f>RawData!P63/1000</f>
        <v>2168.8560000000002</v>
      </c>
      <c r="H37" s="20">
        <f>RawData!AM63/1000</f>
        <v>240.86699999999999</v>
      </c>
      <c r="I37" s="24">
        <f t="shared" si="1"/>
        <v>203.7519999999995</v>
      </c>
      <c r="J37" s="19">
        <f>'Table T3'!E80</f>
        <v>2308.9340000000002</v>
      </c>
      <c r="K37" s="23">
        <f>RawData!T63/1000</f>
        <v>1283.73</v>
      </c>
      <c r="L37" s="23">
        <f>RawData!W63/1000</f>
        <v>209.92699999999999</v>
      </c>
      <c r="M37" s="32">
        <f>RawData!AH63/1000</f>
        <v>94.873999999999995</v>
      </c>
      <c r="N37" s="31">
        <f>RawData!AE63/1000</f>
        <v>3.2679999999999998</v>
      </c>
      <c r="O37" s="20">
        <f>RawData!Q63/1000</f>
        <v>811.40099999999995</v>
      </c>
      <c r="P37" s="23">
        <f>RawData!BB63/1000</f>
        <v>142.57400000000001</v>
      </c>
      <c r="Q37" s="357">
        <f t="shared" si="0"/>
        <v>3.8760000000002037</v>
      </c>
      <c r="S37" s="70"/>
      <c r="T37" s="70"/>
    </row>
    <row r="38" spans="1:20" ht="15">
      <c r="A38" s="325">
        <v>2006</v>
      </c>
      <c r="B38" s="384">
        <f>'Table T3'!D81</f>
        <v>8221.7380000000012</v>
      </c>
      <c r="C38" s="411">
        <f>RawData!S64/1000</f>
        <v>3492.5709999999999</v>
      </c>
      <c r="D38" s="20">
        <f>RawData!V64/1000</f>
        <v>1802.2</v>
      </c>
      <c r="E38" s="31">
        <f>RawData!AG64/1000</f>
        <v>230.46199999999999</v>
      </c>
      <c r="F38" s="31">
        <f>RawData!AD64/1000</f>
        <v>786.41499999999996</v>
      </c>
      <c r="G38" s="20">
        <f>RawData!P64/1000</f>
        <v>2725.4879999999998</v>
      </c>
      <c r="H38" s="20">
        <f>RawData!AM64/1000</f>
        <v>296.029</v>
      </c>
      <c r="I38" s="24">
        <f t="shared" si="1"/>
        <v>201.47900000000163</v>
      </c>
      <c r="J38" s="19">
        <f>'Table T3'!E81</f>
        <v>2787.3429999999998</v>
      </c>
      <c r="K38" s="23">
        <f>RawData!T64/1000</f>
        <v>1534.5070000000001</v>
      </c>
      <c r="L38" s="23">
        <f>RawData!W64/1000</f>
        <v>277.91399999999999</v>
      </c>
      <c r="M38" s="32">
        <f>RawData!AH64/1000</f>
        <v>127.899</v>
      </c>
      <c r="N38" s="31">
        <f>RawData!AE64/1000</f>
        <v>14.117000000000001</v>
      </c>
      <c r="O38" s="20">
        <f>RawData!Q64/1000</f>
        <v>972.274</v>
      </c>
      <c r="P38" s="23">
        <f>RawData!BB64/1000</f>
        <v>166.745</v>
      </c>
      <c r="Q38" s="357">
        <f t="shared" si="0"/>
        <v>2.6479999999997972</v>
      </c>
      <c r="S38" s="70"/>
      <c r="T38" s="70"/>
    </row>
    <row r="39" spans="1:20" ht="15">
      <c r="A39" s="325">
        <v>2007</v>
      </c>
      <c r="B39" s="384">
        <f>'Table T3'!D82</f>
        <v>9484.6759999999995</v>
      </c>
      <c r="C39" s="411">
        <f>RawData!S65/1000</f>
        <v>3870.357</v>
      </c>
      <c r="D39" s="20">
        <f>RawData!V65/1000</f>
        <v>2332.8939999999998</v>
      </c>
      <c r="E39" s="31">
        <f>RawData!AG65/1000</f>
        <v>301.73200000000003</v>
      </c>
      <c r="F39" s="31">
        <f>RawData!AD65/1000</f>
        <v>1028.2380000000001</v>
      </c>
      <c r="G39" s="20">
        <f>RawData!P65/1000</f>
        <v>3128.4479999999999</v>
      </c>
      <c r="H39" s="20">
        <f>RawData!AM65/1000</f>
        <v>315.56900000000002</v>
      </c>
      <c r="I39" s="24">
        <f t="shared" si="1"/>
        <v>152.97699999999986</v>
      </c>
      <c r="J39" s="19">
        <f>'Table T3'!E82</f>
        <v>3231.8319999999999</v>
      </c>
      <c r="K39" s="23">
        <f>RawData!T65/1000</f>
        <v>1740.393</v>
      </c>
      <c r="L39" s="23">
        <f>RawData!W65/1000</f>
        <v>380.9</v>
      </c>
      <c r="M39" s="32">
        <f>RawData!AH65/1000</f>
        <v>150.06299999999999</v>
      </c>
      <c r="N39" s="31">
        <f>RawData!AE65/1000</f>
        <v>72.075000000000003</v>
      </c>
      <c r="O39" s="20">
        <f>RawData!Q65/1000</f>
        <v>1111.7159999999999</v>
      </c>
      <c r="P39" s="23">
        <f>RawData!BB65/1000</f>
        <v>178.50399999999999</v>
      </c>
      <c r="Q39" s="357">
        <f t="shared" si="0"/>
        <v>-1.1770000000001346</v>
      </c>
      <c r="S39" s="70"/>
      <c r="T39" s="70"/>
    </row>
    <row r="40" spans="1:20" ht="15">
      <c r="A40" s="325">
        <v>2008</v>
      </c>
      <c r="B40" s="384">
        <f>'Table T3'!D83</f>
        <v>8276.2219999999998</v>
      </c>
      <c r="C40" s="411">
        <f>RawData!S66/1000</f>
        <v>3094.1790000000001</v>
      </c>
      <c r="D40" s="20">
        <f>RawData!V66/1000</f>
        <v>2528.4920000000002</v>
      </c>
      <c r="E40" s="31">
        <f>RawData!AG66/1000</f>
        <v>280.65300000000002</v>
      </c>
      <c r="F40" s="31">
        <f>RawData!AD66/1000</f>
        <v>1265.5229999999999</v>
      </c>
      <c r="G40" s="20">
        <f>RawData!P66/1000</f>
        <v>2511.7629999999999</v>
      </c>
      <c r="H40" s="20">
        <f>RawData!AM66/1000</f>
        <v>263.35899999999998</v>
      </c>
      <c r="I40" s="24">
        <f t="shared" si="1"/>
        <v>141.78799999999956</v>
      </c>
      <c r="J40" s="19">
        <f>'Table T3'!E83</f>
        <v>2115.348</v>
      </c>
      <c r="K40" s="23">
        <f>RawData!T66/1000</f>
        <v>1127.895</v>
      </c>
      <c r="L40" s="23">
        <f>RawData!W66/1000</f>
        <v>281.59699999999998</v>
      </c>
      <c r="M40" s="32">
        <f>RawData!AH66/1000</f>
        <v>102.33199999999999</v>
      </c>
      <c r="N40" s="31">
        <f>RawData!AE66/1000</f>
        <v>72.373999999999995</v>
      </c>
      <c r="O40" s="20">
        <f>RawData!Q66/1000</f>
        <v>700.971</v>
      </c>
      <c r="P40" s="23">
        <f>RawData!BB66/1000</f>
        <v>119.742</v>
      </c>
      <c r="Q40" s="357">
        <f t="shared" si="0"/>
        <v>4.8849999999999909</v>
      </c>
      <c r="S40" s="70"/>
      <c r="T40" s="70"/>
    </row>
    <row r="41" spans="1:20" ht="15">
      <c r="A41" s="326">
        <v>2009</v>
      </c>
      <c r="B41" s="385">
        <f>'Table T3'!D84</f>
        <v>9503.8230000000003</v>
      </c>
      <c r="C41" s="409">
        <f>RawData!S67/1000</f>
        <v>3653.3820000000001</v>
      </c>
      <c r="D41" s="345">
        <f>RawData!V67/1000</f>
        <v>2790.7629999999999</v>
      </c>
      <c r="E41" s="227">
        <f>RawData!AG67/1000</f>
        <v>297.99599999999998</v>
      </c>
      <c r="F41" s="227">
        <f>RawData!AD67/1000</f>
        <v>1462.4469999999999</v>
      </c>
      <c r="G41" s="345">
        <f>RawData!P67/1000</f>
        <v>2956.2489999999998</v>
      </c>
      <c r="H41" s="345">
        <f>RawData!AM67/1000</f>
        <v>353.20699999999999</v>
      </c>
      <c r="I41" s="346">
        <f>B41-C41-D41-G41</f>
        <v>103.429000000001</v>
      </c>
      <c r="J41" s="335">
        <f>'Table T3'!E84</f>
        <v>2922.8020000000001</v>
      </c>
      <c r="K41" s="347">
        <f>RawData!T67/1000</f>
        <v>1523.9649999999999</v>
      </c>
      <c r="L41" s="347">
        <f>RawData!W67/1000</f>
        <v>416.30099999999999</v>
      </c>
      <c r="M41" s="250">
        <f>RawData!AH67/1000</f>
        <v>137.005</v>
      </c>
      <c r="N41" s="227">
        <f>RawData!AE67/1000</f>
        <v>115.77200000000001</v>
      </c>
      <c r="O41" s="345">
        <f>RawData!Q67/1000</f>
        <v>975.71600000000001</v>
      </c>
      <c r="P41" s="347">
        <f>RawData!BB67/1000</f>
        <v>169.50299999999999</v>
      </c>
      <c r="Q41" s="358">
        <f t="shared" si="0"/>
        <v>6.8200000000002774</v>
      </c>
      <c r="S41" s="70"/>
      <c r="T41" s="70"/>
    </row>
    <row r="42" spans="1:20" ht="15">
      <c r="A42" s="325">
        <v>2010</v>
      </c>
      <c r="B42" s="384">
        <f>'Table T3'!D85</f>
        <v>10985.405000000001</v>
      </c>
      <c r="C42" s="411">
        <f>RawData!S68/1000</f>
        <v>4235.7219999999998</v>
      </c>
      <c r="D42" s="20">
        <f>RawData!V68/1000</f>
        <v>3175.846</v>
      </c>
      <c r="E42" s="31">
        <f>RawData!AG68/1000</f>
        <v>331.01400000000001</v>
      </c>
      <c r="F42" s="31">
        <f>RawData!AD68/1000</f>
        <v>1640.643</v>
      </c>
      <c r="G42" s="20">
        <f>RawData!P68/1000</f>
        <v>3412.7950000000001</v>
      </c>
      <c r="H42" s="20">
        <f>RawData!AM68/1000</f>
        <v>437.09500000000003</v>
      </c>
      <c r="I42" s="24">
        <f>B42-C42-D42-G42</f>
        <v>161.04200000000083</v>
      </c>
      <c r="J42" s="19">
        <f>'Table T3'!E85</f>
        <v>3590.7840000000001</v>
      </c>
      <c r="K42" s="23">
        <f>RawData!T68/1000</f>
        <v>1826.03</v>
      </c>
      <c r="L42" s="23">
        <f>RawData!W68/1000</f>
        <v>541.66999999999996</v>
      </c>
      <c r="M42" s="32">
        <f>RawData!AH68/1000</f>
        <v>180.69</v>
      </c>
      <c r="N42" s="31">
        <f>RawData!AE68/1000</f>
        <v>152.84399999999999</v>
      </c>
      <c r="O42" s="20">
        <f>RawData!Q68/1000</f>
        <v>1218.123</v>
      </c>
      <c r="P42" s="23">
        <f>RawData!BB68/1000</f>
        <v>212.47300000000001</v>
      </c>
      <c r="Q42" s="357">
        <f t="shared" si="0"/>
        <v>4.9610000000002401</v>
      </c>
      <c r="S42" s="70"/>
      <c r="T42" s="70"/>
    </row>
    <row r="43" spans="1:20" ht="15">
      <c r="A43" s="325">
        <v>2011</v>
      </c>
      <c r="B43" s="384">
        <f>'Table T3'!D86</f>
        <v>11561.196</v>
      </c>
      <c r="C43" s="411">
        <f>RawData!S69/1000</f>
        <v>4530.0585357245209</v>
      </c>
      <c r="D43" s="20">
        <f>RawData!V69/1000</f>
        <v>3318.14446427548</v>
      </c>
      <c r="E43" s="31">
        <f>RawData!AG69/1000</f>
        <v>338</v>
      </c>
      <c r="F43" s="31">
        <f>RawData!AD69/1000</f>
        <v>1722</v>
      </c>
      <c r="G43" s="20">
        <f>RawData!P69/1000</f>
        <v>3574.9929999999999</v>
      </c>
      <c r="H43" s="20">
        <f>RawData!AM69/1000</f>
        <v>472</v>
      </c>
      <c r="I43" s="24">
        <f>B43-C43-D43-G43</f>
        <v>137.99999999999909</v>
      </c>
      <c r="J43" s="19">
        <f>'Table T3'!E86</f>
        <v>3829.8960000000002</v>
      </c>
      <c r="K43" s="23">
        <f>RawData!T69/1000</f>
        <v>1951.356780610073</v>
      </c>
      <c r="L43" s="23">
        <f>RawData!W69/1000</f>
        <v>563.53921938992721</v>
      </c>
      <c r="M43" s="32">
        <f>RawData!AH69/1000</f>
        <v>188</v>
      </c>
      <c r="N43" s="31">
        <f>RawData!AE69/1000</f>
        <v>159</v>
      </c>
      <c r="O43" s="20">
        <f>RawData!Q69/1000</f>
        <v>1313</v>
      </c>
      <c r="P43" s="23">
        <f>RawData!BB69/1000</f>
        <v>226</v>
      </c>
      <c r="Q43" s="357">
        <f t="shared" si="0"/>
        <v>2</v>
      </c>
      <c r="S43" s="70"/>
      <c r="T43" s="70"/>
    </row>
    <row r="44" spans="1:20" ht="16" thickBot="1">
      <c r="A44" s="329">
        <v>2012</v>
      </c>
      <c r="B44" s="386">
        <f>'Table T3'!D87</f>
        <v>12450.544</v>
      </c>
      <c r="C44" s="412">
        <f>RawData!S70/1000</f>
        <v>5210.0450154398059</v>
      </c>
      <c r="D44" s="45">
        <f>RawData!V70/1000</f>
        <v>3192.5059845601945</v>
      </c>
      <c r="E44" s="38">
        <f>RawData!AG70/1000</f>
        <v>398</v>
      </c>
      <c r="F44" s="38">
        <f>RawData!AD70/1000</f>
        <v>1584</v>
      </c>
      <c r="G44" s="45">
        <f>RawData!P70/1000</f>
        <v>3959.9929999999999</v>
      </c>
      <c r="H44" s="45">
        <f>RawData!AM70/1000</f>
        <v>540</v>
      </c>
      <c r="I44" s="48">
        <f>B44-C44-D44-G44</f>
        <v>87.999999999999545</v>
      </c>
      <c r="J44" s="35">
        <f>'Table T3'!E87</f>
        <v>4237.3580000000002</v>
      </c>
      <c r="K44" s="44">
        <f>RawData!T70/1000</f>
        <v>2021.4155473564915</v>
      </c>
      <c r="L44" s="44">
        <f>RawData!W70/1000</f>
        <v>725.94245264350855</v>
      </c>
      <c r="M44" s="36">
        <f>RawData!AH70/1000</f>
        <v>226</v>
      </c>
      <c r="N44" s="38">
        <f>RawData!AE70/1000</f>
        <v>221</v>
      </c>
      <c r="O44" s="45">
        <f>RawData!Q70/1000</f>
        <v>1490</v>
      </c>
      <c r="P44" s="44">
        <f>RawData!BB70/1000</f>
        <v>263</v>
      </c>
      <c r="Q44" s="360">
        <f t="shared" si="0"/>
        <v>0</v>
      </c>
      <c r="S44" s="70"/>
      <c r="T44" s="70"/>
    </row>
    <row r="45" spans="1:20" ht="16" thickTop="1">
      <c r="B45" s="19"/>
      <c r="L45" s="16"/>
      <c r="M45" s="17"/>
    </row>
    <row r="46" spans="1:20">
      <c r="L46" s="16"/>
      <c r="M46" s="17"/>
      <c r="P46" s="16"/>
    </row>
    <row r="47" spans="1:20">
      <c r="L47" s="16"/>
      <c r="M47" s="17"/>
    </row>
    <row r="48" spans="1:20">
      <c r="L48" s="16"/>
      <c r="M48" s="17"/>
    </row>
    <row r="53" spans="14:14">
      <c r="N53" s="3" t="s">
        <v>31</v>
      </c>
    </row>
  </sheetData>
  <mergeCells count="13">
    <mergeCell ref="A3:Q3"/>
    <mergeCell ref="K7:K8"/>
    <mergeCell ref="L7:L8"/>
    <mergeCell ref="O7:O8"/>
    <mergeCell ref="Q7:Q8"/>
    <mergeCell ref="C7:C8"/>
    <mergeCell ref="D7:D8"/>
    <mergeCell ref="G7:G8"/>
    <mergeCell ref="I7:I8"/>
    <mergeCell ref="B7:B8"/>
    <mergeCell ref="B6:I6"/>
    <mergeCell ref="J6:Q6"/>
    <mergeCell ref="J7:J8"/>
  </mergeCells>
  <phoneticPr fontId="37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4294967292" verticalDpi="4294967292"/>
  <ignoredErrors>
    <ignoredError sqref="I10:I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57"/>
  <sheetViews>
    <sheetView workbookViewId="0">
      <pane xSplit="1" ySplit="8" topLeftCell="B9" activePane="bottomRight" state="frozen"/>
      <selection pane="topRight" activeCell="C1" sqref="C1"/>
      <selection pane="bottomLeft" activeCell="A8" sqref="A8"/>
      <selection pane="bottomRight" activeCell="A3" sqref="A3:O3"/>
    </sheetView>
  </sheetViews>
  <sheetFormatPr baseColWidth="10" defaultColWidth="10.83203125" defaultRowHeight="12" x14ac:dyDescent="0"/>
  <cols>
    <col min="1" max="8" width="12.5" style="3" customWidth="1"/>
    <col min="9" max="9" width="12.5" style="2" customWidth="1"/>
    <col min="10" max="14" width="12.5" style="3" customWidth="1"/>
    <col min="15" max="15" width="12.5" style="4" customWidth="1"/>
    <col min="16" max="16384" width="10.83203125" style="3"/>
  </cols>
  <sheetData>
    <row r="2" spans="1:18" ht="13" customHeight="1" thickBot="1">
      <c r="A2" s="1"/>
    </row>
    <row r="3" spans="1:18" s="5" customFormat="1" ht="20" customHeight="1" thickTop="1">
      <c r="A3" s="449" t="s">
        <v>220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1"/>
    </row>
    <row r="4" spans="1:18">
      <c r="A4" s="7"/>
      <c r="B4" s="9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60"/>
    </row>
    <row r="5" spans="1:18">
      <c r="A5" s="7"/>
      <c r="B5" s="22" t="s">
        <v>17</v>
      </c>
      <c r="C5" s="22" t="s">
        <v>18</v>
      </c>
      <c r="D5" s="22" t="s">
        <v>19</v>
      </c>
      <c r="E5" s="25" t="s">
        <v>20</v>
      </c>
      <c r="F5" s="41" t="s">
        <v>21</v>
      </c>
      <c r="G5" s="22" t="s">
        <v>22</v>
      </c>
      <c r="H5" s="22" t="s">
        <v>23</v>
      </c>
      <c r="I5" s="41" t="s">
        <v>24</v>
      </c>
      <c r="J5" s="22" t="s">
        <v>25</v>
      </c>
      <c r="K5" s="13" t="s">
        <v>26</v>
      </c>
      <c r="L5" s="22" t="s">
        <v>27</v>
      </c>
      <c r="M5" s="22" t="s">
        <v>28</v>
      </c>
      <c r="N5" s="22" t="s">
        <v>29</v>
      </c>
      <c r="O5" s="61" t="s">
        <v>30</v>
      </c>
    </row>
    <row r="6" spans="1:18" ht="32" customHeight="1" thickBot="1">
      <c r="A6" s="7"/>
      <c r="B6" s="517" t="s">
        <v>207</v>
      </c>
      <c r="C6" s="517"/>
      <c r="D6" s="517"/>
      <c r="E6" s="517"/>
      <c r="F6" s="517"/>
      <c r="G6" s="518"/>
      <c r="H6" s="517" t="s">
        <v>68</v>
      </c>
      <c r="I6" s="517"/>
      <c r="J6" s="517"/>
      <c r="K6" s="517"/>
      <c r="L6" s="517"/>
      <c r="M6" s="517"/>
      <c r="N6" s="521" t="s">
        <v>73</v>
      </c>
      <c r="O6" s="519" t="s">
        <v>72</v>
      </c>
    </row>
    <row r="7" spans="1:18" ht="25" customHeight="1">
      <c r="A7" s="7"/>
      <c r="B7" s="515" t="s">
        <v>32</v>
      </c>
      <c r="C7" s="515" t="s">
        <v>33</v>
      </c>
      <c r="D7" s="50"/>
      <c r="E7" s="50"/>
      <c r="F7" s="515" t="s">
        <v>34</v>
      </c>
      <c r="G7" s="56"/>
      <c r="H7" s="515" t="s">
        <v>32</v>
      </c>
      <c r="I7" s="515" t="s">
        <v>33</v>
      </c>
      <c r="J7" s="50"/>
      <c r="K7" s="50"/>
      <c r="L7" s="515" t="s">
        <v>34</v>
      </c>
      <c r="M7" s="49"/>
      <c r="N7" s="522"/>
      <c r="O7" s="520"/>
    </row>
    <row r="8" spans="1:18" ht="61" customHeight="1" thickBot="1">
      <c r="A8" s="14"/>
      <c r="B8" s="516"/>
      <c r="C8" s="516"/>
      <c r="D8" s="53" t="s">
        <v>66</v>
      </c>
      <c r="E8" s="53" t="s">
        <v>67</v>
      </c>
      <c r="F8" s="516"/>
      <c r="G8" s="57" t="s">
        <v>49</v>
      </c>
      <c r="H8" s="516"/>
      <c r="I8" s="516"/>
      <c r="J8" s="53" t="s">
        <v>66</v>
      </c>
      <c r="K8" s="53" t="s">
        <v>67</v>
      </c>
      <c r="L8" s="516"/>
      <c r="M8" s="57" t="s">
        <v>49</v>
      </c>
      <c r="N8" s="504"/>
      <c r="O8" s="506"/>
    </row>
    <row r="9" spans="1:18" ht="13" customHeight="1">
      <c r="A9" s="325">
        <v>1914</v>
      </c>
      <c r="B9" s="51">
        <f>'Table T5'!C9/('Table T5'!B9-'Table T5'!I9)</f>
        <v>0.98844478120856227</v>
      </c>
      <c r="C9" s="51">
        <f>'Table T5'!D9/('Table T5'!B9-'Table T5'!I9)</f>
        <v>1.8942981625307825E-4</v>
      </c>
      <c r="D9" s="54"/>
      <c r="E9" s="54"/>
      <c r="F9" s="51">
        <f>'Table T5'!G9/('Table T5'!B9-'Table T5'!I9)</f>
        <v>1.1365788975184693E-2</v>
      </c>
      <c r="G9" s="58">
        <f>'Table T5'!H9/('Table T5'!B9-'Table T5'!I9)</f>
        <v>9.471490812653912E-3</v>
      </c>
      <c r="H9" s="23"/>
      <c r="I9" s="23"/>
      <c r="J9" s="32"/>
      <c r="K9" s="391"/>
      <c r="L9" s="59"/>
      <c r="M9" s="392"/>
      <c r="N9" s="23"/>
      <c r="O9" s="393"/>
      <c r="Q9" s="330">
        <f t="shared" ref="Q9:Q43" si="0">B9+C9+F9</f>
        <v>1</v>
      </c>
      <c r="R9" s="330">
        <f t="shared" ref="R9:R43" si="1">H9+I9+L9</f>
        <v>0</v>
      </c>
    </row>
    <row r="10" spans="1:18" ht="15">
      <c r="A10" s="325">
        <v>1929</v>
      </c>
      <c r="B10" s="51">
        <f>'Table T5'!C10/('Table T5'!B10-'Table T5'!I10)</f>
        <v>0.93074545807910347</v>
      </c>
      <c r="C10" s="51"/>
      <c r="D10" s="54"/>
      <c r="E10" s="54"/>
      <c r="F10" s="51">
        <f>'Table T5'!G10/('Table T5'!B10-'Table T5'!I10)</f>
        <v>6.9254541920896528E-2</v>
      </c>
      <c r="G10" s="58">
        <f>'Table T5'!H10/('Table T5'!B10-'Table T5'!I10)</f>
        <v>5.0366939578833834E-2</v>
      </c>
      <c r="H10" s="23"/>
      <c r="I10" s="23"/>
      <c r="J10" s="32"/>
      <c r="K10" s="391"/>
      <c r="L10" s="59"/>
      <c r="M10" s="392"/>
      <c r="N10" s="23"/>
      <c r="O10" s="393"/>
      <c r="Q10" s="330">
        <f t="shared" si="0"/>
        <v>1</v>
      </c>
      <c r="R10" s="330">
        <f t="shared" si="1"/>
        <v>0</v>
      </c>
    </row>
    <row r="11" spans="1:18" ht="15">
      <c r="A11" s="325">
        <v>1934</v>
      </c>
      <c r="B11" s="51">
        <f>'Table T5'!C11/('Table T5'!B11-'Table T5'!I11)</f>
        <v>0.88089395848531071</v>
      </c>
      <c r="C11" s="51"/>
      <c r="D11" s="54"/>
      <c r="E11" s="54"/>
      <c r="F11" s="51">
        <f>'Table T5'!G11/('Table T5'!B11-'Table T5'!I11)</f>
        <v>0.11910604151468929</v>
      </c>
      <c r="G11" s="58">
        <f>'Table T5'!H11/('Table T5'!B11-'Table T5'!I11)</f>
        <v>9.5828635851183758E-2</v>
      </c>
      <c r="H11" s="23"/>
      <c r="I11" s="23"/>
      <c r="J11" s="32"/>
      <c r="K11" s="391"/>
      <c r="L11" s="59"/>
      <c r="M11" s="392"/>
      <c r="N11" s="23"/>
      <c r="O11" s="393"/>
      <c r="Q11" s="330">
        <f t="shared" si="0"/>
        <v>1</v>
      </c>
      <c r="R11" s="330">
        <f t="shared" si="1"/>
        <v>0</v>
      </c>
    </row>
    <row r="12" spans="1:18" ht="15">
      <c r="A12" s="326">
        <v>1937</v>
      </c>
      <c r="B12" s="375">
        <f>'Table T5'!C12/('Table T5'!B12-'Table T5'!I12)</f>
        <v>0.82955158327720702</v>
      </c>
      <c r="C12" s="375">
        <f>'Table T5'!D12/('Table T5'!B12-'Table T5'!I12)</f>
        <v>1.2778728268807465E-2</v>
      </c>
      <c r="D12" s="396"/>
      <c r="E12" s="396">
        <f>'Table T5'!F12/('Table T5'!B12-'Table T5'!I12)</f>
        <v>1.1287188499144559E-2</v>
      </c>
      <c r="F12" s="375">
        <f>'Table T5'!G12/('Table T5'!B12-'Table T5'!I12)</f>
        <v>0.15766968845398549</v>
      </c>
      <c r="G12" s="397">
        <f>'Table T5'!H12/('Table T5'!B12-'Table T5'!I12)</f>
        <v>0.14248255066293858</v>
      </c>
      <c r="H12" s="347"/>
      <c r="I12" s="347"/>
      <c r="J12" s="250"/>
      <c r="K12" s="401"/>
      <c r="L12" s="398"/>
      <c r="M12" s="402"/>
      <c r="N12" s="347"/>
      <c r="O12" s="403"/>
      <c r="Q12" s="330">
        <f t="shared" si="0"/>
        <v>1</v>
      </c>
      <c r="R12" s="330">
        <f t="shared" si="1"/>
        <v>0</v>
      </c>
    </row>
    <row r="13" spans="1:18" ht="15">
      <c r="A13" s="325">
        <v>1941</v>
      </c>
      <c r="B13" s="51">
        <f>'Table T5'!C13/('Table T5'!B13-'Table T5'!I13)</f>
        <v>0.74618685207804814</v>
      </c>
      <c r="C13" s="51">
        <f>'Table T5'!D13/('Table T5'!B13-'Table T5'!I13)</f>
        <v>7.4133233110964952E-2</v>
      </c>
      <c r="D13" s="54"/>
      <c r="E13" s="54">
        <f>'Table T5'!F13/('Table T5'!B13-'Table T5'!I13)</f>
        <v>1.7288358545522881E-2</v>
      </c>
      <c r="F13" s="51">
        <f>'Table T5'!G13/('Table T5'!B13-'Table T5'!I13)</f>
        <v>0.17967991481098691</v>
      </c>
      <c r="G13" s="58">
        <f>'Table T5'!H13/('Table T5'!B13-'Table T5'!I13)</f>
        <v>0.15002035766857716</v>
      </c>
      <c r="H13" s="51">
        <f>'Table T5'!K13/('Table T5'!J13-'Table T5'!Q13)</f>
        <v>0.72745470410101121</v>
      </c>
      <c r="I13" s="59">
        <f>'Table T5'!L13/('Table T5'!J13-'Table T5'!Q13)</f>
        <v>7.755479135656726E-2</v>
      </c>
      <c r="J13" s="31"/>
      <c r="K13" s="54">
        <f>'Table T5'!N13/('Table T5'!J13-'Table T5'!Q13)</f>
        <v>1.8323666786429198E-2</v>
      </c>
      <c r="L13" s="51">
        <f>'Table T5'!O13/('Table T5'!J13-'Table T5'!Q13)</f>
        <v>0.19499050454242159</v>
      </c>
      <c r="M13" s="394">
        <f>'Table T5'!P13/('Table T5'!J13-'Table T5'!Q13)</f>
        <v>0.15510958271313452</v>
      </c>
      <c r="N13" s="51"/>
      <c r="O13" s="290">
        <f>L13*'Table T4'!S15</f>
        <v>9.7120096687598797E-3</v>
      </c>
      <c r="Q13" s="330">
        <f t="shared" si="0"/>
        <v>1</v>
      </c>
      <c r="R13" s="330">
        <f t="shared" si="1"/>
        <v>1</v>
      </c>
    </row>
    <row r="14" spans="1:18" ht="15">
      <c r="A14" s="328">
        <v>1974</v>
      </c>
      <c r="B14" s="51"/>
      <c r="C14" s="51"/>
      <c r="D14" s="54"/>
      <c r="E14" s="54"/>
      <c r="F14" s="51"/>
      <c r="G14" s="58"/>
      <c r="H14" s="51">
        <f>'Table T5'!K14/('Table T5'!J14-'Table T5'!Q14)</f>
        <v>0.56152162935532735</v>
      </c>
      <c r="I14" s="59">
        <f>'Table T5'!L14/('Table T5'!J14-'Table T5'!Q14)</f>
        <v>4.7803400100993099E-2</v>
      </c>
      <c r="J14" s="54">
        <f>'Table T5'!M14/('Table T5'!J14-'Table T5'!Q14)</f>
        <v>2.1797677158727487E-2</v>
      </c>
      <c r="K14" s="54"/>
      <c r="L14" s="51">
        <f>'Table T5'!O14/('Table T5'!J14-'Table T5'!Q14)</f>
        <v>0.39067497054367956</v>
      </c>
      <c r="M14" s="394">
        <f>'Table T5'!P14/('Table T5'!J14-'Table T5'!Q14)</f>
        <v>0.29590977949840097</v>
      </c>
      <c r="N14" s="51"/>
      <c r="O14" s="290">
        <f>L14*'Table T4'!S45</f>
        <v>1.8021701525096589E-2</v>
      </c>
      <c r="Q14" s="330">
        <f t="shared" si="0"/>
        <v>0</v>
      </c>
      <c r="R14" s="330">
        <f t="shared" si="1"/>
        <v>1</v>
      </c>
    </row>
    <row r="15" spans="1:18" ht="15">
      <c r="A15" s="327">
        <v>1978</v>
      </c>
      <c r="B15" s="375">
        <f>'Table T5'!C15/('Table T5'!B15-'Table T5'!I15)</f>
        <v>0.56157028336262704</v>
      </c>
      <c r="C15" s="375">
        <f>'Table T5'!D15/('Table T5'!B15-'Table T5'!I15)</f>
        <v>0.23994727140223776</v>
      </c>
      <c r="D15" s="396">
        <f>'Table T5'!E15/('Table T5'!B15-'Table T5'!I15)</f>
        <v>0.20686329146482618</v>
      </c>
      <c r="E15" s="396">
        <f>'Table T5'!F15/('Table T5'!B15-'Table T5'!I15)</f>
        <v>5.3585973335619673E-5</v>
      </c>
      <c r="F15" s="375">
        <f>'Table T5'!G15/('Table T5'!B15-'Table T5'!I15)</f>
        <v>0.19848244523513525</v>
      </c>
      <c r="G15" s="400">
        <f>'Table T5'!H15/('Table T5'!B15-'Table T5'!I15)</f>
        <v>0.14377116645946758</v>
      </c>
      <c r="H15" s="375">
        <f>'Table T5'!K15/('Table T5'!J15-'Table T5'!Q15)</f>
        <v>0.49950527357318791</v>
      </c>
      <c r="I15" s="398">
        <f>'Table T5'!L15/('Table T5'!J15-'Table T5'!Q15)</f>
        <v>0.15801772594261174</v>
      </c>
      <c r="J15" s="396">
        <f>'Table T5'!M15/('Table T5'!J15-'Table T5'!Q15)</f>
        <v>0.12660786088713921</v>
      </c>
      <c r="K15" s="396">
        <f>'Table T5'!N15/('Table T5'!J15-'Table T5'!Q15)</f>
        <v>1.0526094187490789E-4</v>
      </c>
      <c r="L15" s="375">
        <f>'Table T5'!O15/('Table T5'!J15-'Table T5'!Q15)</f>
        <v>0.34247700048420032</v>
      </c>
      <c r="M15" s="399">
        <f>'Table T5'!P15/('Table T5'!J15-'Table T5'!Q15)</f>
        <v>0.25799456853539926</v>
      </c>
      <c r="N15" s="375">
        <f>'Table T5'!G15/('Table T4'!F49-'Table T4'!I49)</f>
        <v>0.39035768736255622</v>
      </c>
      <c r="O15" s="320">
        <f>L15*'Table T4'!S49</f>
        <v>1.7836320307830212E-2</v>
      </c>
      <c r="Q15" s="330">
        <f t="shared" si="0"/>
        <v>1</v>
      </c>
      <c r="R15" s="330">
        <f t="shared" si="1"/>
        <v>1</v>
      </c>
    </row>
    <row r="16" spans="1:18" ht="15">
      <c r="A16" s="325">
        <v>1984</v>
      </c>
      <c r="B16" s="51">
        <f>'Table T5'!C16/('Table T5'!B16-'Table T5'!I16)</f>
        <v>0.57763230282713063</v>
      </c>
      <c r="C16" s="51">
        <f>'Table T5'!D16/('Table T5'!B16-'Table T5'!I16)</f>
        <v>0.23612853688172597</v>
      </c>
      <c r="D16" s="54">
        <f>'Table T5'!E16/('Table T5'!B16-'Table T5'!I16)</f>
        <v>0.17662937002046239</v>
      </c>
      <c r="E16" s="54">
        <f>'Table T5'!F16/('Table T5'!B16-'Table T5'!I16)</f>
        <v>5.5410652302114714E-5</v>
      </c>
      <c r="F16" s="51">
        <f>'Table T5'!G16/('Table T5'!B16-'Table T5'!I16)</f>
        <v>0.1862391602911434</v>
      </c>
      <c r="G16" s="58">
        <f>'Table T5'!H16/('Table T5'!B16-'Table T5'!I16)</f>
        <v>8.8696622720742191E-2</v>
      </c>
      <c r="H16" s="51">
        <f>'Table T5'!K16/('Table T5'!J16-'Table T5'!Q16)</f>
        <v>0.60592631466417879</v>
      </c>
      <c r="I16" s="59">
        <f>'Table T5'!L16/('Table T5'!J16-'Table T5'!Q16)</f>
        <v>0.1193232067018475</v>
      </c>
      <c r="J16" s="54">
        <f>'Table T5'!M16/('Table T5'!J16-'Table T5'!Q16)</f>
        <v>9.0517702168187608E-2</v>
      </c>
      <c r="K16" s="54">
        <f>'Table T5'!N16/('Table T5'!J16-'Table T5'!Q16)</f>
        <v>1.2633993216517488E-4</v>
      </c>
      <c r="L16" s="51">
        <f>'Table T5'!O16/('Table T5'!J16-'Table T5'!Q16)</f>
        <v>0.27475047863397384</v>
      </c>
      <c r="M16" s="394">
        <f>'Table T5'!P16/('Table T5'!J16-'Table T5'!Q16)</f>
        <v>0.16885817856691646</v>
      </c>
      <c r="N16" s="51">
        <f>'Table T5'!G16/('Table T4'!F55-'Table T4'!I55)</f>
        <v>0.29146690452298646</v>
      </c>
      <c r="O16" s="290">
        <f>L16*'Table T4'!S55</f>
        <v>1.5464575021850654E-2</v>
      </c>
      <c r="Q16" s="330">
        <f t="shared" si="0"/>
        <v>1</v>
      </c>
      <c r="R16" s="330">
        <f t="shared" si="1"/>
        <v>1</v>
      </c>
    </row>
    <row r="17" spans="1:18" ht="15">
      <c r="A17" s="325">
        <v>1985</v>
      </c>
      <c r="B17" s="51">
        <f>'Table T5'!C17/('Table T5'!B17-'Table T5'!I17)</f>
        <v>0.6314276822321151</v>
      </c>
      <c r="C17" s="51">
        <f>'Table T5'!D17/('Table T5'!B17-'Table T5'!I17)</f>
        <v>0.17320812416275388</v>
      </c>
      <c r="D17" s="54">
        <f>'Table T5'!E17/('Table T5'!B17-'Table T5'!I17)</f>
        <v>0.12243075382596107</v>
      </c>
      <c r="E17" s="54">
        <f>'Table T5'!F17/('Table T5'!B17-'Table T5'!I17)</f>
        <v>8.1999377562480547E-4</v>
      </c>
      <c r="F17" s="51">
        <f>'Table T5'!G17/('Table T5'!B17-'Table T5'!I17)</f>
        <v>0.19536419360513105</v>
      </c>
      <c r="G17" s="58">
        <f>'Table T5'!H17/('Table T5'!B17-'Table T5'!I17)</f>
        <v>8.3604183862630757E-2</v>
      </c>
      <c r="H17" s="51">
        <f>'Table T5'!K17/('Table T5'!J17-'Table T5'!Q17)</f>
        <v>0.61127609591773413</v>
      </c>
      <c r="I17" s="59">
        <f>'Table T5'!L17/('Table T5'!J17-'Table T5'!Q17)</f>
        <v>0.11978635698772219</v>
      </c>
      <c r="J17" s="54">
        <f>'Table T5'!M17/('Table T5'!J17-'Table T5'!Q17)</f>
        <v>9.0066929657373354E-2</v>
      </c>
      <c r="K17" s="54">
        <f>'Table T5'!N17/('Table T5'!J17-'Table T5'!Q17)</f>
        <v>1.403602086195943E-4</v>
      </c>
      <c r="L17" s="51">
        <f>'Table T5'!O17/('Table T5'!J17-'Table T5'!Q17)</f>
        <v>0.26893754709454371</v>
      </c>
      <c r="M17" s="394">
        <f>'Table T5'!P17/('Table T5'!J17-'Table T5'!Q17)</f>
        <v>0.15538613832129192</v>
      </c>
      <c r="N17" s="51">
        <f>'Table T5'!G17/('Table T4'!F56-'Table T4'!I56)</f>
        <v>0.26247186762604569</v>
      </c>
      <c r="O17" s="290">
        <f>L17*'Table T4'!S56</f>
        <v>1.5990488402774863E-2</v>
      </c>
      <c r="Q17" s="330">
        <f t="shared" si="0"/>
        <v>1</v>
      </c>
      <c r="R17" s="330">
        <f t="shared" si="1"/>
        <v>1</v>
      </c>
    </row>
    <row r="18" spans="1:18" ht="15">
      <c r="A18" s="325">
        <v>1986</v>
      </c>
      <c r="B18" s="51">
        <f>'Table T5'!C18/('Table T5'!B18-'Table T5'!I18)</f>
        <v>0.65953645530858984</v>
      </c>
      <c r="C18" s="51">
        <f>'Table T5'!D18/('Table T5'!B18-'Table T5'!I18)</f>
        <v>0.1440071801911198</v>
      </c>
      <c r="D18" s="54">
        <f>'Table T5'!E18/('Table T5'!B18-'Table T5'!I18)</f>
        <v>9.4106963729475732E-2</v>
      </c>
      <c r="E18" s="54">
        <f>'Table T5'!F18/('Table T5'!B18-'Table T5'!I18)</f>
        <v>8.8485296446861293E-4</v>
      </c>
      <c r="F18" s="51">
        <f>'Table T5'!G18/('Table T5'!B18-'Table T5'!I18)</f>
        <v>0.19645636450029036</v>
      </c>
      <c r="G18" s="58">
        <f>'Table T5'!H18/('Table T5'!B18-'Table T5'!I18)</f>
        <v>8.0352674093236889E-2</v>
      </c>
      <c r="H18" s="51">
        <f>'Table T5'!K18/('Table T5'!J18-'Table T5'!Q18)</f>
        <v>0.62033522536012342</v>
      </c>
      <c r="I18" s="59">
        <f>'Table T5'!L18/('Table T5'!J18-'Table T5'!Q18)</f>
        <v>0.11913384638599667</v>
      </c>
      <c r="J18" s="54">
        <f>'Table T5'!M18/('Table T5'!J18-'Table T5'!Q18)</f>
        <v>8.6789474295132951E-2</v>
      </c>
      <c r="K18" s="54">
        <f>'Table T5'!N18/('Table T5'!J18-'Table T5'!Q18)</f>
        <v>2.3215052640131858E-5</v>
      </c>
      <c r="L18" s="51">
        <f>'Table T5'!O18/('Table T5'!J18-'Table T5'!Q18)</f>
        <v>0.2605309282538798</v>
      </c>
      <c r="M18" s="394">
        <f>'Table T5'!P18/('Table T5'!J18-'Table T5'!Q18)</f>
        <v>0.14212255226288723</v>
      </c>
      <c r="N18" s="51">
        <f>'Table T5'!G18/('Table T4'!F57-'Table T4'!I57)</f>
        <v>0.24236826678824985</v>
      </c>
      <c r="O18" s="290">
        <f>L18*'Table T4'!S57</f>
        <v>1.7369460004152435E-2</v>
      </c>
      <c r="Q18" s="330">
        <f t="shared" si="0"/>
        <v>1</v>
      </c>
      <c r="R18" s="330">
        <f t="shared" si="1"/>
        <v>0.99999999999999989</v>
      </c>
    </row>
    <row r="19" spans="1:18" ht="15">
      <c r="A19" s="325">
        <v>1987</v>
      </c>
      <c r="B19" s="51">
        <f>'Table T5'!C19/('Table T5'!B19-'Table T5'!I19)</f>
        <v>0.6758922286920912</v>
      </c>
      <c r="C19" s="51">
        <f>'Table T5'!D19/('Table T5'!B19-'Table T5'!I19)</f>
        <v>0.14537608779114408</v>
      </c>
      <c r="D19" s="54">
        <f>'Table T5'!E19/('Table T5'!B19-'Table T5'!I19)</f>
        <v>7.5401522907601742E-2</v>
      </c>
      <c r="E19" s="54">
        <f>'Table T5'!F19/('Table T5'!B19-'Table T5'!I19)</f>
        <v>6.1388213463015105E-4</v>
      </c>
      <c r="F19" s="51">
        <f>'Table T5'!G19/('Table T5'!B19-'Table T5'!I19)</f>
        <v>0.17873168351676477</v>
      </c>
      <c r="G19" s="58">
        <f>'Table T5'!H19/('Table T5'!B19-'Table T5'!I19)</f>
        <v>7.3141956744305098E-2</v>
      </c>
      <c r="H19" s="51">
        <f>'Table T5'!K19/('Table T5'!J19-'Table T5'!Q19)</f>
        <v>0.64685840588695109</v>
      </c>
      <c r="I19" s="59">
        <f>'Table T5'!L19/('Table T5'!J19-'Table T5'!Q19)</f>
        <v>0.11019704035149194</v>
      </c>
      <c r="J19" s="54">
        <f>'Table T5'!M19/('Table T5'!J19-'Table T5'!Q19)</f>
        <v>7.5781018356289934E-2</v>
      </c>
      <c r="K19" s="54">
        <f>'Table T5'!N19/('Table T5'!J19-'Table T5'!Q19)</f>
        <v>4.3127847111781989E-5</v>
      </c>
      <c r="L19" s="51">
        <f>'Table T5'!O19/('Table T5'!J19-'Table T5'!Q19)</f>
        <v>0.24294455376155691</v>
      </c>
      <c r="M19" s="394">
        <f>'Table T5'!P19/('Table T5'!J19-'Table T5'!Q19)</f>
        <v>0.12068249818054394</v>
      </c>
      <c r="N19" s="51">
        <f>'Table T5'!G19/('Table T4'!F58-'Table T4'!I58)</f>
        <v>0.21799030319584814</v>
      </c>
      <c r="O19" s="290">
        <f>L19*'Table T4'!S58</f>
        <v>1.774874989676882E-2</v>
      </c>
      <c r="Q19" s="330">
        <f t="shared" si="0"/>
        <v>1</v>
      </c>
      <c r="R19" s="330">
        <f t="shared" si="1"/>
        <v>0.99999999999999989</v>
      </c>
    </row>
    <row r="20" spans="1:18" ht="15">
      <c r="A20" s="325">
        <v>1988</v>
      </c>
      <c r="B20" s="51">
        <f>'Table T5'!C20/('Table T5'!B20-'Table T5'!I20)</f>
        <v>0.69681575419707642</v>
      </c>
      <c r="C20" s="51">
        <f>'Table T5'!D20/('Table T5'!B20-'Table T5'!I20)</f>
        <v>0.13803895284096149</v>
      </c>
      <c r="D20" s="54">
        <f>'Table T5'!E20/('Table T5'!B20-'Table T5'!I20)</f>
        <v>6.7231241710463796E-2</v>
      </c>
      <c r="E20" s="54">
        <f>'Table T5'!F20/('Table T5'!B20-'Table T5'!I20)</f>
        <v>6.8621401366044646E-4</v>
      </c>
      <c r="F20" s="51">
        <f>'Table T5'!G20/('Table T5'!B20-'Table T5'!I20)</f>
        <v>0.16514529296196212</v>
      </c>
      <c r="G20" s="58">
        <f>'Table T5'!H20/('Table T5'!B20-'Table T5'!I20)</f>
        <v>5.9704165514110834E-2</v>
      </c>
      <c r="H20" s="51">
        <f>'Table T5'!K20/('Table T5'!J20-'Table T5'!Q20)</f>
        <v>0.66946895085412639</v>
      </c>
      <c r="I20" s="59">
        <f>'Table T5'!L20/('Table T5'!J20-'Table T5'!Q20)</f>
        <v>0.10062318238471125</v>
      </c>
      <c r="J20" s="54">
        <f>'Table T5'!M20/('Table T5'!J20-'Table T5'!Q20)</f>
        <v>6.4718101615386492E-2</v>
      </c>
      <c r="K20" s="54">
        <f>'Table T5'!N20/('Table T5'!J20-'Table T5'!Q20)</f>
        <v>1.3685573938757058E-4</v>
      </c>
      <c r="L20" s="51">
        <f>'Table T5'!O20/('Table T5'!J20-'Table T5'!Q20)</f>
        <v>0.22990786676116229</v>
      </c>
      <c r="M20" s="394">
        <f>'Table T5'!P20/('Table T5'!J20-'Table T5'!Q20)</f>
        <v>0.1069527603313864</v>
      </c>
      <c r="N20" s="51">
        <f>'Table T5'!G20/('Table T4'!F59-'Table T4'!I59)</f>
        <v>0.19231134549389012</v>
      </c>
      <c r="O20" s="290">
        <f>L20*'Table T4'!S59</f>
        <v>1.7218781352731798E-2</v>
      </c>
      <c r="Q20" s="330">
        <f t="shared" si="0"/>
        <v>1</v>
      </c>
      <c r="R20" s="330">
        <f t="shared" si="1"/>
        <v>0.99999999999999989</v>
      </c>
    </row>
    <row r="21" spans="1:18" ht="15">
      <c r="A21" s="326">
        <v>1989</v>
      </c>
      <c r="B21" s="375">
        <f>'Table T5'!C21/('Table T5'!B21-'Table T5'!I21)</f>
        <v>0.69058822528356156</v>
      </c>
      <c r="C21" s="375">
        <f>'Table T5'!D21/('Table T5'!B21-'Table T5'!I21)</f>
        <v>0.14314502976722288</v>
      </c>
      <c r="D21" s="396">
        <f>'Table T5'!E21/('Table T5'!B21-'Table T5'!I21)</f>
        <v>7.7105474389410303E-2</v>
      </c>
      <c r="E21" s="396">
        <f>'Table T5'!F21/('Table T5'!B21-'Table T5'!I21)</f>
        <v>3.0348669338484103E-4</v>
      </c>
      <c r="F21" s="375">
        <f>'Table T5'!G21/('Table T5'!B21-'Table T5'!I21)</f>
        <v>0.16626674494921564</v>
      </c>
      <c r="G21" s="397">
        <f>'Table T5'!H21/('Table T5'!B21-'Table T5'!I21)</f>
        <v>4.9489603453508398E-2</v>
      </c>
      <c r="H21" s="375">
        <f>'Table T5'!K21/('Table T5'!J21-'Table T5'!Q21)</f>
        <v>0.66878454465623227</v>
      </c>
      <c r="I21" s="398">
        <f>'Table T5'!L21/('Table T5'!J21-'Table T5'!Q21)</f>
        <v>0.1117420468884904</v>
      </c>
      <c r="J21" s="396">
        <f>'Table T5'!M21/('Table T5'!J21-'Table T5'!Q21)</f>
        <v>7.6350608428711636E-2</v>
      </c>
      <c r="K21" s="396">
        <f>'Table T5'!N21/('Table T5'!J21-'Table T5'!Q21)</f>
        <v>1.7341509670658903E-4</v>
      </c>
      <c r="L21" s="375">
        <f>'Table T5'!O21/('Table T5'!J21-'Table T5'!Q21)</f>
        <v>0.21947340845527732</v>
      </c>
      <c r="M21" s="399">
        <f>'Table T5'!P21/('Table T5'!J21-'Table T5'!Q21)</f>
        <v>8.5951163357021104E-2</v>
      </c>
      <c r="N21" s="375">
        <f>'Table T5'!G21/('Table T4'!F60-'Table T4'!I60)</f>
        <v>0.18768349571136309</v>
      </c>
      <c r="O21" s="320">
        <f>L21*'Table T4'!S60</f>
        <v>1.7264179007297698E-2</v>
      </c>
      <c r="Q21" s="330">
        <f t="shared" si="0"/>
        <v>1</v>
      </c>
      <c r="R21" s="330">
        <f t="shared" si="1"/>
        <v>1</v>
      </c>
    </row>
    <row r="22" spans="1:18" ht="15">
      <c r="A22" s="325">
        <v>1990</v>
      </c>
      <c r="B22" s="51">
        <f>'Table T5'!C22/('Table T5'!B22-'Table T5'!I22)</f>
        <v>0.66375395345065291</v>
      </c>
      <c r="C22" s="51">
        <f>'Table T5'!D22/('Table T5'!B22-'Table T5'!I22)</f>
        <v>0.14352474020181424</v>
      </c>
      <c r="D22" s="54">
        <f>'Table T5'!E22/('Table T5'!B22-'Table T5'!I22)</f>
        <v>7.0251225135257264E-2</v>
      </c>
      <c r="E22" s="54">
        <f>'Table T5'!F22/('Table T5'!B22-'Table T5'!I22)</f>
        <v>9.1233476603681785E-4</v>
      </c>
      <c r="F22" s="51">
        <f>'Table T5'!G22/('Table T5'!B22-'Table T5'!I22)</f>
        <v>0.19272130634753293</v>
      </c>
      <c r="G22" s="58">
        <f>'Table T5'!H22/('Table T5'!B22-'Table T5'!I22)</f>
        <v>4.9222632853319744E-2</v>
      </c>
      <c r="H22" s="51">
        <f>'Table T5'!K22/('Table T5'!J22-'Table T5'!Q22)</f>
        <v>0.67130607269045595</v>
      </c>
      <c r="I22" s="59">
        <f>'Table T5'!L22/('Table T5'!J22-'Table T5'!Q22)</f>
        <v>0.10373370250222121</v>
      </c>
      <c r="J22" s="54">
        <f>'Table T5'!M22/('Table T5'!J22-'Table T5'!Q22)</f>
        <v>6.7805855734859602E-2</v>
      </c>
      <c r="K22" s="54">
        <f>'Table T5'!N22/('Table T5'!J22-'Table T5'!Q22)</f>
        <v>2.8100915345992519E-4</v>
      </c>
      <c r="L22" s="51">
        <f>'Table T5'!O22/('Table T5'!J22-'Table T5'!Q22)</f>
        <v>0.22496022480732275</v>
      </c>
      <c r="M22" s="394">
        <f>'Table T5'!P22/('Table T5'!J22-'Table T5'!Q22)</f>
        <v>8.6637601504225462E-2</v>
      </c>
      <c r="N22" s="51">
        <f>'Table T5'!G22/('Table T4'!F61-'Table T4'!I61)</f>
        <v>0.22587226126849369</v>
      </c>
      <c r="O22" s="290">
        <f>L22*'Table T4'!S61</f>
        <v>1.825052255291516E-2</v>
      </c>
      <c r="Q22" s="330">
        <f t="shared" si="0"/>
        <v>1</v>
      </c>
      <c r="R22" s="330">
        <f t="shared" si="1"/>
        <v>1</v>
      </c>
    </row>
    <row r="23" spans="1:18" ht="15">
      <c r="A23" s="325">
        <v>1991</v>
      </c>
      <c r="B23" s="51">
        <f>'Table T5'!C23/('Table T5'!B23-'Table T5'!I23)</f>
        <v>0.63884216113403303</v>
      </c>
      <c r="C23" s="51">
        <f>'Table T5'!D23/('Table T5'!B23-'Table T5'!I23)</f>
        <v>0.14573553399803479</v>
      </c>
      <c r="D23" s="54">
        <f>'Table T5'!E23/('Table T5'!B23-'Table T5'!I23)</f>
        <v>5.8172512258191464E-2</v>
      </c>
      <c r="E23" s="54">
        <f>'Table T5'!F23/('Table T5'!B23-'Table T5'!I23)</f>
        <v>1.1077008284679113E-3</v>
      </c>
      <c r="F23" s="51">
        <f>'Table T5'!G23/('Table T5'!B23-'Table T5'!I23)</f>
        <v>0.21542230486793218</v>
      </c>
      <c r="G23" s="58">
        <f>'Table T5'!H23/('Table T5'!B23-'Table T5'!I23)</f>
        <v>5.5250222572562298E-2</v>
      </c>
      <c r="H23" s="51">
        <f>'Table T5'!K23/('Table T5'!J23-'Table T5'!Q23)</f>
        <v>0.65799414589327887</v>
      </c>
      <c r="I23" s="59">
        <f>'Table T5'!L23/('Table T5'!J23-'Table T5'!Q23)</f>
        <v>9.9945059549860771E-2</v>
      </c>
      <c r="J23" s="54">
        <f>'Table T5'!M23/('Table T5'!J23-'Table T5'!Q23)</f>
        <v>6.2092020598012831E-2</v>
      </c>
      <c r="K23" s="54">
        <f>'Table T5'!N23/('Table T5'!J23-'Table T5'!Q23)</f>
        <v>3.7558160829631831E-4</v>
      </c>
      <c r="L23" s="51">
        <f>'Table T5'!O23/('Table T5'!J23-'Table T5'!Q23)</f>
        <v>0.24206079455686022</v>
      </c>
      <c r="M23" s="394">
        <f>'Table T5'!P23/('Table T5'!J23-'Table T5'!Q23)</f>
        <v>8.8112686898409828E-2</v>
      </c>
      <c r="N23" s="51">
        <f>'Table T5'!G23/('Table T4'!F62-'Table T4'!I62)</f>
        <v>0.24479900624547121</v>
      </c>
      <c r="O23" s="290">
        <f>L23*'Table T4'!S62</f>
        <v>1.9699605595333899E-2</v>
      </c>
      <c r="Q23" s="330">
        <f t="shared" si="0"/>
        <v>1</v>
      </c>
      <c r="R23" s="330">
        <f t="shared" si="1"/>
        <v>0.99999999999999989</v>
      </c>
    </row>
    <row r="24" spans="1:18" ht="15">
      <c r="A24" s="325">
        <v>1992</v>
      </c>
      <c r="B24" s="51">
        <f>'Table T5'!C24/('Table T5'!B24-'Table T5'!I24)</f>
        <v>0.61206097113870828</v>
      </c>
      <c r="C24" s="51">
        <f>'Table T5'!D24/('Table T5'!B24-'Table T5'!I24)</f>
        <v>0.17125403089873292</v>
      </c>
      <c r="D24" s="54">
        <f>'Table T5'!E24/('Table T5'!B24-'Table T5'!I24)</f>
        <v>6.1761143782058478E-2</v>
      </c>
      <c r="E24" s="54">
        <f>'Table T5'!F24/('Table T5'!B24-'Table T5'!I24)</f>
        <v>6.2156146318928223E-3</v>
      </c>
      <c r="F24" s="51">
        <f>'Table T5'!G24/('Table T5'!B24-'Table T5'!I24)</f>
        <v>0.21668499796255875</v>
      </c>
      <c r="G24" s="58">
        <f>'Table T5'!H24/('Table T5'!B24-'Table T5'!I24)</f>
        <v>5.6349155001038577E-2</v>
      </c>
      <c r="H24" s="51">
        <f>'Table T5'!K24/('Table T5'!J24-'Table T5'!Q24)</f>
        <v>0.6389273403360205</v>
      </c>
      <c r="I24" s="59">
        <f>'Table T5'!L24/('Table T5'!J24-'Table T5'!Q24)</f>
        <v>0.10283877232822759</v>
      </c>
      <c r="J24" s="54">
        <f>'Table T5'!M24/('Table T5'!J24-'Table T5'!Q24)</f>
        <v>6.0674875673654274E-2</v>
      </c>
      <c r="K24" s="54">
        <f>'Table T5'!N24/('Table T5'!J24-'Table T5'!Q24)</f>
        <v>5.0363856242856329E-4</v>
      </c>
      <c r="L24" s="51">
        <f>'Table T5'!O24/('Table T5'!J24-'Table T5'!Q24)</f>
        <v>0.25823388733575198</v>
      </c>
      <c r="M24" s="394">
        <f>'Table T5'!P24/('Table T5'!J24-'Table T5'!Q24)</f>
        <v>9.5082135306872706E-2</v>
      </c>
      <c r="N24" s="51">
        <f>'Table T5'!G24/('Table T4'!F63-'Table T4'!I63)</f>
        <v>0.2422939750472782</v>
      </c>
      <c r="O24" s="290">
        <f>L24*'Table T4'!S63</f>
        <v>1.9833571159614208E-2</v>
      </c>
      <c r="Q24" s="330">
        <f t="shared" si="0"/>
        <v>1</v>
      </c>
      <c r="R24" s="330">
        <f t="shared" si="1"/>
        <v>1</v>
      </c>
    </row>
    <row r="25" spans="1:18" ht="15">
      <c r="A25" s="325">
        <v>1993</v>
      </c>
      <c r="B25" s="51">
        <f>'Table T5'!C25/('Table T5'!B25-'Table T5'!I25)</f>
        <v>0.59557431460889576</v>
      </c>
      <c r="C25" s="51">
        <f>'Table T5'!D25/('Table T5'!B25-'Table T5'!I25)</f>
        <v>0.16176088797290389</v>
      </c>
      <c r="D25" s="54">
        <f>'Table T5'!E25/('Table T5'!B25-'Table T5'!I25)</f>
        <v>4.9410268085378323E-2</v>
      </c>
      <c r="E25" s="54">
        <f>'Table T5'!F25/('Table T5'!B25-'Table T5'!I25)</f>
        <v>6.5473622827198373E-3</v>
      </c>
      <c r="F25" s="51">
        <f>'Table T5'!G25/('Table T5'!B25-'Table T5'!I25)</f>
        <v>0.24266479741820041</v>
      </c>
      <c r="G25" s="58">
        <f>'Table T5'!H25/('Table T5'!B25-'Table T5'!I25)</f>
        <v>5.613037608640082E-2</v>
      </c>
      <c r="H25" s="51">
        <f>'Table T5'!K25/('Table T5'!J25-'Table T5'!Q25)</f>
        <v>0.6146806452124538</v>
      </c>
      <c r="I25" s="59">
        <f>'Table T5'!L25/('Table T5'!J25-'Table T5'!Q25)</f>
        <v>9.7987279734809432E-2</v>
      </c>
      <c r="J25" s="54">
        <f>'Table T5'!M25/('Table T5'!J25-'Table T5'!Q25)</f>
        <v>5.446821784115001E-2</v>
      </c>
      <c r="K25" s="54">
        <f>'Table T5'!N25/('Table T5'!J25-'Table T5'!Q25)</f>
        <v>3.9387354808693769E-4</v>
      </c>
      <c r="L25" s="51">
        <f>'Table T5'!O25/('Table T5'!J25-'Table T5'!Q25)</f>
        <v>0.28733207505273678</v>
      </c>
      <c r="M25" s="394">
        <f>'Table T5'!P25/('Table T5'!J25-'Table T5'!Q25)</f>
        <v>0.10208726546019763</v>
      </c>
      <c r="N25" s="51">
        <f>'Table T5'!G25/('Table T4'!F64-'Table T4'!I64)</f>
        <v>0.26543681155146331</v>
      </c>
      <c r="O25" s="290">
        <f>L25*'Table T4'!S64</f>
        <v>2.2072972994069462E-2</v>
      </c>
      <c r="Q25" s="330">
        <f t="shared" si="0"/>
        <v>1</v>
      </c>
      <c r="R25" s="330">
        <f t="shared" si="1"/>
        <v>1</v>
      </c>
    </row>
    <row r="26" spans="1:18" ht="15">
      <c r="A26" s="325">
        <v>1994</v>
      </c>
      <c r="B26" s="51">
        <f>'Table T5'!C26/('Table T5'!B26-'Table T5'!I26)</f>
        <v>0.60817152296128452</v>
      </c>
      <c r="C26" s="51">
        <f>'Table T5'!D26/('Table T5'!B26-'Table T5'!I26)</f>
        <v>0.15074141599744847</v>
      </c>
      <c r="D26" s="54">
        <f>'Table T5'!E26/('Table T5'!B26-'Table T5'!I26)</f>
        <v>4.2355203716838589E-2</v>
      </c>
      <c r="E26" s="54">
        <f>'Table T5'!F26/('Table T5'!B26-'Table T5'!I26)</f>
        <v>1.7309385874299643E-2</v>
      </c>
      <c r="F26" s="51">
        <f>'Table T5'!G26/('Table T5'!B26-'Table T5'!I26)</f>
        <v>0.24108706104126701</v>
      </c>
      <c r="G26" s="58">
        <f>'Table T5'!H26/('Table T5'!B26-'Table T5'!I26)</f>
        <v>5.5206096986257024E-2</v>
      </c>
      <c r="H26" s="51">
        <f>'Table T5'!K26/('Table T5'!J26-'Table T5'!Q26)</f>
        <v>0.62527849749450892</v>
      </c>
      <c r="I26" s="59">
        <f>'Table T5'!L26/('Table T5'!J26-'Table T5'!Q26)</f>
        <v>8.9440111530519645E-2</v>
      </c>
      <c r="J26" s="54">
        <f>'Table T5'!M26/('Table T5'!J26-'Table T5'!Q26)</f>
        <v>4.9423276735101863E-2</v>
      </c>
      <c r="K26" s="54">
        <f>'Table T5'!N26/('Table T5'!J26-'Table T5'!Q26)</f>
        <v>3.5510896584377836E-4</v>
      </c>
      <c r="L26" s="51">
        <f>'Table T5'!O26/('Table T5'!J26-'Table T5'!Q26)</f>
        <v>0.28528139097497135</v>
      </c>
      <c r="M26" s="394">
        <f>'Table T5'!P26/('Table T5'!J26-'Table T5'!Q26)</f>
        <v>0.10511225388975839</v>
      </c>
      <c r="N26" s="51">
        <f>'Table T5'!G26/('Table T4'!F65-'Table T4'!I65)</f>
        <v>0.27088171582916593</v>
      </c>
      <c r="O26" s="290">
        <f>L26*'Table T4'!S65</f>
        <v>2.2391337525864925E-2</v>
      </c>
      <c r="Q26" s="330">
        <f t="shared" si="0"/>
        <v>1</v>
      </c>
      <c r="R26" s="330">
        <f t="shared" si="1"/>
        <v>1</v>
      </c>
    </row>
    <row r="27" spans="1:18" ht="15">
      <c r="A27" s="325">
        <v>1995</v>
      </c>
      <c r="B27" s="51">
        <f>'Table T5'!C27/('Table T5'!B27-'Table T5'!I27)</f>
        <v>0.5867584964098107</v>
      </c>
      <c r="C27" s="51">
        <f>'Table T5'!D27/('Table T5'!B27-'Table T5'!I27)</f>
        <v>0.14831812585994641</v>
      </c>
      <c r="D27" s="54">
        <f>'Table T5'!E27/('Table T5'!B27-'Table T5'!I27)</f>
        <v>3.7088409454257815E-2</v>
      </c>
      <c r="E27" s="54">
        <f>'Table T5'!F27/('Table T5'!B27-'Table T5'!I27)</f>
        <v>1.6318092436927979E-2</v>
      </c>
      <c r="F27" s="51">
        <f>'Table T5'!G27/('Table T5'!B27-'Table T5'!I27)</f>
        <v>0.26492337773024283</v>
      </c>
      <c r="G27" s="58">
        <f>'Table T5'!H27/('Table T5'!B27-'Table T5'!I27)</f>
        <v>4.9392258114830348E-2</v>
      </c>
      <c r="H27" s="51">
        <f>'Table T5'!K27/('Table T5'!J27-'Table T5'!Q27)</f>
        <v>0.62119534718590252</v>
      </c>
      <c r="I27" s="59">
        <f>'Table T5'!L27/('Table T5'!J27-'Table T5'!Q27)</f>
        <v>7.9168082336638038E-2</v>
      </c>
      <c r="J27" s="54">
        <f>'Table T5'!M27/('Table T5'!J27-'Table T5'!Q27)</f>
        <v>4.4060103302551258E-2</v>
      </c>
      <c r="K27" s="54">
        <f>'Table T5'!N27/('Table T5'!J27-'Table T5'!Q27)</f>
        <v>3.5121340413591957E-4</v>
      </c>
      <c r="L27" s="51">
        <f>'Table T5'!O27/('Table T5'!J27-'Table T5'!Q27)</f>
        <v>0.29963657047745934</v>
      </c>
      <c r="M27" s="394">
        <f>'Table T5'!P27/('Table T5'!J27-'Table T5'!Q27)</f>
        <v>9.4518398619578614E-2</v>
      </c>
      <c r="N27" s="51">
        <f>'Table T5'!G27/('Table T4'!F66-'Table T4'!I66)</f>
        <v>0.30618862099796634</v>
      </c>
      <c r="O27" s="290">
        <f>L27*'Table T4'!S66</f>
        <v>2.3880533348924909E-2</v>
      </c>
      <c r="Q27" s="330">
        <f t="shared" si="0"/>
        <v>1</v>
      </c>
      <c r="R27" s="330">
        <f t="shared" si="1"/>
        <v>1</v>
      </c>
    </row>
    <row r="28" spans="1:18" ht="15">
      <c r="A28" s="325">
        <v>1996</v>
      </c>
      <c r="B28" s="51">
        <f>'Table T5'!C28/('Table T5'!B28-'Table T5'!I28)</f>
        <v>0.58325889291655597</v>
      </c>
      <c r="C28" s="51">
        <f>'Table T5'!D28/('Table T5'!B28-'Table T5'!I28)</f>
        <v>0.14892034958889411</v>
      </c>
      <c r="D28" s="54">
        <f>'Table T5'!E28/('Table T5'!B28-'Table T5'!I28)</f>
        <v>3.4351121670982816E-2</v>
      </c>
      <c r="E28" s="54">
        <f>'Table T5'!F28/('Table T5'!B28-'Table T5'!I28)</f>
        <v>2.3542651436853097E-2</v>
      </c>
      <c r="F28" s="51">
        <f>'Table T5'!G28/('Table T5'!B28-'Table T5'!I28)</f>
        <v>0.26782075749454987</v>
      </c>
      <c r="G28" s="58">
        <f>'Table T5'!H28/('Table T5'!B28-'Table T5'!I28)</f>
        <v>4.716600463395073E-2</v>
      </c>
      <c r="H28" s="51">
        <f>'Table T5'!K28/('Table T5'!J28-'Table T5'!Q28)</f>
        <v>0.60800001236095846</v>
      </c>
      <c r="I28" s="59">
        <f>'Table T5'!L28/('Table T5'!J28-'Table T5'!Q28)</f>
        <v>7.0170071338181914E-2</v>
      </c>
      <c r="J28" s="54">
        <f>'Table T5'!M28/('Table T5'!J28-'Table T5'!Q28)</f>
        <v>3.7603580969686287E-2</v>
      </c>
      <c r="K28" s="54">
        <f>'Table T5'!N28/('Table T5'!J28-'Table T5'!Q28)</f>
        <v>5.3461145644539E-4</v>
      </c>
      <c r="L28" s="51">
        <f>'Table T5'!O28/('Table T5'!J28-'Table T5'!Q28)</f>
        <v>0.32182991630085955</v>
      </c>
      <c r="M28" s="394">
        <f>'Table T5'!P28/('Table T5'!J28-'Table T5'!Q28)</f>
        <v>9.499551142693359E-2</v>
      </c>
      <c r="N28" s="51">
        <f>'Table T5'!G28/('Table T4'!F67-'Table T4'!I67)</f>
        <v>0.31800738178081323</v>
      </c>
      <c r="O28" s="290">
        <f>L28*'Table T4'!S67</f>
        <v>2.5617400867382734E-2</v>
      </c>
      <c r="Q28" s="330">
        <f t="shared" si="0"/>
        <v>1</v>
      </c>
      <c r="R28" s="330">
        <f t="shared" si="1"/>
        <v>0.99999999999999989</v>
      </c>
    </row>
    <row r="29" spans="1:18" ht="15">
      <c r="A29" s="325">
        <v>1997</v>
      </c>
      <c r="B29" s="51">
        <f>'Table T5'!C29/('Table T5'!B29-'Table T5'!I29)</f>
        <v>0.58985410141970118</v>
      </c>
      <c r="C29" s="51">
        <f>'Table T5'!D29/('Table T5'!B29-'Table T5'!I29)</f>
        <v>0.13776317943233776</v>
      </c>
      <c r="D29" s="54">
        <f>'Table T5'!E29/('Table T5'!B29-'Table T5'!I29)</f>
        <v>3.2309824419733957E-2</v>
      </c>
      <c r="E29" s="54">
        <f>'Table T5'!F29/('Table T5'!B29-'Table T5'!I29)</f>
        <v>2.4798175449317429E-2</v>
      </c>
      <c r="F29" s="51">
        <f>'Table T5'!G29/('Table T5'!B29-'Table T5'!I29)</f>
        <v>0.27238271914796103</v>
      </c>
      <c r="G29" s="58">
        <f>'Table T5'!H29/('Table T5'!B29-'Table T5'!I29)</f>
        <v>5.1849540042994795E-2</v>
      </c>
      <c r="H29" s="51">
        <f>'Table T5'!K29/('Table T5'!J29-'Table T5'!Q29)</f>
        <v>0.60948261913403978</v>
      </c>
      <c r="I29" s="59">
        <f>'Table T5'!L29/('Table T5'!J29-'Table T5'!Q29)</f>
        <v>6.5050880959981808E-2</v>
      </c>
      <c r="J29" s="54">
        <f>'Table T5'!M29/('Table T5'!J29-'Table T5'!Q29)</f>
        <v>3.3151339697644215E-2</v>
      </c>
      <c r="K29" s="54">
        <f>'Table T5'!N29/('Table T5'!J29-'Table T5'!Q29)</f>
        <v>7.5763870363972693E-4</v>
      </c>
      <c r="L29" s="51">
        <f>'Table T5'!O29/('Table T5'!J29-'Table T5'!Q29)</f>
        <v>0.32546649990597848</v>
      </c>
      <c r="M29" s="394">
        <f>'Table T5'!P29/('Table T5'!J29-'Table T5'!Q29)</f>
        <v>9.5805764613790131E-2</v>
      </c>
      <c r="N29" s="51">
        <f>'Table T5'!G29/('Table T4'!F68-'Table T4'!I68)</f>
        <v>0.31639528952697532</v>
      </c>
      <c r="O29" s="290">
        <f>L29*'Table T4'!S68</f>
        <v>2.7449487129894843E-2</v>
      </c>
      <c r="Q29" s="330">
        <f t="shared" si="0"/>
        <v>1</v>
      </c>
      <c r="R29" s="330">
        <f t="shared" si="1"/>
        <v>1</v>
      </c>
    </row>
    <row r="30" spans="1:18" ht="15">
      <c r="A30" s="325">
        <v>1998</v>
      </c>
      <c r="B30" s="51">
        <f>'Table T5'!C30/('Table T5'!B30-'Table T5'!I30)</f>
        <v>0.58633648671521787</v>
      </c>
      <c r="C30" s="51">
        <f>'Table T5'!D30/('Table T5'!B30-'Table T5'!I30)</f>
        <v>0.12996446994284297</v>
      </c>
      <c r="D30" s="54">
        <f>'Table T5'!E30/('Table T5'!B30-'Table T5'!I30)</f>
        <v>2.3607124933200982E-2</v>
      </c>
      <c r="E30" s="54">
        <f>'Table T5'!F30/('Table T5'!B30-'Table T5'!I30)</f>
        <v>2.4076473514326961E-2</v>
      </c>
      <c r="F30" s="51">
        <f>'Table T5'!G30/('Table T5'!B30-'Table T5'!I30)</f>
        <v>0.28369904334193929</v>
      </c>
      <c r="G30" s="58">
        <f>'Table T5'!H30/('Table T5'!B30-'Table T5'!I30)</f>
        <v>5.898048618599952E-2</v>
      </c>
      <c r="H30" s="51">
        <f>'Table T5'!K30/('Table T5'!J30-'Table T5'!Q30)</f>
        <v>0.62260167859812143</v>
      </c>
      <c r="I30" s="59">
        <f>'Table T5'!L30/('Table T5'!J30-'Table T5'!Q30)</f>
        <v>6.0407423845200717E-2</v>
      </c>
      <c r="J30" s="54">
        <f>'Table T5'!M30/('Table T5'!J30-'Table T5'!Q30)</f>
        <v>2.8869775829440971E-2</v>
      </c>
      <c r="K30" s="54">
        <f>'Table T5'!N30/('Table T5'!J30-'Table T5'!Q30)</f>
        <v>7.8039798647420143E-4</v>
      </c>
      <c r="L30" s="51">
        <f>'Table T5'!O30/('Table T5'!J30-'Table T5'!Q30)</f>
        <v>0.31699089755667786</v>
      </c>
      <c r="M30" s="394">
        <f>'Table T5'!P30/('Table T5'!J30-'Table T5'!Q30)</f>
        <v>9.5669698614587337E-2</v>
      </c>
      <c r="N30" s="51">
        <f>'Table T5'!G30/('Table T4'!F69-'Table T4'!I69)</f>
        <v>0.31891240216974509</v>
      </c>
      <c r="O30" s="290">
        <f>L30*'Table T4'!S69</f>
        <v>2.9812177230774922E-2</v>
      </c>
      <c r="Q30" s="330">
        <f t="shared" si="0"/>
        <v>1</v>
      </c>
      <c r="R30" s="330">
        <f t="shared" si="1"/>
        <v>1</v>
      </c>
    </row>
    <row r="31" spans="1:18" ht="15">
      <c r="A31" s="326">
        <v>1999</v>
      </c>
      <c r="B31" s="375">
        <f>'Table T5'!C31/('Table T5'!B31-'Table T5'!I31)</f>
        <v>0.57833294087294451</v>
      </c>
      <c r="C31" s="375">
        <f>'Table T5'!D31/('Table T5'!B31-'Table T5'!I31)</f>
        <v>0.12824115150858795</v>
      </c>
      <c r="D31" s="396">
        <f>'Table T5'!E31/('Table T5'!B31-'Table T5'!I31)</f>
        <v>2.1254131183776448E-2</v>
      </c>
      <c r="E31" s="396">
        <f>'Table T5'!F31/('Table T5'!B31-'Table T5'!I31)</f>
        <v>2.629451486100113E-2</v>
      </c>
      <c r="F31" s="375">
        <f>'Table T5'!G31/('Table T5'!B31-'Table T5'!I31)</f>
        <v>0.2934259076184676</v>
      </c>
      <c r="G31" s="397">
        <f>'Table T5'!H31/('Table T5'!B31-'Table T5'!I31)</f>
        <v>6.221010507671524E-2</v>
      </c>
      <c r="H31" s="375">
        <f>'Table T5'!K31/('Table T5'!J31-'Table T5'!Q31)</f>
        <v>0.63256796907529156</v>
      </c>
      <c r="I31" s="398">
        <f>'Table T5'!L31/('Table T5'!J31-'Table T5'!Q31)</f>
        <v>5.4706174146820392E-2</v>
      </c>
      <c r="J31" s="396">
        <f>'Table T5'!M31/('Table T5'!J31-'Table T5'!Q31)</f>
        <v>2.4749147976991525E-2</v>
      </c>
      <c r="K31" s="396">
        <f>'Table T5'!N31/('Table T5'!J31-'Table T5'!Q31)</f>
        <v>9.1178027830181405E-4</v>
      </c>
      <c r="L31" s="375">
        <f>'Table T5'!O31/('Table T5'!J31-'Table T5'!Q31)</f>
        <v>0.312725856777888</v>
      </c>
      <c r="M31" s="399">
        <f>'Table T5'!P31/('Table T5'!J31-'Table T5'!Q31)</f>
        <v>9.2253658687036402E-2</v>
      </c>
      <c r="N31" s="375">
        <f>'Table T5'!G31/('Table T4'!F70-'Table T4'!I70)</f>
        <v>0.319444078879764</v>
      </c>
      <c r="O31" s="320">
        <f>L31*'Table T4'!S70</f>
        <v>3.0539787634592652E-2</v>
      </c>
      <c r="Q31" s="330">
        <f t="shared" si="0"/>
        <v>1</v>
      </c>
      <c r="R31" s="330">
        <f t="shared" si="1"/>
        <v>1</v>
      </c>
    </row>
    <row r="32" spans="1:18" ht="15">
      <c r="A32" s="325">
        <v>2000</v>
      </c>
      <c r="B32" s="51">
        <f>'Table T5'!C32/('Table T5'!B32-'Table T5'!I32)</f>
        <v>0.55548076844114891</v>
      </c>
      <c r="C32" s="51">
        <f>'Table T5'!D32/('Table T5'!B32-'Table T5'!I32)</f>
        <v>0.14755960656367942</v>
      </c>
      <c r="D32" s="54">
        <f>'Table T5'!E32/('Table T5'!B32-'Table T5'!I32)</f>
        <v>2.3470954127787418E-2</v>
      </c>
      <c r="E32" s="54">
        <f>'Table T5'!F32/('Table T5'!B32-'Table T5'!I32)</f>
        <v>3.0883698805085753E-2</v>
      </c>
      <c r="F32" s="51">
        <f>'Table T5'!G32/('Table T5'!B32-'Table T5'!I32)</f>
        <v>0.29695962499517164</v>
      </c>
      <c r="G32" s="58">
        <f>'Table T5'!H32/('Table T5'!B32-'Table T5'!I32)</f>
        <v>5.381083266851204E-2</v>
      </c>
      <c r="H32" s="51">
        <f>'Table T5'!K32/('Table T5'!J32-'Table T5'!Q32)</f>
        <v>0.61856121241538708</v>
      </c>
      <c r="I32" s="59">
        <f>'Table T5'!L32/('Table T5'!J32-'Table T5'!Q32)</f>
        <v>7.4808328062381246E-2</v>
      </c>
      <c r="J32" s="54">
        <f>'Table T5'!M32/('Table T5'!J32-'Table T5'!Q32)</f>
        <v>2.8249369057604064E-2</v>
      </c>
      <c r="K32" s="54">
        <f>'Table T5'!N32/('Table T5'!J32-'Table T5'!Q32)</f>
        <v>1.6900579574190904E-3</v>
      </c>
      <c r="L32" s="51">
        <f>'Table T5'!O32/('Table T5'!J32-'Table T5'!Q32)</f>
        <v>0.30663045952223167</v>
      </c>
      <c r="M32" s="394">
        <f>'Table T5'!P32/('Table T5'!J32-'Table T5'!Q32)</f>
        <v>8.5066250523427533E-2</v>
      </c>
      <c r="N32" s="51">
        <f>'Table T5'!G32/('Table T4'!F71-'Table T4'!I71)</f>
        <v>0.33265815384007347</v>
      </c>
      <c r="O32" s="290">
        <f>L32*'Table T4'!S71</f>
        <v>3.2907129196607821E-2</v>
      </c>
      <c r="Q32" s="330">
        <f t="shared" si="0"/>
        <v>1</v>
      </c>
      <c r="R32" s="330">
        <f t="shared" si="1"/>
        <v>1</v>
      </c>
    </row>
    <row r="33" spans="1:18" ht="15">
      <c r="A33" s="325">
        <v>2001</v>
      </c>
      <c r="B33" s="51">
        <f>'Table T5'!C33/('Table T5'!B33-'Table T5'!I33)</f>
        <v>0.51800001327062295</v>
      </c>
      <c r="C33" s="51">
        <f>'Table T5'!D33/('Table T5'!B33-'Table T5'!I33)</f>
        <v>0.15636774973220749</v>
      </c>
      <c r="D33" s="54">
        <f>'Table T5'!E33/('Table T5'!B33-'Table T5'!I33)</f>
        <v>2.3529391400578657E-2</v>
      </c>
      <c r="E33" s="54">
        <f>'Table T5'!F33/('Table T5'!B33-'Table T5'!I33)</f>
        <v>4.378411235255545E-2</v>
      </c>
      <c r="F33" s="51">
        <f>'Table T5'!G33/('Table T5'!B33-'Table T5'!I33)</f>
        <v>0.32563223699716964</v>
      </c>
      <c r="G33" s="58">
        <f>'Table T5'!H33/('Table T5'!B33-'Table T5'!I33)</f>
        <v>4.9813014038299595E-2</v>
      </c>
      <c r="H33" s="51">
        <f>'Table T5'!K33/('Table T5'!J33-'Table T5'!Q33)</f>
        <v>0.6041879181433546</v>
      </c>
      <c r="I33" s="59">
        <f>'Table T5'!L33/('Table T5'!J33-'Table T5'!Q33)</f>
        <v>7.470191872939401E-2</v>
      </c>
      <c r="J33" s="54">
        <f>'Table T5'!M33/('Table T5'!J33-'Table T5'!Q33)</f>
        <v>2.9227585769720132E-2</v>
      </c>
      <c r="K33" s="54">
        <f>'Table T5'!N33/('Table T5'!J33-'Table T5'!Q33)</f>
        <v>2.5265674453143041E-3</v>
      </c>
      <c r="L33" s="51">
        <f>'Table T5'!O33/('Table T5'!J33-'Table T5'!Q33)</f>
        <v>0.32111016312725144</v>
      </c>
      <c r="M33" s="394">
        <f>'Table T5'!P33/('Table T5'!J33-'Table T5'!Q33)</f>
        <v>7.8693584808511935E-2</v>
      </c>
      <c r="N33" s="51">
        <f>'Table T5'!G33/('Table T4'!F72-'Table T4'!I72)</f>
        <v>0.35642582645737231</v>
      </c>
      <c r="O33" s="290">
        <f>L33*'Table T4'!S72</f>
        <v>3.6459447683639928E-2</v>
      </c>
      <c r="Q33" s="330">
        <f t="shared" si="0"/>
        <v>1</v>
      </c>
      <c r="R33" s="330">
        <f t="shared" si="1"/>
        <v>1</v>
      </c>
    </row>
    <row r="34" spans="1:18" ht="15">
      <c r="A34" s="325">
        <v>2002</v>
      </c>
      <c r="B34" s="51">
        <f>'Table T5'!C34/('Table T5'!B34-'Table T5'!I34)</f>
        <v>0.47905729814448833</v>
      </c>
      <c r="C34" s="51">
        <f>'Table T5'!D34/('Table T5'!B34-'Table T5'!I34)</f>
        <v>0.17971124767665603</v>
      </c>
      <c r="D34" s="54">
        <f>'Table T5'!E34/('Table T5'!B34-'Table T5'!I34)</f>
        <v>2.0188464891906576E-2</v>
      </c>
      <c r="E34" s="54">
        <f>'Table T5'!F34/('Table T5'!B34-'Table T5'!I34)</f>
        <v>5.9003641316201776E-2</v>
      </c>
      <c r="F34" s="51">
        <f>'Table T5'!G34/('Table T5'!B34-'Table T5'!I34)</f>
        <v>0.3412314541788557</v>
      </c>
      <c r="G34" s="58">
        <f>'Table T5'!H34/('Table T5'!B34-'Table T5'!I34)</f>
        <v>4.3703841835565242E-2</v>
      </c>
      <c r="H34" s="51">
        <f>'Table T5'!K34/('Table T5'!J34-'Table T5'!Q34)</f>
        <v>0.58610173555675615</v>
      </c>
      <c r="I34" s="59">
        <f>'Table T5'!L34/('Table T5'!J34-'Table T5'!Q34)</f>
        <v>7.6825248435327897E-2</v>
      </c>
      <c r="J34" s="54">
        <f>'Table T5'!M34/('Table T5'!J34-'Table T5'!Q34)</f>
        <v>2.8733966284427339E-2</v>
      </c>
      <c r="K34" s="54">
        <f>'Table T5'!N34/('Table T5'!J34-'Table T5'!Q34)</f>
        <v>2.0374125088781104E-3</v>
      </c>
      <c r="L34" s="51">
        <f>'Table T5'!O34/('Table T5'!J34-'Table T5'!Q34)</f>
        <v>0.33707301600791595</v>
      </c>
      <c r="M34" s="394">
        <f>'Table T5'!P34/('Table T5'!J34-'Table T5'!Q34)</f>
        <v>7.3246687023086135E-2</v>
      </c>
      <c r="N34" s="51">
        <f>'Table T5'!G34/('Table T4'!F73-'Table T4'!I73)</f>
        <v>0.38627198325336759</v>
      </c>
      <c r="O34" s="290">
        <f>L34*'Table T4'!S73</f>
        <v>4.0357609573414534E-2</v>
      </c>
      <c r="Q34" s="330">
        <f t="shared" si="0"/>
        <v>1</v>
      </c>
      <c r="R34" s="330">
        <f t="shared" si="1"/>
        <v>1</v>
      </c>
    </row>
    <row r="35" spans="1:18" ht="15">
      <c r="A35" s="325">
        <v>2003</v>
      </c>
      <c r="B35" s="51">
        <f>'Table T5'!C35/('Table T5'!B35-'Table T5'!I35)</f>
        <v>0.47684717703496682</v>
      </c>
      <c r="C35" s="51">
        <f>'Table T5'!D35/('Table T5'!B35-'Table T5'!I35)</f>
        <v>0.17637519959883413</v>
      </c>
      <c r="D35" s="54">
        <f>'Table T5'!E35/('Table T5'!B35-'Table T5'!I35)</f>
        <v>1.8711374523572771E-2</v>
      </c>
      <c r="E35" s="54">
        <f>'Table T5'!F35/('Table T5'!B35-'Table T5'!I35)</f>
        <v>6.2981240704641644E-2</v>
      </c>
      <c r="F35" s="51">
        <f>'Table T5'!G35/('Table T5'!B35-'Table T5'!I35)</f>
        <v>0.34677762336619905</v>
      </c>
      <c r="G35" s="58">
        <f>'Table T5'!H35/('Table T5'!B35-'Table T5'!I35)</f>
        <v>4.336364896619356E-2</v>
      </c>
      <c r="H35" s="51">
        <f>'Table T5'!K35/('Table T5'!J35-'Table T5'!Q35)</f>
        <v>0.57188146046048338</v>
      </c>
      <c r="I35" s="59">
        <f>'Table T5'!L35/('Table T5'!J35-'Table T5'!Q35)</f>
        <v>8.1471140506603631E-2</v>
      </c>
      <c r="J35" s="54">
        <f>'Table T5'!M35/('Table T5'!J35-'Table T5'!Q35)</f>
        <v>3.1384011133379318E-2</v>
      </c>
      <c r="K35" s="54">
        <f>'Table T5'!N35/('Table T5'!J35-'Table T5'!Q35)</f>
        <v>1.3181110308293038E-3</v>
      </c>
      <c r="L35" s="51">
        <f>'Table T5'!O35/('Table T5'!J35-'Table T5'!Q35)</f>
        <v>0.34664739903291303</v>
      </c>
      <c r="M35" s="394">
        <f>'Table T5'!P35/('Table T5'!J35-'Table T5'!Q35)</f>
        <v>6.7293954561950128E-2</v>
      </c>
      <c r="N35" s="51">
        <f>'Table T5'!G35/('Table T4'!F74-'Table T4'!I74)</f>
        <v>0.41902893035197553</v>
      </c>
      <c r="O35" s="290">
        <f>L35*'Table T4'!S74</f>
        <v>4.4681813439535478E-2</v>
      </c>
      <c r="Q35" s="330">
        <f t="shared" si="0"/>
        <v>1</v>
      </c>
      <c r="R35" s="330">
        <f t="shared" si="1"/>
        <v>1</v>
      </c>
    </row>
    <row r="36" spans="1:18" ht="15">
      <c r="A36" s="325">
        <v>2004</v>
      </c>
      <c r="B36" s="51">
        <f>'Table T5'!C36/('Table T5'!B36-'Table T5'!I36)</f>
        <v>0.47940462835926501</v>
      </c>
      <c r="C36" s="51">
        <f>'Table T5'!D36/('Table T5'!B36-'Table T5'!I36)</f>
        <v>0.18566346395770869</v>
      </c>
      <c r="D36" s="54">
        <f>'Table T5'!E36/('Table T5'!B36-'Table T5'!I36)</f>
        <v>2.2084999673334809E-2</v>
      </c>
      <c r="E36" s="54">
        <f>'Table T5'!F36/('Table T5'!B36-'Table T5'!I36)</f>
        <v>7.0372891793197306E-2</v>
      </c>
      <c r="F36" s="51">
        <f>'Table T5'!G36/('Table T5'!B36-'Table T5'!I36)</f>
        <v>0.33493190768302639</v>
      </c>
      <c r="G36" s="58">
        <f>'Table T5'!H36/('Table T5'!B36-'Table T5'!I36)</f>
        <v>4.046825717864138E-2</v>
      </c>
      <c r="H36" s="51">
        <f>'Table T5'!K36/('Table T5'!J36-'Table T5'!Q36)</f>
        <v>0.57402740774679895</v>
      </c>
      <c r="I36" s="59">
        <f>'Table T5'!L36/('Table T5'!J36-'Table T5'!Q36)</f>
        <v>8.7111420334451434E-2</v>
      </c>
      <c r="J36" s="54">
        <f>'Table T5'!M36/('Table T5'!J36-'Table T5'!Q36)</f>
        <v>3.7147810642185232E-2</v>
      </c>
      <c r="K36" s="54">
        <f>'Table T5'!N36/('Table T5'!J36-'Table T5'!Q36)</f>
        <v>1.3024147703168218E-3</v>
      </c>
      <c r="L36" s="51">
        <f>'Table T5'!O36/('Table T5'!J36-'Table T5'!Q36)</f>
        <v>0.3388611719187497</v>
      </c>
      <c r="M36" s="394">
        <f>'Table T5'!P36/('Table T5'!J36-'Table T5'!Q36)</f>
        <v>6.3421895652206697E-2</v>
      </c>
      <c r="N36" s="51">
        <f>'Table T5'!G36/('Table T4'!F75-'Table T4'!I75)</f>
        <v>0.4285565007512504</v>
      </c>
      <c r="O36" s="290">
        <f>L36*'Table T4'!S75</f>
        <v>4.4099149190891015E-2</v>
      </c>
      <c r="Q36" s="330">
        <f t="shared" si="0"/>
        <v>1</v>
      </c>
      <c r="R36" s="330">
        <f t="shared" si="1"/>
        <v>1</v>
      </c>
    </row>
    <row r="37" spans="1:18" ht="15">
      <c r="A37" s="325">
        <v>2005</v>
      </c>
      <c r="B37" s="51">
        <f>'Table T5'!C37/('Table T5'!B37-'Table T5'!I37)</f>
        <v>0.45741002002583941</v>
      </c>
      <c r="C37" s="51">
        <f>'Table T5'!D37/('Table T5'!B37-'Table T5'!I37)</f>
        <v>0.21043058923995536</v>
      </c>
      <c r="D37" s="54">
        <f>'Table T5'!E37/('Table T5'!B37-'Table T5'!I37)</f>
        <v>2.489660871690667E-2</v>
      </c>
      <c r="E37" s="54">
        <f>'Table T5'!F37/('Table T5'!B37-'Table T5'!I37)</f>
        <v>8.8622456262010763E-2</v>
      </c>
      <c r="F37" s="51">
        <f>'Table T5'!G37/('Table T5'!B37-'Table T5'!I37)</f>
        <v>0.33215939073420525</v>
      </c>
      <c r="G37" s="58">
        <f>'Table T5'!H37/('Table T5'!B37-'Table T5'!I37)</f>
        <v>3.688868046932383E-2</v>
      </c>
      <c r="H37" s="51">
        <f>'Table T5'!K37/('Table T5'!J37-'Table T5'!Q37)</f>
        <v>0.55691874130716013</v>
      </c>
      <c r="I37" s="59">
        <f>'Table T5'!L37/('Table T5'!J37-'Table T5'!Q37)</f>
        <v>9.1072328765697E-2</v>
      </c>
      <c r="J37" s="54">
        <f>'Table T5'!M37/('Table T5'!J37-'Table T5'!Q37)</f>
        <v>4.1159051095460503E-2</v>
      </c>
      <c r="K37" s="54">
        <f>'Table T5'!N37/('Table T5'!J37-'Table T5'!Q37)</f>
        <v>1.4177517442077378E-3</v>
      </c>
      <c r="L37" s="51">
        <f>'Table T5'!O37/('Table T5'!J37-'Table T5'!Q37)</f>
        <v>0.35200892992714283</v>
      </c>
      <c r="M37" s="394">
        <f>'Table T5'!P37/('Table T5'!J37-'Table T5'!Q37)</f>
        <v>6.1852673555285814E-2</v>
      </c>
      <c r="N37" s="51">
        <f>'Table T5'!G37/('Table T4'!F76-'Table T4'!I76)</f>
        <v>0.43961420025847553</v>
      </c>
      <c r="O37" s="290">
        <f>L37*'Table T4'!S76</f>
        <v>4.7891808004873145E-2</v>
      </c>
      <c r="Q37" s="330">
        <f t="shared" si="0"/>
        <v>1</v>
      </c>
      <c r="R37" s="330">
        <f t="shared" si="1"/>
        <v>1</v>
      </c>
    </row>
    <row r="38" spans="1:18" ht="15">
      <c r="A38" s="325">
        <v>2006</v>
      </c>
      <c r="B38" s="51">
        <f>'Table T5'!C38/('Table T5'!B38-'Table T5'!I38)</f>
        <v>0.43546860519092961</v>
      </c>
      <c r="C38" s="51">
        <f>'Table T5'!D38/('Table T5'!B38-'Table T5'!I38)</f>
        <v>0.22470596024392728</v>
      </c>
      <c r="D38" s="54">
        <f>'Table T5'!E38/('Table T5'!B38-'Table T5'!I38)</f>
        <v>2.8734982249326361E-2</v>
      </c>
      <c r="E38" s="54">
        <f>'Table T5'!F38/('Table T5'!B38-'Table T5'!I38)</f>
        <v>9.8053566599283132E-2</v>
      </c>
      <c r="F38" s="51">
        <f>'Table T5'!G38/('Table T5'!B38-'Table T5'!I38)</f>
        <v>0.33982543456514308</v>
      </c>
      <c r="G38" s="58">
        <f>'Table T5'!H38/('Table T5'!B38-'Table T5'!I38)</f>
        <v>3.6910154647125486E-2</v>
      </c>
      <c r="H38" s="51">
        <f>'Table T5'!K38/('Table T5'!J38-'Table T5'!Q38)</f>
        <v>0.55105029455649546</v>
      </c>
      <c r="I38" s="59">
        <f>'Table T5'!L38/('Table T5'!J38-'Table T5'!Q38)</f>
        <v>9.9800516753181218E-2</v>
      </c>
      <c r="J38" s="54">
        <f>'Table T5'!M38/('Table T5'!J38-'Table T5'!Q38)</f>
        <v>4.5929266939467334E-2</v>
      </c>
      <c r="K38" s="54">
        <f>'Table T5'!N38/('Table T5'!J38-'Table T5'!Q38)</f>
        <v>5.0694959412072062E-3</v>
      </c>
      <c r="L38" s="51">
        <f>'Table T5'!O38/('Table T5'!J38-'Table T5'!Q38)</f>
        <v>0.34914918869032335</v>
      </c>
      <c r="M38" s="394">
        <f>'Table T5'!P38/('Table T5'!J38-'Table T5'!Q38)</f>
        <v>5.9879089092342248E-2</v>
      </c>
      <c r="N38" s="51">
        <f>'Table T5'!G38/('Table T4'!F77-'Table T4'!I77)</f>
        <v>0.46230834601273185</v>
      </c>
      <c r="O38" s="290">
        <f>L38*'Table T4'!S77</f>
        <v>5.0098106742474224E-2</v>
      </c>
      <c r="Q38" s="330">
        <f t="shared" si="0"/>
        <v>1</v>
      </c>
      <c r="R38" s="330">
        <f t="shared" si="1"/>
        <v>1</v>
      </c>
    </row>
    <row r="39" spans="1:18" ht="15">
      <c r="A39" s="325">
        <v>2007</v>
      </c>
      <c r="B39" s="51">
        <f>'Table T5'!C39/('Table T5'!B39-'Table T5'!I39)</f>
        <v>0.41475373348411687</v>
      </c>
      <c r="C39" s="51">
        <f>'Table T5'!D39/('Table T5'!B39-'Table T5'!I39)</f>
        <v>0.24999670478012628</v>
      </c>
      <c r="D39" s="54">
        <f>'Table T5'!E39/('Table T5'!B39-'Table T5'!I39)</f>
        <v>3.2334090501633196E-2</v>
      </c>
      <c r="E39" s="54">
        <f>'Table T5'!F39/('Table T5'!B39-'Table T5'!I39)</f>
        <v>0.11018765178773983</v>
      </c>
      <c r="F39" s="51">
        <f>'Table T5'!G39/('Table T5'!B39-'Table T5'!I39)</f>
        <v>0.33524956173575676</v>
      </c>
      <c r="G39" s="58">
        <f>'Table T5'!H39/('Table T5'!B39-'Table T5'!I39)</f>
        <v>3.3816885863978255E-2</v>
      </c>
      <c r="H39" s="51">
        <f>'Table T5'!K39/('Table T5'!J39-'Table T5'!Q39)</f>
        <v>0.53831987476681942</v>
      </c>
      <c r="I39" s="59">
        <f>'Table T5'!L39/('Table T5'!J39-'Table T5'!Q39)</f>
        <v>0.11781594174343467</v>
      </c>
      <c r="J39" s="54">
        <f>'Table T5'!M39/('Table T5'!J39-'Table T5'!Q39)</f>
        <v>4.6415893058138716E-2</v>
      </c>
      <c r="K39" s="54">
        <f>'Table T5'!N39/('Table T5'!J39-'Table T5'!Q39)</f>
        <v>2.2293473355626293E-2</v>
      </c>
      <c r="L39" s="51">
        <f>'Table T5'!O39/('Table T5'!J39-'Table T5'!Q39)</f>
        <v>0.3438641834897459</v>
      </c>
      <c r="M39" s="394">
        <f>'Table T5'!P39/('Table T5'!J39-'Table T5'!Q39)</f>
        <v>5.5212961052691162E-2</v>
      </c>
      <c r="N39" s="51">
        <f>'Table T5'!G39/('Table T4'!F78-'Table T4'!I78)</f>
        <v>0.46829569716145375</v>
      </c>
      <c r="O39" s="290">
        <f>L39*'Table T4'!S78</f>
        <v>5.571241086677596E-2</v>
      </c>
      <c r="Q39" s="330">
        <f t="shared" si="0"/>
        <v>1</v>
      </c>
      <c r="R39" s="330">
        <f t="shared" si="1"/>
        <v>1</v>
      </c>
    </row>
    <row r="40" spans="1:18" ht="15">
      <c r="A40" s="325">
        <v>2008</v>
      </c>
      <c r="B40" s="51">
        <f>'Table T5'!C40/('Table T5'!B40-'Table T5'!I40)</f>
        <v>0.38038036819771359</v>
      </c>
      <c r="C40" s="51">
        <f>'Table T5'!D40/('Table T5'!B40-'Table T5'!I40)</f>
        <v>0.31083809887694708</v>
      </c>
      <c r="D40" s="54">
        <f>'Table T5'!E40/('Table T5'!B40-'Table T5'!I40)</f>
        <v>3.4501847331971716E-2</v>
      </c>
      <c r="E40" s="54">
        <f>'Table T5'!F40/('Table T5'!B40-'Table T5'!I40)</f>
        <v>0.15557603639048517</v>
      </c>
      <c r="F40" s="51">
        <f>'Table T5'!G40/('Table T5'!B40-'Table T5'!I40)</f>
        <v>0.30878153292533933</v>
      </c>
      <c r="G40" s="58">
        <f>'Table T5'!H40/('Table T5'!B40-'Table T5'!I40)</f>
        <v>3.2375823566827139E-2</v>
      </c>
      <c r="H40" s="51">
        <f>'Table T5'!K40/('Table T5'!J40-'Table T5'!Q40)</f>
        <v>0.5344301226792415</v>
      </c>
      <c r="I40" s="59">
        <f>'Table T5'!L40/('Table T5'!J40-'Table T5'!Q40)</f>
        <v>0.13342901533928811</v>
      </c>
      <c r="J40" s="54">
        <f>'Table T5'!M40/('Table T5'!J40-'Table T5'!Q40)</f>
        <v>4.8487938428676554E-2</v>
      </c>
      <c r="K40" s="54">
        <f>'Table T5'!N40/('Table T5'!J40-'Table T5'!Q40)</f>
        <v>3.4292948987970889E-2</v>
      </c>
      <c r="L40" s="51">
        <f>'Table T5'!O40/('Table T5'!J40-'Table T5'!Q40)</f>
        <v>0.33214086198147047</v>
      </c>
      <c r="M40" s="394">
        <f>'Table T5'!P40/('Table T5'!J40-'Table T5'!Q40)</f>
        <v>5.6737313091961346E-2</v>
      </c>
      <c r="N40" s="51">
        <f>'Table T5'!G40/('Table T4'!F79-'Table T4'!I79)</f>
        <v>0.49364587157549983</v>
      </c>
      <c r="O40" s="290">
        <f>L40*'Table T4'!S79</f>
        <v>5.9858129258238829E-2</v>
      </c>
      <c r="Q40" s="330">
        <f t="shared" si="0"/>
        <v>1</v>
      </c>
      <c r="R40" s="330">
        <f t="shared" si="1"/>
        <v>1</v>
      </c>
    </row>
    <row r="41" spans="1:18" ht="15">
      <c r="A41" s="326">
        <v>2009</v>
      </c>
      <c r="B41" s="375">
        <f>'Table T5'!C41/('Table T5'!B41-'Table T5'!I41)</f>
        <v>0.38864136971280139</v>
      </c>
      <c r="C41" s="375">
        <f>'Table T5'!D41/('Table T5'!B41-'Table T5'!I41)</f>
        <v>0.29687723727324616</v>
      </c>
      <c r="D41" s="396">
        <f>'Table T5'!E41/('Table T5'!B41-'Table T5'!I41)</f>
        <v>3.1700373409880474E-2</v>
      </c>
      <c r="E41" s="396">
        <f>'Table T5'!F41/('Table T5'!B41-'Table T5'!I41)</f>
        <v>0.15557294726157223</v>
      </c>
      <c r="F41" s="375">
        <f>'Table T5'!G41/('Table T5'!B41-'Table T5'!I41)</f>
        <v>0.31448139301395234</v>
      </c>
      <c r="G41" s="397">
        <f>'Table T5'!H41/('Table T5'!B41-'Table T5'!I41)</f>
        <v>3.7573637870923278E-2</v>
      </c>
      <c r="H41" s="375">
        <f>'Table T5'!K41/('Table T5'!J41-'Table T5'!Q41)</f>
        <v>0.52262496819253346</v>
      </c>
      <c r="I41" s="398">
        <f>'Table T5'!L41/('Table T5'!J41-'Table T5'!Q41)</f>
        <v>0.14276528455936971</v>
      </c>
      <c r="J41" s="396">
        <f>'Table T5'!M41/('Table T5'!J41-'Table T5'!Q41)</f>
        <v>4.6984172055931757E-2</v>
      </c>
      <c r="K41" s="396">
        <f>'Table T5'!N41/('Table T5'!J41-'Table T5'!Q41)</f>
        <v>3.970257703922727E-2</v>
      </c>
      <c r="L41" s="375">
        <f>'Table T5'!O41/('Table T5'!J41-'Table T5'!Q41)</f>
        <v>0.33460974724809689</v>
      </c>
      <c r="M41" s="399">
        <f>'Table T5'!P41/('Table T5'!J41-'Table T5'!Q41)</f>
        <v>5.8128959643783805E-2</v>
      </c>
      <c r="N41" s="375">
        <f>'Table T5'!G41/('Table T4'!F80-'Table T4'!I80)</f>
        <v>0.49806628070342729</v>
      </c>
      <c r="O41" s="320">
        <f>L41*'Table T4'!S80</f>
        <v>6.486565654729258E-2</v>
      </c>
      <c r="Q41" s="330">
        <f t="shared" si="0"/>
        <v>0.99999999999999978</v>
      </c>
      <c r="R41" s="330">
        <f t="shared" si="1"/>
        <v>1</v>
      </c>
    </row>
    <row r="42" spans="1:18" ht="15">
      <c r="A42" s="325">
        <v>2010</v>
      </c>
      <c r="B42" s="51">
        <f>'Table T5'!C42/('Table T5'!B42-'Table T5'!I42)</f>
        <v>0.3913137428964642</v>
      </c>
      <c r="C42" s="51">
        <f>'Table T5'!D42/('Table T5'!B42-'Table T5'!I42)</f>
        <v>0.29339795792140377</v>
      </c>
      <c r="D42" s="54">
        <f>'Table T5'!E42/('Table T5'!B42-'Table T5'!I42)</f>
        <v>3.0580460023375049E-2</v>
      </c>
      <c r="E42" s="54">
        <f>'Table T5'!F42/('Table T5'!B42-'Table T5'!I42)</f>
        <v>0.15156947341843582</v>
      </c>
      <c r="F42" s="51">
        <f>'Table T5'!G42/('Table T5'!B42-'Table T5'!I42)</f>
        <v>0.31528829918213203</v>
      </c>
      <c r="G42" s="58">
        <f>'Table T5'!H42/('Table T5'!B42-'Table T5'!I42)</f>
        <v>4.0380667204157887E-2</v>
      </c>
      <c r="H42" s="51">
        <f>'Table T5'!K42/('Table T5'!J42-'Table T5'!Q42)</f>
        <v>0.50923595503737917</v>
      </c>
      <c r="I42" s="59">
        <f>'Table T5'!L42/('Table T5'!J42-'Table T5'!Q42)</f>
        <v>0.15105876670432422</v>
      </c>
      <c r="J42" s="54">
        <f>'Table T5'!M42/('Table T5'!J42-'Table T5'!Q42)</f>
        <v>5.0390105702372928E-2</v>
      </c>
      <c r="K42" s="54">
        <f>'Table T5'!N42/('Table T5'!J42-'Table T5'!Q42)</f>
        <v>4.2624524411829588E-2</v>
      </c>
      <c r="L42" s="51">
        <f>'Table T5'!O42/('Table T5'!J42-'Table T5'!Q42)</f>
        <v>0.33970527825829666</v>
      </c>
      <c r="M42" s="394">
        <f>'Table T5'!P42/('Table T5'!J42-'Table T5'!Q42)</f>
        <v>5.9253621832421742E-2</v>
      </c>
      <c r="N42" s="51">
        <f>'Table T5'!G42/('Table T4'!F81-'Table T4'!I81)</f>
        <v>0.50020864042511914</v>
      </c>
      <c r="O42" s="290">
        <f>L42*'Table T4'!S81</f>
        <v>7.1171587820781354E-2</v>
      </c>
      <c r="Q42" s="330">
        <f t="shared" si="0"/>
        <v>1</v>
      </c>
      <c r="R42" s="330">
        <f t="shared" si="1"/>
        <v>1</v>
      </c>
    </row>
    <row r="43" spans="1:18" ht="15">
      <c r="A43" s="325">
        <v>2011</v>
      </c>
      <c r="B43" s="51">
        <f>'Table T5'!C43/('Table T5'!B43-'Table T5'!I43)</f>
        <v>0.39656664699831123</v>
      </c>
      <c r="C43" s="51">
        <f>'Table T5'!D43/('Table T5'!B43-'Table T5'!I43)</f>
        <v>0.29047426519473885</v>
      </c>
      <c r="D43" s="54">
        <f>'Table T5'!E43/('Table T5'!B43-'Table T5'!I43)</f>
        <v>2.9588917147180177E-2</v>
      </c>
      <c r="E43" s="54">
        <f>'Table T5'!F43/('Table T5'!B43-'Table T5'!I43)</f>
        <v>0.15074590333563392</v>
      </c>
      <c r="F43" s="51">
        <f>'Table T5'!G43/('Table T5'!B43-'Table T5'!I43)</f>
        <v>0.31295908780694998</v>
      </c>
      <c r="G43" s="58">
        <f>'Table T5'!H43/('Table T5'!B43-'Table T5'!I43)</f>
        <v>4.1319434596062257E-2</v>
      </c>
      <c r="H43" s="51">
        <f>'Table T5'!K43/('Table T5'!J43-'Table T5'!Q43)</f>
        <v>0.50977267423411521</v>
      </c>
      <c r="I43" s="59">
        <f>'Table T5'!L43/('Table T5'!J43-'Table T5'!Q43)</f>
        <v>0.14721905176889005</v>
      </c>
      <c r="J43" s="54">
        <f>'Table T5'!M43/('Table T5'!J43-'Table T5'!Q43)</f>
        <v>4.9113142049836252E-2</v>
      </c>
      <c r="K43" s="54">
        <f>'Table T5'!N43/('Table T5'!J43-'Table T5'!Q43)</f>
        <v>4.1537178648531722E-2</v>
      </c>
      <c r="L43" s="51">
        <f>'Table T5'!O43/('Table T5'!J43-'Table T5'!Q43)</f>
        <v>0.34300827399699468</v>
      </c>
      <c r="M43" s="394">
        <f>'Table T5'!P43/('Table T5'!J43-'Table T5'!Q43)</f>
        <v>5.904026650671805E-2</v>
      </c>
      <c r="N43" s="51">
        <f>'Table T5'!G43/('Table T4'!F82-'Table T4'!I82)</f>
        <v>0.49984550199686928</v>
      </c>
      <c r="O43" s="290">
        <f>L43*'Table T4'!S82</f>
        <v>8.015244884387214E-2</v>
      </c>
      <c r="Q43" s="330">
        <f t="shared" si="0"/>
        <v>1</v>
      </c>
      <c r="R43" s="330">
        <f t="shared" si="1"/>
        <v>1</v>
      </c>
    </row>
    <row r="44" spans="1:18" ht="16" thickBot="1">
      <c r="A44" s="329">
        <v>2012</v>
      </c>
      <c r="B44" s="62">
        <f>'Table T5'!C44/('Table T5'!B44-'Table T5'!I44)</f>
        <v>0.42143793505930544</v>
      </c>
      <c r="C44" s="62">
        <f>'Table T5'!D44/('Table T5'!B44-'Table T5'!I44)</f>
        <v>0.25824021209228415</v>
      </c>
      <c r="D44" s="63">
        <f>'Table T5'!E44/('Table T5'!B44-'Table T5'!I44)</f>
        <v>3.2194020907023668E-2</v>
      </c>
      <c r="E44" s="63">
        <f>'Table T5'!F44/('Table T5'!B44-'Table T5'!I44)</f>
        <v>0.12812896762996354</v>
      </c>
      <c r="F44" s="62">
        <f>'Table T5'!G44/('Table T5'!B44-'Table T5'!I44)</f>
        <v>0.32032185284841047</v>
      </c>
      <c r="G44" s="64">
        <f>'Table T5'!H44/('Table T5'!B44-'Table T5'!I44)</f>
        <v>4.3680329873851211E-2</v>
      </c>
      <c r="H44" s="62">
        <f>'Table T5'!K44/('Table T5'!J44-'Table T5'!Q44)</f>
        <v>0.47704620363832639</v>
      </c>
      <c r="I44" s="65">
        <f>'Table T5'!L44/('Table T5'!J44-'Table T5'!Q44)</f>
        <v>0.17131959410640038</v>
      </c>
      <c r="J44" s="63">
        <f>'Table T5'!M44/('Table T5'!J44-'Table T5'!Q44)</f>
        <v>5.3335120610531368E-2</v>
      </c>
      <c r="K44" s="63">
        <f>'Table T5'!N44/('Table T5'!J44-'Table T5'!Q44)</f>
        <v>5.2155140066050591E-2</v>
      </c>
      <c r="L44" s="62">
        <f>'Table T5'!O44/('Table T5'!J44-'Table T5'!Q44)</f>
        <v>0.3516342022552732</v>
      </c>
      <c r="M44" s="395">
        <f>'Table T5'!P44/('Table T5'!J44-'Table T5'!Q44)</f>
        <v>6.2066976639689166E-2</v>
      </c>
      <c r="N44" s="62">
        <f>'Table T5'!G44/('Table T4'!F83-'Table T4'!I83)</f>
        <v>0.51572186081111204</v>
      </c>
      <c r="O44" s="291">
        <f>L44*'Table T4'!S83</f>
        <v>8.6857573778635372E-2</v>
      </c>
      <c r="Q44" s="330">
        <f>B44+C44+F44</f>
        <v>1</v>
      </c>
      <c r="R44" s="330">
        <f>H44+I44+L44</f>
        <v>1</v>
      </c>
    </row>
    <row r="45" spans="1:18" ht="13" thickTop="1">
      <c r="H45" s="16"/>
      <c r="I45" s="17"/>
    </row>
    <row r="46" spans="1:18">
      <c r="H46" s="16"/>
      <c r="I46" s="17"/>
      <c r="Q46" s="330"/>
    </row>
    <row r="47" spans="1:18">
      <c r="A47" s="3">
        <v>1910</v>
      </c>
      <c r="B47" s="330">
        <f>B9</f>
        <v>0.98844478120856227</v>
      </c>
      <c r="C47" s="330">
        <f t="shared" ref="C47:O47" si="2">C9</f>
        <v>1.8942981625307825E-4</v>
      </c>
      <c r="D47" s="330">
        <f t="shared" si="2"/>
        <v>0</v>
      </c>
      <c r="E47" s="330">
        <f t="shared" si="2"/>
        <v>0</v>
      </c>
      <c r="F47" s="330">
        <f t="shared" si="2"/>
        <v>1.1365788975184693E-2</v>
      </c>
      <c r="G47" s="330">
        <f t="shared" si="2"/>
        <v>9.471490812653912E-3</v>
      </c>
      <c r="H47" s="330">
        <f t="shared" si="2"/>
        <v>0</v>
      </c>
      <c r="I47" s="330">
        <f t="shared" si="2"/>
        <v>0</v>
      </c>
      <c r="J47" s="330">
        <f t="shared" si="2"/>
        <v>0</v>
      </c>
      <c r="K47" s="330">
        <f t="shared" si="2"/>
        <v>0</v>
      </c>
      <c r="L47" s="330">
        <f t="shared" si="2"/>
        <v>0</v>
      </c>
      <c r="M47" s="330">
        <f t="shared" si="2"/>
        <v>0</v>
      </c>
      <c r="N47" s="330">
        <f t="shared" si="2"/>
        <v>0</v>
      </c>
      <c r="O47" s="330">
        <f t="shared" si="2"/>
        <v>0</v>
      </c>
      <c r="Q47" s="330">
        <f t="shared" ref="Q47:Q56" si="3">F47+C47+B47</f>
        <v>1</v>
      </c>
    </row>
    <row r="48" spans="1:18">
      <c r="A48" s="3">
        <v>1920</v>
      </c>
      <c r="B48" s="330">
        <f>B10</f>
        <v>0.93074545807910347</v>
      </c>
      <c r="C48" s="330">
        <f t="shared" ref="C48:O48" si="4">C10</f>
        <v>0</v>
      </c>
      <c r="D48" s="330">
        <f t="shared" si="4"/>
        <v>0</v>
      </c>
      <c r="E48" s="330">
        <f t="shared" si="4"/>
        <v>0</v>
      </c>
      <c r="F48" s="330">
        <f t="shared" si="4"/>
        <v>6.9254541920896528E-2</v>
      </c>
      <c r="G48" s="330">
        <f t="shared" si="4"/>
        <v>5.0366939578833834E-2</v>
      </c>
      <c r="H48" s="330">
        <f t="shared" si="4"/>
        <v>0</v>
      </c>
      <c r="I48" s="330">
        <f t="shared" si="4"/>
        <v>0</v>
      </c>
      <c r="J48" s="330">
        <f t="shared" si="4"/>
        <v>0</v>
      </c>
      <c r="K48" s="330">
        <f t="shared" si="4"/>
        <v>0</v>
      </c>
      <c r="L48" s="330">
        <f t="shared" si="4"/>
        <v>0</v>
      </c>
      <c r="M48" s="330">
        <f t="shared" si="4"/>
        <v>0</v>
      </c>
      <c r="N48" s="330">
        <f t="shared" si="4"/>
        <v>0</v>
      </c>
      <c r="O48" s="330">
        <f t="shared" si="4"/>
        <v>0</v>
      </c>
      <c r="Q48" s="330">
        <f t="shared" si="3"/>
        <v>1</v>
      </c>
    </row>
    <row r="49" spans="1:17">
      <c r="A49" s="3">
        <v>1930</v>
      </c>
      <c r="B49" s="330">
        <f>AVERAGE(B11:B12)</f>
        <v>0.85522277088125886</v>
      </c>
      <c r="C49" s="330">
        <f t="shared" ref="C49:O49" si="5">AVERAGE(C11:C12)</f>
        <v>1.2778728268807465E-2</v>
      </c>
      <c r="D49" s="330">
        <v>0</v>
      </c>
      <c r="E49" s="330">
        <f t="shared" si="5"/>
        <v>1.1287188499144559E-2</v>
      </c>
      <c r="F49" s="330">
        <f t="shared" si="5"/>
        <v>0.13838786498433739</v>
      </c>
      <c r="G49" s="330">
        <f t="shared" si="5"/>
        <v>0.11915559325706117</v>
      </c>
      <c r="H49" s="330" t="e">
        <f t="shared" si="5"/>
        <v>#DIV/0!</v>
      </c>
      <c r="I49" s="330" t="e">
        <f t="shared" si="5"/>
        <v>#DIV/0!</v>
      </c>
      <c r="J49" s="330" t="e">
        <f t="shared" si="5"/>
        <v>#DIV/0!</v>
      </c>
      <c r="K49" s="330" t="e">
        <f t="shared" si="5"/>
        <v>#DIV/0!</v>
      </c>
      <c r="L49" s="330" t="e">
        <f t="shared" si="5"/>
        <v>#DIV/0!</v>
      </c>
      <c r="M49" s="330" t="e">
        <f t="shared" si="5"/>
        <v>#DIV/0!</v>
      </c>
      <c r="N49" s="330" t="e">
        <f t="shared" si="5"/>
        <v>#DIV/0!</v>
      </c>
      <c r="O49" s="330" t="e">
        <f t="shared" si="5"/>
        <v>#DIV/0!</v>
      </c>
      <c r="Q49" s="330">
        <f t="shared" si="3"/>
        <v>1.0063893641344037</v>
      </c>
    </row>
    <row r="50" spans="1:17">
      <c r="A50" s="3">
        <v>1940</v>
      </c>
      <c r="B50" s="330">
        <f>B13</f>
        <v>0.74618685207804814</v>
      </c>
      <c r="C50" s="330">
        <f t="shared" ref="C50:O50" si="6">C13</f>
        <v>7.4133233110964952E-2</v>
      </c>
      <c r="D50" s="330">
        <f t="shared" si="6"/>
        <v>0</v>
      </c>
      <c r="E50" s="330">
        <f t="shared" si="6"/>
        <v>1.7288358545522881E-2</v>
      </c>
      <c r="F50" s="330">
        <f t="shared" si="6"/>
        <v>0.17967991481098691</v>
      </c>
      <c r="G50" s="330">
        <f t="shared" si="6"/>
        <v>0.15002035766857716</v>
      </c>
      <c r="H50" s="330">
        <f t="shared" si="6"/>
        <v>0.72745470410101121</v>
      </c>
      <c r="I50" s="330">
        <f t="shared" si="6"/>
        <v>7.755479135656726E-2</v>
      </c>
      <c r="J50" s="330">
        <f t="shared" si="6"/>
        <v>0</v>
      </c>
      <c r="K50" s="330">
        <f t="shared" si="6"/>
        <v>1.8323666786429198E-2</v>
      </c>
      <c r="L50" s="330">
        <f t="shared" si="6"/>
        <v>0.19499050454242159</v>
      </c>
      <c r="M50" s="330">
        <f t="shared" si="6"/>
        <v>0.15510958271313452</v>
      </c>
      <c r="N50" s="330">
        <f t="shared" si="6"/>
        <v>0</v>
      </c>
      <c r="O50" s="330">
        <f t="shared" si="6"/>
        <v>9.7120096687598797E-3</v>
      </c>
      <c r="Q50" s="330">
        <f t="shared" si="3"/>
        <v>1</v>
      </c>
    </row>
    <row r="51" spans="1:17">
      <c r="A51" s="3">
        <v>1950</v>
      </c>
      <c r="B51" s="70">
        <f>B50+(B$53-B$50)/3</f>
        <v>0.68464799583957447</v>
      </c>
      <c r="C51" s="70">
        <f t="shared" ref="C51:O52" si="7">C50+(C$53-C$50)/3</f>
        <v>0.1294045792080559</v>
      </c>
      <c r="D51" s="70">
        <f t="shared" si="7"/>
        <v>6.8954430488275389E-2</v>
      </c>
      <c r="E51" s="70">
        <f t="shared" si="7"/>
        <v>1.1543434354793793E-2</v>
      </c>
      <c r="F51" s="70">
        <f t="shared" si="7"/>
        <v>0.18594742495236968</v>
      </c>
      <c r="G51" s="70">
        <f t="shared" si="7"/>
        <v>0.14793729393220731</v>
      </c>
      <c r="H51" s="70">
        <f t="shared" si="7"/>
        <v>0.66180761988876002</v>
      </c>
      <c r="I51" s="70">
        <f t="shared" si="7"/>
        <v>8.6006715244978979E-2</v>
      </c>
      <c r="J51" s="70">
        <f t="shared" si="7"/>
        <v>2.4734256340977784E-2</v>
      </c>
      <c r="K51" s="70">
        <f t="shared" si="7"/>
        <v>1.2250864838244436E-2</v>
      </c>
      <c r="L51" s="70">
        <f t="shared" si="7"/>
        <v>0.25218566486626104</v>
      </c>
      <c r="M51" s="70">
        <f t="shared" si="7"/>
        <v>0.19572377981438971</v>
      </c>
      <c r="N51" s="70">
        <f t="shared" si="7"/>
        <v>0.13011922912085208</v>
      </c>
      <c r="O51" s="70">
        <f t="shared" si="7"/>
        <v>1.2451010084661053E-2</v>
      </c>
      <c r="Q51" s="330">
        <f t="shared" si="3"/>
        <v>1</v>
      </c>
    </row>
    <row r="52" spans="1:17">
      <c r="A52" s="3">
        <v>1960</v>
      </c>
      <c r="B52" s="70">
        <f>B51+(B$53-B$50)/3</f>
        <v>0.62310913960110081</v>
      </c>
      <c r="C52" s="70">
        <f t="shared" si="7"/>
        <v>0.18467592530514684</v>
      </c>
      <c r="D52" s="70">
        <f t="shared" si="7"/>
        <v>0.13790886097655078</v>
      </c>
      <c r="E52" s="70">
        <f t="shared" si="7"/>
        <v>5.798510164064706E-3</v>
      </c>
      <c r="F52" s="70">
        <f t="shared" si="7"/>
        <v>0.19221493509375245</v>
      </c>
      <c r="G52" s="70">
        <f t="shared" si="7"/>
        <v>0.14585423019583746</v>
      </c>
      <c r="H52" s="70">
        <f t="shared" si="7"/>
        <v>0.59616053567650884</v>
      </c>
      <c r="I52" s="70">
        <f t="shared" si="7"/>
        <v>9.4458639133390698E-2</v>
      </c>
      <c r="J52" s="70">
        <f t="shared" si="7"/>
        <v>4.9468512681955568E-2</v>
      </c>
      <c r="K52" s="70">
        <f t="shared" si="7"/>
        <v>6.1780628900596725E-3</v>
      </c>
      <c r="L52" s="70">
        <f t="shared" si="7"/>
        <v>0.30938082519010046</v>
      </c>
      <c r="M52" s="70">
        <f t="shared" si="7"/>
        <v>0.2363379769156449</v>
      </c>
      <c r="N52" s="70">
        <f t="shared" si="7"/>
        <v>0.26023845824170416</v>
      </c>
      <c r="O52" s="70">
        <f t="shared" si="7"/>
        <v>1.5190010500562226E-2</v>
      </c>
      <c r="Q52" s="330">
        <f t="shared" si="3"/>
        <v>1</v>
      </c>
    </row>
    <row r="53" spans="1:17">
      <c r="A53" s="3">
        <v>1970</v>
      </c>
      <c r="B53" s="330">
        <f>AVERAGE(B14:B15)</f>
        <v>0.56157028336262704</v>
      </c>
      <c r="C53" s="330">
        <f t="shared" ref="C53:O53" si="8">AVERAGE(C14:C15)</f>
        <v>0.23994727140223776</v>
      </c>
      <c r="D53" s="330">
        <f t="shared" si="8"/>
        <v>0.20686329146482618</v>
      </c>
      <c r="E53" s="330">
        <f t="shared" si="8"/>
        <v>5.3585973335619673E-5</v>
      </c>
      <c r="F53" s="330">
        <f t="shared" si="8"/>
        <v>0.19848244523513525</v>
      </c>
      <c r="G53" s="330">
        <f t="shared" si="8"/>
        <v>0.14377116645946758</v>
      </c>
      <c r="H53" s="330">
        <f t="shared" si="8"/>
        <v>0.53051345146425766</v>
      </c>
      <c r="I53" s="330">
        <f t="shared" si="8"/>
        <v>0.10291056302180242</v>
      </c>
      <c r="J53" s="330">
        <f t="shared" si="8"/>
        <v>7.4202769022933351E-2</v>
      </c>
      <c r="K53" s="330">
        <f t="shared" si="8"/>
        <v>1.0526094187490789E-4</v>
      </c>
      <c r="L53" s="330">
        <f t="shared" si="8"/>
        <v>0.36657598551393994</v>
      </c>
      <c r="M53" s="330">
        <f t="shared" si="8"/>
        <v>0.27695217401690009</v>
      </c>
      <c r="N53" s="330">
        <f t="shared" si="8"/>
        <v>0.39035768736255622</v>
      </c>
      <c r="O53" s="330">
        <f t="shared" si="8"/>
        <v>1.79290109164634E-2</v>
      </c>
      <c r="Q53" s="330">
        <f t="shared" si="3"/>
        <v>1</v>
      </c>
    </row>
    <row r="54" spans="1:17">
      <c r="A54" s="3">
        <v>1980</v>
      </c>
      <c r="B54" s="330">
        <f>AVERAGE(B16:B21)</f>
        <v>0.65531544142342746</v>
      </c>
      <c r="C54" s="330">
        <f t="shared" ref="C54:O54" si="9">AVERAGE(C16:C21)</f>
        <v>0.16331731860582135</v>
      </c>
      <c r="D54" s="330">
        <f t="shared" si="9"/>
        <v>0.10215088776389585</v>
      </c>
      <c r="E54" s="330">
        <f t="shared" si="9"/>
        <v>5.6064003901182865E-4</v>
      </c>
      <c r="F54" s="330">
        <f t="shared" si="9"/>
        <v>0.18136723997075122</v>
      </c>
      <c r="G54" s="330">
        <f t="shared" si="9"/>
        <v>7.2498201064755685E-2</v>
      </c>
      <c r="H54" s="330">
        <f t="shared" si="9"/>
        <v>0.63710825622322431</v>
      </c>
      <c r="I54" s="330">
        <f t="shared" si="9"/>
        <v>0.11346761328337666</v>
      </c>
      <c r="J54" s="330">
        <f t="shared" si="9"/>
        <v>8.0703972420180334E-2</v>
      </c>
      <c r="K54" s="330">
        <f t="shared" si="9"/>
        <v>1.0721897943847377E-4</v>
      </c>
      <c r="L54" s="330">
        <f t="shared" si="9"/>
        <v>0.24942413049339898</v>
      </c>
      <c r="M54" s="330">
        <f t="shared" si="9"/>
        <v>0.12999221517000784</v>
      </c>
      <c r="N54" s="330">
        <f t="shared" si="9"/>
        <v>0.2323820305563972</v>
      </c>
      <c r="O54" s="330">
        <f t="shared" si="9"/>
        <v>1.6842705614262713E-2</v>
      </c>
      <c r="Q54" s="330">
        <f t="shared" si="3"/>
        <v>1</v>
      </c>
    </row>
    <row r="55" spans="1:17">
      <c r="A55" s="3">
        <v>1990</v>
      </c>
      <c r="B55" s="330">
        <f>AVERAGE(B22:B31)</f>
        <v>0.60429438416278036</v>
      </c>
      <c r="C55" s="330">
        <f t="shared" ref="C55:O55" si="10">AVERAGE(C22:C31)</f>
        <v>0.14662238854015436</v>
      </c>
      <c r="D55" s="330">
        <f t="shared" si="10"/>
        <v>4.3056096463967616E-2</v>
      </c>
      <c r="E55" s="330">
        <f t="shared" si="10"/>
        <v>1.4712230608184362E-2</v>
      </c>
      <c r="F55" s="330">
        <f t="shared" si="10"/>
        <v>0.2490832272970652</v>
      </c>
      <c r="G55" s="330">
        <f t="shared" si="10"/>
        <v>5.4175687755406897E-2</v>
      </c>
      <c r="H55" s="330">
        <f t="shared" si="10"/>
        <v>0.6302034327981032</v>
      </c>
      <c r="I55" s="330">
        <f t="shared" si="10"/>
        <v>8.2344755827246152E-2</v>
      </c>
      <c r="J55" s="330">
        <f t="shared" si="10"/>
        <v>4.6289819435909284E-2</v>
      </c>
      <c r="K55" s="330">
        <f t="shared" si="10"/>
        <v>5.2448536671125749E-4</v>
      </c>
      <c r="L55" s="330">
        <f t="shared" si="10"/>
        <v>0.28745181137465065</v>
      </c>
      <c r="M55" s="330">
        <f t="shared" si="10"/>
        <v>9.5027497502138999E-2</v>
      </c>
      <c r="N55" s="330">
        <f t="shared" si="10"/>
        <v>0.28282315432971361</v>
      </c>
      <c r="O55" s="330">
        <f t="shared" si="10"/>
        <v>2.3954739603936771E-2</v>
      </c>
      <c r="Q55" s="330">
        <f t="shared" si="3"/>
        <v>0.99999999999999989</v>
      </c>
    </row>
    <row r="56" spans="1:17">
      <c r="A56" s="3">
        <v>2000</v>
      </c>
      <c r="B56" s="330">
        <f>AVERAGE(B32:B41)</f>
        <v>0.45854439818618931</v>
      </c>
      <c r="C56" s="330">
        <f t="shared" ref="C56:O56" si="11">AVERAGE(C32:C41)</f>
        <v>0.21385258579432881</v>
      </c>
      <c r="D56" s="330">
        <f t="shared" si="11"/>
        <v>2.6015308682689864E-2</v>
      </c>
      <c r="E56" s="330">
        <f t="shared" si="11"/>
        <v>8.750382432727731E-2</v>
      </c>
      <c r="F56" s="330">
        <f t="shared" si="11"/>
        <v>0.32760301601948194</v>
      </c>
      <c r="G56" s="330">
        <f t="shared" si="11"/>
        <v>4.0872477710538979E-2</v>
      </c>
      <c r="H56" s="330">
        <f t="shared" si="11"/>
        <v>0.56581037358250308</v>
      </c>
      <c r="I56" s="330">
        <f t="shared" si="11"/>
        <v>9.7980114322912898E-2</v>
      </c>
      <c r="J56" s="330">
        <f t="shared" si="11"/>
        <v>3.8371906446499092E-2</v>
      </c>
      <c r="K56" s="330">
        <f t="shared" si="11"/>
        <v>1.1165081078099704E-2</v>
      </c>
      <c r="L56" s="330">
        <f t="shared" si="11"/>
        <v>0.33620951209458416</v>
      </c>
      <c r="M56" s="330">
        <f t="shared" si="11"/>
        <v>6.5953336900524698E-2</v>
      </c>
      <c r="N56" s="330">
        <f t="shared" si="11"/>
        <v>0.4284871790365628</v>
      </c>
      <c r="O56" s="330">
        <f t="shared" si="11"/>
        <v>4.769312605037436E-2</v>
      </c>
      <c r="Q56" s="330">
        <f t="shared" si="3"/>
        <v>1</v>
      </c>
    </row>
    <row r="57" spans="1:17">
      <c r="A57" s="3">
        <v>2010</v>
      </c>
      <c r="B57" s="330">
        <f>AVERAGE(B42:B44)</f>
        <v>0.40310610831802696</v>
      </c>
      <c r="C57" s="330">
        <f t="shared" ref="C57:O57" si="12">AVERAGE(C42:C44)</f>
        <v>0.28070414506947561</v>
      </c>
      <c r="D57" s="330">
        <f t="shared" si="12"/>
        <v>3.0787799359192968E-2</v>
      </c>
      <c r="E57" s="330">
        <f t="shared" si="12"/>
        <v>0.14348144812801109</v>
      </c>
      <c r="F57" s="330">
        <f t="shared" si="12"/>
        <v>0.31618974661249749</v>
      </c>
      <c r="G57" s="330">
        <f t="shared" si="12"/>
        <v>4.1793477224690449E-2</v>
      </c>
      <c r="H57" s="330">
        <f t="shared" si="12"/>
        <v>0.49868494430327354</v>
      </c>
      <c r="I57" s="330">
        <f t="shared" si="12"/>
        <v>0.15653247085987154</v>
      </c>
      <c r="J57" s="330">
        <f t="shared" si="12"/>
        <v>5.0946122787580178E-2</v>
      </c>
      <c r="K57" s="330">
        <f t="shared" si="12"/>
        <v>4.5438947708803967E-2</v>
      </c>
      <c r="L57" s="330">
        <f t="shared" si="12"/>
        <v>0.34478258483685487</v>
      </c>
      <c r="M57" s="330">
        <f t="shared" si="12"/>
        <v>6.0120288326276312E-2</v>
      </c>
      <c r="N57" s="330">
        <f t="shared" si="12"/>
        <v>0.50525866774436679</v>
      </c>
      <c r="O57" s="330">
        <f t="shared" si="12"/>
        <v>7.939387014776296E-2</v>
      </c>
      <c r="Q57" s="330">
        <f>F57+C57+B57</f>
        <v>1</v>
      </c>
    </row>
  </sheetData>
  <mergeCells count="11">
    <mergeCell ref="B7:B8"/>
    <mergeCell ref="A3:O3"/>
    <mergeCell ref="C7:C8"/>
    <mergeCell ref="F7:F8"/>
    <mergeCell ref="I7:I8"/>
    <mergeCell ref="L7:L8"/>
    <mergeCell ref="H6:M6"/>
    <mergeCell ref="B6:G6"/>
    <mergeCell ref="O6:O8"/>
    <mergeCell ref="H7:H8"/>
    <mergeCell ref="N6:N8"/>
  </mergeCells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51"/>
  <sheetViews>
    <sheetView workbookViewId="0">
      <pane xSplit="1" ySplit="7" topLeftCell="B8" activePane="bottomRight" state="frozen"/>
      <selection pane="topRight" activeCell="C1" sqref="C1"/>
      <selection pane="bottomLeft" activeCell="A9" sqref="A9"/>
      <selection pane="bottomRight" activeCell="A3" sqref="A3:L3"/>
    </sheetView>
  </sheetViews>
  <sheetFormatPr baseColWidth="10" defaultColWidth="10.83203125" defaultRowHeight="12" x14ac:dyDescent="0"/>
  <cols>
    <col min="1" max="1" width="12.5" style="3" customWidth="1"/>
    <col min="2" max="2" width="12.5" style="2" customWidth="1"/>
    <col min="3" max="11" width="12.5" style="3" customWidth="1"/>
    <col min="12" max="16384" width="10.83203125" style="3"/>
  </cols>
  <sheetData>
    <row r="2" spans="1:14" ht="13" customHeight="1" thickBot="1">
      <c r="A2" s="1"/>
    </row>
    <row r="3" spans="1:14" s="5" customFormat="1" ht="20" customHeight="1" thickTop="1">
      <c r="A3" s="449" t="s">
        <v>221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1"/>
    </row>
    <row r="4" spans="1:14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6"/>
    </row>
    <row r="5" spans="1:14" ht="13" thickBot="1">
      <c r="A5" s="7"/>
      <c r="B5" s="11" t="s">
        <v>17</v>
      </c>
      <c r="C5" s="12" t="s">
        <v>18</v>
      </c>
      <c r="D5" s="22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22" t="s">
        <v>25</v>
      </c>
      <c r="K5" s="22" t="s">
        <v>26</v>
      </c>
      <c r="L5" s="61" t="s">
        <v>27</v>
      </c>
    </row>
    <row r="6" spans="1:14" ht="25" customHeight="1">
      <c r="A6" s="7"/>
      <c r="B6" s="476" t="s">
        <v>111</v>
      </c>
      <c r="C6" s="458" t="s">
        <v>101</v>
      </c>
      <c r="D6" s="460" t="s">
        <v>102</v>
      </c>
      <c r="E6" s="503" t="s">
        <v>32</v>
      </c>
      <c r="F6" s="503" t="s">
        <v>33</v>
      </c>
      <c r="G6" s="40"/>
      <c r="H6" s="40"/>
      <c r="I6" s="503" t="s">
        <v>34</v>
      </c>
      <c r="J6" s="368"/>
      <c r="K6" s="525" t="s">
        <v>203</v>
      </c>
      <c r="L6" s="523" t="s">
        <v>204</v>
      </c>
    </row>
    <row r="7" spans="1:14" ht="61" customHeight="1" thickBot="1">
      <c r="A7" s="14"/>
      <c r="B7" s="495"/>
      <c r="C7" s="492"/>
      <c r="D7" s="483"/>
      <c r="E7" s="504"/>
      <c r="F7" s="504"/>
      <c r="G7" s="15" t="s">
        <v>35</v>
      </c>
      <c r="H7" s="15" t="s">
        <v>202</v>
      </c>
      <c r="I7" s="504"/>
      <c r="J7" s="15" t="s">
        <v>49</v>
      </c>
      <c r="K7" s="504"/>
      <c r="L7" s="524"/>
    </row>
    <row r="8" spans="1:14" ht="15">
      <c r="A8" s="427">
        <v>1978</v>
      </c>
      <c r="B8" s="331">
        <f>'Table T3'!H53</f>
        <v>85.674000000000007</v>
      </c>
      <c r="C8" s="308">
        <f>B8-D8</f>
        <v>7.0980000000000132</v>
      </c>
      <c r="D8" s="428">
        <f>RawData!CG36/1000</f>
        <v>78.575999999999993</v>
      </c>
      <c r="E8" s="429">
        <f>RawData!CJ36/1000</f>
        <v>59.780029999999996</v>
      </c>
      <c r="F8" s="429">
        <f>(RawData!CK36+RawData!CH36+0.66*RawData!CM36)/1000</f>
        <v>6.9731024000000019</v>
      </c>
      <c r="G8" s="308">
        <f>RawData!DD36/1000</f>
        <v>0</v>
      </c>
      <c r="H8" s="308">
        <f>(RawData!CH36+0.66*RawData!CM36)/1000</f>
        <v>2.4292224000000018</v>
      </c>
      <c r="I8" s="430">
        <f>RawData!CL36/1000</f>
        <v>16.161669999999997</v>
      </c>
      <c r="J8" s="431">
        <f>RawData!CQ36/1000</f>
        <v>13.9702</v>
      </c>
      <c r="K8" s="429">
        <f>B8-E8-F8-I8</f>
        <v>2.7591976000000109</v>
      </c>
      <c r="L8" s="432">
        <f>(I8-J8)/C8</f>
        <v>0.3087447168216389</v>
      </c>
    </row>
    <row r="9" spans="1:14" ht="15">
      <c r="A9" s="327">
        <v>1979</v>
      </c>
      <c r="B9" s="335">
        <f>'Table T3'!H54</f>
        <v>67.968999999999994</v>
      </c>
      <c r="C9" s="227">
        <f t="shared" ref="C9:C38" si="0">B9-D9</f>
        <v>8.0549999999999926</v>
      </c>
      <c r="D9" s="321">
        <f>RawData!CG37/1000</f>
        <v>59.914000000000001</v>
      </c>
      <c r="E9" s="347">
        <f>RawData!CJ37/1000</f>
        <v>37.211359999999999</v>
      </c>
      <c r="F9" s="347">
        <f>(RawData!CK37+RawData!CH37+0.66*RawData!CM37)/1000</f>
        <v>11.093495399999998</v>
      </c>
      <c r="G9" s="227">
        <f>RawData!DD37/1000</f>
        <v>0</v>
      </c>
      <c r="H9" s="227">
        <f>(RawData!CH37+0.66*RawData!CM37)/1000</f>
        <v>5.9590453999999982</v>
      </c>
      <c r="I9" s="345">
        <f>RawData!CL37/1000</f>
        <v>15.194033333333334</v>
      </c>
      <c r="J9" s="250">
        <f>RawData!CQ37/1000</f>
        <v>12.636979999999999</v>
      </c>
      <c r="K9" s="347">
        <f t="shared" ref="K9:K42" si="1">B9-E9-F9-I9</f>
        <v>4.4701112666666631</v>
      </c>
      <c r="L9" s="433">
        <f t="shared" ref="L9:L42" si="2">(I9-J9)/C9</f>
        <v>0.31744920339333788</v>
      </c>
    </row>
    <row r="10" spans="1:14" ht="15">
      <c r="A10" s="328">
        <v>1980</v>
      </c>
      <c r="B10" s="19">
        <f>'Table T3'!H55</f>
        <v>77.674000000000007</v>
      </c>
      <c r="C10" s="31">
        <f t="shared" si="0"/>
        <v>8.8760000000000048</v>
      </c>
      <c r="D10" s="66">
        <f>RawData!CG38/1000</f>
        <v>68.798000000000002</v>
      </c>
      <c r="E10" s="23">
        <f>RawData!CJ38/1000</f>
        <v>45.845160000000007</v>
      </c>
      <c r="F10" s="23">
        <f>(RawData!CK38+RawData!CH38+0.66*RawData!CM38)/1000</f>
        <v>14.296785799999999</v>
      </c>
      <c r="G10" s="31">
        <f>RawData!DD38/1000</f>
        <v>0</v>
      </c>
      <c r="H10" s="31">
        <f>(RawData!CH38+0.66*RawData!CM38)/1000</f>
        <v>6.4395957999999993</v>
      </c>
      <c r="I10" s="20">
        <f>RawData!CL38/1000</f>
        <v>13.213356666666664</v>
      </c>
      <c r="J10" s="32">
        <f>RawData!CQ38/1000</f>
        <v>11.199879999999999</v>
      </c>
      <c r="K10" s="23">
        <f t="shared" si="1"/>
        <v>4.3186975333333368</v>
      </c>
      <c r="L10" s="415">
        <f t="shared" si="2"/>
        <v>0.22684505032296806</v>
      </c>
    </row>
    <row r="11" spans="1:14" ht="15">
      <c r="A11" s="328">
        <v>1981</v>
      </c>
      <c r="B11" s="19">
        <f>'Table T3'!H56</f>
        <v>74.102999999999994</v>
      </c>
      <c r="C11" s="31">
        <f t="shared" si="0"/>
        <v>12.085999999999991</v>
      </c>
      <c r="D11" s="66">
        <f>RawData!CG39/1000</f>
        <v>62.017000000000003</v>
      </c>
      <c r="E11" s="23">
        <f>RawData!CJ39/1000</f>
        <v>41.10539</v>
      </c>
      <c r="F11" s="23">
        <f>(RawData!CK39+0.66*RawData!CM39)/1000</f>
        <v>16.8866552</v>
      </c>
      <c r="G11" s="31">
        <f>RawData!DD39/1000</f>
        <v>0</v>
      </c>
      <c r="H11" s="31">
        <f>(RawData!CH39+0.66*RawData!CM39)/1000</f>
        <v>8.1654452000000006</v>
      </c>
      <c r="I11" s="20">
        <f>RawData!CL39/1000</f>
        <v>15.435319999999999</v>
      </c>
      <c r="J11" s="32">
        <f>RawData!CQ39/1000</f>
        <v>10.861610000000001</v>
      </c>
      <c r="K11" s="23">
        <f t="shared" si="1"/>
        <v>0.67563479999999565</v>
      </c>
      <c r="L11" s="415">
        <f t="shared" si="2"/>
        <v>0.37843041535661109</v>
      </c>
    </row>
    <row r="12" spans="1:14" ht="15">
      <c r="A12" s="328">
        <v>1982</v>
      </c>
      <c r="B12" s="19">
        <f>'Table T3'!H57</f>
        <v>76.263999999999996</v>
      </c>
      <c r="C12" s="31">
        <f t="shared" si="0"/>
        <v>21.255999999999993</v>
      </c>
      <c r="D12" s="66">
        <f>RawData!CG40/1000</f>
        <v>55.008000000000003</v>
      </c>
      <c r="E12" s="23">
        <f>RawData!CJ40/1000</f>
        <v>31.021409999999999</v>
      </c>
      <c r="F12" s="23">
        <f>(RawData!CK40+0.66*RawData!CM40)/1000</f>
        <v>16.366811199999997</v>
      </c>
      <c r="G12" s="31">
        <f>RawData!DD40/1000</f>
        <v>1.09E-3</v>
      </c>
      <c r="H12" s="31">
        <f>(RawData!CH40+0.66*RawData!CM40)/1000</f>
        <v>8.1588611999999987</v>
      </c>
      <c r="I12" s="20">
        <f>RawData!CL40/1000</f>
        <v>26.693373333333334</v>
      </c>
      <c r="J12" s="32">
        <f>RawData!CQ40/1000</f>
        <v>20.04881</v>
      </c>
      <c r="K12" s="23">
        <f t="shared" si="1"/>
        <v>2.1824054666666619</v>
      </c>
      <c r="L12" s="415">
        <f t="shared" si="2"/>
        <v>0.31259707063103764</v>
      </c>
      <c r="N12" s="4"/>
    </row>
    <row r="13" spans="1:14" ht="15">
      <c r="A13" s="328">
        <v>1983</v>
      </c>
      <c r="B13" s="19">
        <f>'Table T3'!H58</f>
        <v>86.135999999999996</v>
      </c>
      <c r="C13" s="31">
        <f t="shared" si="0"/>
        <v>25.687999999999995</v>
      </c>
      <c r="D13" s="66">
        <f>RawData!CG41/1000</f>
        <v>60.448</v>
      </c>
      <c r="E13" s="23">
        <f>RawData!CJ41/1000</f>
        <v>37.495839999999994</v>
      </c>
      <c r="F13" s="23">
        <f>(RawData!CK41+0.66*RawData!CM41)/1000</f>
        <v>16.214085999999995</v>
      </c>
      <c r="G13" s="31">
        <f>RawData!DD41/1000</f>
        <v>0</v>
      </c>
      <c r="H13" s="31">
        <f>(RawData!CH41+0.66*RawData!CM41)/1000</f>
        <v>7.4193159999999958</v>
      </c>
      <c r="I13" s="20">
        <f>RawData!CL41/1000</f>
        <v>31.932216666666672</v>
      </c>
      <c r="J13" s="32">
        <f>RawData!CQ41/1000</f>
        <v>22.32788</v>
      </c>
      <c r="K13" s="23">
        <f t="shared" si="1"/>
        <v>0.49385733333333448</v>
      </c>
      <c r="L13" s="415">
        <f t="shared" si="2"/>
        <v>0.37388417419287895</v>
      </c>
    </row>
    <row r="14" spans="1:14" ht="15">
      <c r="A14" s="325">
        <v>1984</v>
      </c>
      <c r="B14" s="19">
        <f>'Table T3'!H59</f>
        <v>95.114999999999995</v>
      </c>
      <c r="C14" s="31">
        <f t="shared" si="0"/>
        <v>28.087999999999994</v>
      </c>
      <c r="D14" s="66">
        <f>RawData!CG42/1000</f>
        <v>67.027000000000001</v>
      </c>
      <c r="E14" s="23">
        <f>RawData!CJ42/1000</f>
        <v>35.991999999999997</v>
      </c>
      <c r="F14" s="23">
        <f>(RawData!CK42+0.66*RawData!CM42)/1000</f>
        <v>23.357900399999995</v>
      </c>
      <c r="G14" s="31">
        <f>RawData!DD42/1000</f>
        <v>2.3E-2</v>
      </c>
      <c r="H14" s="31">
        <f>(RawData!CH42+0.66*RawData!CM42)/1000</f>
        <v>10.029900399999997</v>
      </c>
      <c r="I14" s="20">
        <f>RawData!CL42/1000</f>
        <v>34.247340000000001</v>
      </c>
      <c r="J14" s="32">
        <f>RawData!CQ42/1000</f>
        <v>22.922270000000001</v>
      </c>
      <c r="K14" s="23">
        <f t="shared" si="1"/>
        <v>1.517759599999998</v>
      </c>
      <c r="L14" s="415">
        <f t="shared" si="2"/>
        <v>0.40319958701224734</v>
      </c>
    </row>
    <row r="15" spans="1:14" ht="15">
      <c r="A15" s="325">
        <v>1985</v>
      </c>
      <c r="B15" s="19">
        <f>'Table T3'!H60</f>
        <v>87.096999999999994</v>
      </c>
      <c r="C15" s="31">
        <f t="shared" si="0"/>
        <v>27.945999999999991</v>
      </c>
      <c r="D15" s="66">
        <f>RawData!CG43/1000</f>
        <v>59.151000000000003</v>
      </c>
      <c r="E15" s="23">
        <f>RawData!CJ43/1000</f>
        <v>28.048999999999999</v>
      </c>
      <c r="F15" s="23">
        <f>(RawData!CK43+0.66*RawData!CM43)/1000</f>
        <v>28.538363</v>
      </c>
      <c r="G15" s="31">
        <f>RawData!DD43/1000</f>
        <v>0</v>
      </c>
      <c r="H15" s="31">
        <f>(RawData!CH43+0.66*RawData!CM43)/1000</f>
        <v>9.1183629999999987</v>
      </c>
      <c r="I15" s="20">
        <f>RawData!CL43/1000</f>
        <v>28.174819999999997</v>
      </c>
      <c r="J15" s="32">
        <f>RawData!CQ43/1000</f>
        <v>21.07452</v>
      </c>
      <c r="K15" s="23">
        <f t="shared" si="1"/>
        <v>2.3348169999999975</v>
      </c>
      <c r="L15" s="415">
        <f t="shared" si="2"/>
        <v>0.25407213912545623</v>
      </c>
    </row>
    <row r="16" spans="1:14" ht="15">
      <c r="A16" s="325">
        <v>1986</v>
      </c>
      <c r="B16" s="19">
        <f>'Table T3'!H61</f>
        <v>105.815</v>
      </c>
      <c r="C16" s="31">
        <f t="shared" si="0"/>
        <v>27.673000000000002</v>
      </c>
      <c r="D16" s="66">
        <f>RawData!CG44/1000</f>
        <v>78.141999999999996</v>
      </c>
      <c r="E16" s="23">
        <f>RawData!CJ44/1000</f>
        <v>47.021000000000001</v>
      </c>
      <c r="F16" s="23">
        <f>(RawData!CK44+0.66*RawData!CM44)/1000</f>
        <v>25.949989800000004</v>
      </c>
      <c r="G16" s="31">
        <f>RawData!DD44/1000</f>
        <v>1.2970000000000001E-2</v>
      </c>
      <c r="H16" s="31">
        <f>(RawData!CH44+0.66*RawData!CM44)/1000</f>
        <v>5.4979898000000009</v>
      </c>
      <c r="I16" s="20">
        <f>RawData!CL44/1000</f>
        <v>32.199329999999996</v>
      </c>
      <c r="J16" s="32">
        <f>RawData!CQ44/1000</f>
        <v>23.292619999999999</v>
      </c>
      <c r="K16" s="23">
        <f t="shared" si="1"/>
        <v>0.64468019999999626</v>
      </c>
      <c r="L16" s="415">
        <f t="shared" si="2"/>
        <v>0.32185559932063729</v>
      </c>
    </row>
    <row r="17" spans="1:12" ht="15">
      <c r="A17" s="325">
        <v>1987</v>
      </c>
      <c r="B17" s="19">
        <f>'Table T3'!H62</f>
        <v>118.51900000000001</v>
      </c>
      <c r="C17" s="31">
        <f t="shared" si="0"/>
        <v>26.555000000000007</v>
      </c>
      <c r="D17" s="66">
        <f>RawData!CG45/1000</f>
        <v>91.963999999999999</v>
      </c>
      <c r="E17" s="23">
        <f>RawData!CJ45/1000</f>
        <v>56.658999999999999</v>
      </c>
      <c r="F17" s="23">
        <f>(RawData!CK45+0.66*RawData!CM45)/1000</f>
        <v>29.896739000000004</v>
      </c>
      <c r="G17" s="31">
        <f>RawData!DD45/1000</f>
        <v>6.8470000000000003E-2</v>
      </c>
      <c r="H17" s="31">
        <f>(RawData!CH45+0.66*RawData!CM45)/1000</f>
        <v>4.5007390000000056</v>
      </c>
      <c r="I17" s="20">
        <f>RawData!CL45/1000</f>
        <v>31.228289999999994</v>
      </c>
      <c r="J17" s="32">
        <f>RawData!CQ45/1000</f>
        <v>25.533470000000001</v>
      </c>
      <c r="K17" s="23">
        <f t="shared" si="1"/>
        <v>0.7349710000000087</v>
      </c>
      <c r="L17" s="415">
        <f t="shared" si="2"/>
        <v>0.21445377518358091</v>
      </c>
    </row>
    <row r="18" spans="1:12" ht="15">
      <c r="A18" s="325">
        <v>1988</v>
      </c>
      <c r="B18" s="19">
        <f>'Table T3'!H63</f>
        <v>131.482</v>
      </c>
      <c r="C18" s="31">
        <f t="shared" si="0"/>
        <v>23.349999999999994</v>
      </c>
      <c r="D18" s="66">
        <f>RawData!CG46/1000</f>
        <v>108.13200000000001</v>
      </c>
      <c r="E18" s="23">
        <f>RawData!CJ46/1000</f>
        <v>64.266000000000005</v>
      </c>
      <c r="F18" s="23">
        <f>(RawData!CK46+0.66*RawData!CM46)/1000</f>
        <v>36.218825000000002</v>
      </c>
      <c r="G18" s="31">
        <f>RawData!DD46/1000</f>
        <v>8.1170000000000006E-2</v>
      </c>
      <c r="H18" s="31">
        <f>(RawData!CH46+0.66*RawData!CM46)/1000</f>
        <v>4.2858250000000071</v>
      </c>
      <c r="I18" s="20">
        <f>RawData!CL46/1000</f>
        <v>30.663390000000003</v>
      </c>
      <c r="J18" s="32">
        <f>RawData!CQ46/1000</f>
        <v>23.565000000000001</v>
      </c>
      <c r="K18" s="23">
        <f t="shared" si="1"/>
        <v>0.33378499999998823</v>
      </c>
      <c r="L18" s="415">
        <f t="shared" si="2"/>
        <v>0.30399957173447556</v>
      </c>
    </row>
    <row r="19" spans="1:12" ht="15">
      <c r="A19" s="326">
        <v>1989</v>
      </c>
      <c r="B19" s="335">
        <f>'Table T3'!H64</f>
        <v>110.626</v>
      </c>
      <c r="C19" s="227">
        <f t="shared" si="0"/>
        <v>28.253</v>
      </c>
      <c r="D19" s="321">
        <f>RawData!CG47/1000</f>
        <v>82.373000000000005</v>
      </c>
      <c r="E19" s="347">
        <f>RawData!CJ47/1000</f>
        <v>50.424999999999997</v>
      </c>
      <c r="F19" s="347">
        <f>(RawData!CK47+0.66*RawData!CM47)/1000</f>
        <v>30.931099200000002</v>
      </c>
      <c r="G19" s="227">
        <f>RawData!DD47/1000</f>
        <v>0.24983000000000002</v>
      </c>
      <c r="H19" s="227">
        <f>(RawData!CH47+0.66*RawData!CM47)/1000</f>
        <v>3.814099200000002</v>
      </c>
      <c r="I19" s="345">
        <f>RawData!CL47/1000</f>
        <v>28.987290000000002</v>
      </c>
      <c r="J19" s="250">
        <f>RawData!CQ47/1000</f>
        <v>21.87</v>
      </c>
      <c r="K19" s="347">
        <f t="shared" si="1"/>
        <v>0.28261080000000405</v>
      </c>
      <c r="L19" s="433">
        <f t="shared" si="2"/>
        <v>0.25191271723356812</v>
      </c>
    </row>
    <row r="20" spans="1:12" ht="15">
      <c r="A20" s="325">
        <v>1990</v>
      </c>
      <c r="B20" s="19">
        <f>'Table T3'!H65</f>
        <v>114.374</v>
      </c>
      <c r="C20" s="31">
        <f t="shared" si="0"/>
        <v>29.980999999999995</v>
      </c>
      <c r="D20" s="66">
        <f>RawData!CG48/1000</f>
        <v>84.393000000000001</v>
      </c>
      <c r="E20" s="23">
        <f>RawData!CJ48/1000</f>
        <v>53.646999999999998</v>
      </c>
      <c r="F20" s="23">
        <f>(RawData!CK48+0.66*RawData!CM48)/1000</f>
        <v>23.260274199999998</v>
      </c>
      <c r="G20" s="31">
        <f>RawData!DD48/1000</f>
        <v>5.7259999999999998E-2</v>
      </c>
      <c r="H20" s="31">
        <f>(RawData!CH48+0.66*RawData!CM48)/1000</f>
        <v>3.1032741999999973</v>
      </c>
      <c r="I20" s="20">
        <f>RawData!CL48/1000</f>
        <v>36.418750000000003</v>
      </c>
      <c r="J20" s="32">
        <f>RawData!CQ48/1000</f>
        <v>27.106000000000002</v>
      </c>
      <c r="K20" s="23">
        <f t="shared" si="1"/>
        <v>1.0479757999999961</v>
      </c>
      <c r="L20" s="415">
        <f t="shared" si="2"/>
        <v>0.31062172709382618</v>
      </c>
    </row>
    <row r="21" spans="1:12" ht="15">
      <c r="A21" s="325">
        <v>1991</v>
      </c>
      <c r="B21" s="19">
        <f>'Table T3'!H66</f>
        <v>129.398</v>
      </c>
      <c r="C21" s="31">
        <f t="shared" si="0"/>
        <v>32.720999999999989</v>
      </c>
      <c r="D21" s="66">
        <f>RawData!CG49/1000</f>
        <v>96.677000000000007</v>
      </c>
      <c r="E21" s="23">
        <f>RawData!CJ49/1000</f>
        <v>54.994</v>
      </c>
      <c r="F21" s="23">
        <f>(RawData!CK49+0.66*RawData!CM49)/1000</f>
        <v>34.4932376</v>
      </c>
      <c r="G21" s="31">
        <f>RawData!DD49/1000</f>
        <v>5.2549999999999999E-2</v>
      </c>
      <c r="H21" s="31">
        <f>(RawData!CH49+0.66*RawData!CM49)/1000</f>
        <v>3.7012376000000002</v>
      </c>
      <c r="I21" s="20">
        <f>RawData!CL49/1000</f>
        <v>37.578649999999996</v>
      </c>
      <c r="J21" s="32">
        <f>RawData!CQ49/1000</f>
        <v>27.172999999999998</v>
      </c>
      <c r="K21" s="23">
        <f t="shared" si="1"/>
        <v>2.3321123999999998</v>
      </c>
      <c r="L21" s="415">
        <f t="shared" si="2"/>
        <v>0.31801136884569547</v>
      </c>
    </row>
    <row r="22" spans="1:12" ht="15">
      <c r="A22" s="325">
        <v>1992</v>
      </c>
      <c r="B22" s="19">
        <f>'Table T3'!H67</f>
        <v>149.61799999999999</v>
      </c>
      <c r="C22" s="31">
        <f t="shared" si="0"/>
        <v>41.256999999999991</v>
      </c>
      <c r="D22" s="66">
        <f>RawData!CG50/1000</f>
        <v>108.361</v>
      </c>
      <c r="E22" s="23">
        <f>RawData!CJ50/1000</f>
        <v>59.857999999999997</v>
      </c>
      <c r="F22" s="23">
        <f>(RawData!CK50+0.66*RawData!CM50)/1000</f>
        <v>43.695871199999985</v>
      </c>
      <c r="G22" s="31">
        <f>RawData!DD50/1000</f>
        <v>0.35775999999999997</v>
      </c>
      <c r="H22" s="31">
        <f>(RawData!CH50+0.66*RawData!CM50)/1000</f>
        <v>3.5298711999999899</v>
      </c>
      <c r="I22" s="20">
        <f>RawData!CL50/1000</f>
        <v>43.575789999999998</v>
      </c>
      <c r="J22" s="32">
        <f>RawData!CQ50/1000</f>
        <v>28.617999999999999</v>
      </c>
      <c r="K22" s="23">
        <f t="shared" si="1"/>
        <v>2.4883388000000082</v>
      </c>
      <c r="L22" s="415">
        <f t="shared" si="2"/>
        <v>0.36255156700681102</v>
      </c>
    </row>
    <row r="23" spans="1:12" ht="15">
      <c r="A23" s="325">
        <v>1993</v>
      </c>
      <c r="B23" s="19">
        <f>'Table T3'!H68</f>
        <v>213.02799999999999</v>
      </c>
      <c r="C23" s="31">
        <f t="shared" si="0"/>
        <v>56.350999999999999</v>
      </c>
      <c r="D23" s="66">
        <f>RawData!CG51/1000</f>
        <v>156.67699999999999</v>
      </c>
      <c r="E23" s="23">
        <f>RawData!CJ51/1000</f>
        <v>101.446</v>
      </c>
      <c r="F23" s="23">
        <f>(RawData!CK51+0.66*RawData!CM51)/1000</f>
        <v>63.556036399999996</v>
      </c>
      <c r="G23" s="31">
        <f>RawData!DD51/1000</f>
        <v>0.23462</v>
      </c>
      <c r="H23" s="31">
        <f>(RawData!CH51+0.66*RawData!CM51)/1000</f>
        <v>3.8030363999999959</v>
      </c>
      <c r="I23" s="20">
        <f>RawData!CL51/1000</f>
        <v>42.657620000000009</v>
      </c>
      <c r="J23" s="32">
        <f>RawData!CQ51/1000</f>
        <v>28.672000000000001</v>
      </c>
      <c r="K23" s="23">
        <f t="shared" si="1"/>
        <v>5.3683435999999887</v>
      </c>
      <c r="L23" s="415">
        <f t="shared" si="2"/>
        <v>0.24818760980284305</v>
      </c>
    </row>
    <row r="24" spans="1:12" ht="15">
      <c r="A24" s="325">
        <v>1994</v>
      </c>
      <c r="B24" s="19">
        <f>'Table T3'!H69</f>
        <v>205.477</v>
      </c>
      <c r="C24" s="31">
        <f t="shared" si="0"/>
        <v>52.455000000000013</v>
      </c>
      <c r="D24" s="66">
        <f>RawData!CG52/1000</f>
        <v>153.02199999999999</v>
      </c>
      <c r="E24" s="23">
        <f>RawData!CJ52/1000</f>
        <v>103.55800000000001</v>
      </c>
      <c r="F24" s="23">
        <f>(RawData!CK52+0.66*RawData!CM52)/1000</f>
        <v>58.535468600000002</v>
      </c>
      <c r="G24" s="31">
        <f>RawData!DD52/1000</f>
        <v>4.4133100000000001</v>
      </c>
      <c r="H24" s="31">
        <f>(RawData!CH52+0.66*RawData!CM52)/1000</f>
        <v>3.5474685999999993</v>
      </c>
      <c r="I24" s="20">
        <f>RawData!CL52/1000</f>
        <v>43.06429</v>
      </c>
      <c r="J24" s="32">
        <f>RawData!CQ52/1000</f>
        <v>28.922000000000001</v>
      </c>
      <c r="K24" s="23">
        <f t="shared" si="1"/>
        <v>0.31924139999999568</v>
      </c>
      <c r="L24" s="415">
        <f t="shared" si="2"/>
        <v>0.26960804499094454</v>
      </c>
    </row>
    <row r="25" spans="1:12" ht="15">
      <c r="A25" s="325">
        <v>1995</v>
      </c>
      <c r="B25" s="19">
        <f>'Table T3'!H70</f>
        <v>249.55500000000001</v>
      </c>
      <c r="C25" s="31">
        <f t="shared" si="0"/>
        <v>57.074000000000012</v>
      </c>
      <c r="D25" s="66">
        <f>RawData!CG53/1000</f>
        <v>192.48099999999999</v>
      </c>
      <c r="E25" s="23">
        <f>RawData!CJ53/1000</f>
        <v>113.31699999999999</v>
      </c>
      <c r="F25" s="23">
        <f>(RawData!CK53+0.66*RawData!CM53)/1000</f>
        <v>86.129587400000005</v>
      </c>
      <c r="G25" s="31">
        <f>RawData!DD53/1000</f>
        <v>21.259400000000003</v>
      </c>
      <c r="H25" s="31">
        <f>(RawData!CH53+0.66*RawData!CM53)/1000</f>
        <v>2.7835874000000045</v>
      </c>
      <c r="I25" s="20">
        <f>RawData!CL53/1000</f>
        <v>49.685109999999995</v>
      </c>
      <c r="J25" s="32">
        <f>RawData!CQ53/1000</f>
        <v>36.909999999999997</v>
      </c>
      <c r="K25" s="23">
        <f t="shared" si="1"/>
        <v>0.42330259999999953</v>
      </c>
      <c r="L25" s="415">
        <f t="shared" si="2"/>
        <v>0.22383414514489952</v>
      </c>
    </row>
    <row r="26" spans="1:12" ht="15">
      <c r="A26" s="325">
        <v>1996</v>
      </c>
      <c r="B26" s="19">
        <f>'Table T3'!H71</f>
        <v>308.88499999999999</v>
      </c>
      <c r="C26" s="31">
        <f t="shared" si="0"/>
        <v>76.271999999999991</v>
      </c>
      <c r="D26" s="66">
        <f>RawData!CG54/1000</f>
        <v>232.613</v>
      </c>
      <c r="E26" s="23">
        <f>RawData!CJ54/1000</f>
        <v>158.38399999999999</v>
      </c>
      <c r="F26" s="23">
        <f>(RawData!CK54+0.66*RawData!CM54)/1000</f>
        <v>103.3207656</v>
      </c>
      <c r="G26" s="31">
        <f>RawData!DD54/1000</f>
        <v>18.16479</v>
      </c>
      <c r="H26" s="31">
        <f>(RawData!CH54+0.66*RawData!CM54)/1000</f>
        <v>5.3557656000000025</v>
      </c>
      <c r="I26" s="20">
        <f>RawData!CL54/1000</f>
        <v>46.747839999999997</v>
      </c>
      <c r="J26" s="32">
        <f>RawData!CQ54/1000</f>
        <v>30.422999999999998</v>
      </c>
      <c r="K26" s="23">
        <f t="shared" si="1"/>
        <v>0.43239440000000684</v>
      </c>
      <c r="L26" s="415">
        <f t="shared" si="2"/>
        <v>0.21403450807635829</v>
      </c>
    </row>
    <row r="27" spans="1:12" ht="15">
      <c r="A27" s="325">
        <v>1997</v>
      </c>
      <c r="B27" s="19">
        <f>'Table T3'!H72</f>
        <v>286.88</v>
      </c>
      <c r="C27" s="31">
        <f t="shared" si="0"/>
        <v>105.22299999999998</v>
      </c>
      <c r="D27" s="66">
        <f>RawData!CG55/1000</f>
        <v>181.65700000000001</v>
      </c>
      <c r="E27" s="23">
        <f>RawData!CJ55/1000</f>
        <v>145.649</v>
      </c>
      <c r="F27" s="23">
        <f>(RawData!CK55+0.66*RawData!CM55)/1000</f>
        <v>90.335772200000008</v>
      </c>
      <c r="G27" s="31">
        <f>RawData!DD55/1000</f>
        <v>10.15555</v>
      </c>
      <c r="H27" s="31">
        <f>(RawData!CH55+0.66*RawData!CM55)/1000</f>
        <v>4.3947722000000038</v>
      </c>
      <c r="I27" s="20">
        <f>RawData!CL55/1000</f>
        <v>50.799829999999993</v>
      </c>
      <c r="J27" s="32">
        <f>RawData!CQ55/1000</f>
        <v>19.664000000000001</v>
      </c>
      <c r="K27" s="23">
        <f t="shared" si="1"/>
        <v>9.5397799999993538E-2</v>
      </c>
      <c r="L27" s="415">
        <f t="shared" si="2"/>
        <v>0.29590327209830547</v>
      </c>
    </row>
    <row r="28" spans="1:12" ht="15">
      <c r="A28" s="325">
        <v>1998</v>
      </c>
      <c r="B28" s="19">
        <f>'Table T3'!H73</f>
        <v>325.19299999999998</v>
      </c>
      <c r="C28" s="31">
        <f t="shared" si="0"/>
        <v>145.38899999999998</v>
      </c>
      <c r="D28" s="66">
        <f>RawData!CG56/1000</f>
        <v>179.804</v>
      </c>
      <c r="E28" s="23">
        <f>RawData!CJ56/1000</f>
        <v>171.649</v>
      </c>
      <c r="F28" s="23">
        <f>(RawData!CK56+0.66*RawData!CM56)/1000</f>
        <v>88.273966999999999</v>
      </c>
      <c r="G28" s="31">
        <f>RawData!DD56/1000</f>
        <v>5.01105</v>
      </c>
      <c r="H28" s="31">
        <f>(RawData!CH56+0.66*RawData!CM56)/1000</f>
        <v>4.7039669999999978</v>
      </c>
      <c r="I28" s="20">
        <f>RawData!CL56/1000</f>
        <v>64.261049999999997</v>
      </c>
      <c r="J28" s="32">
        <f>RawData!CQ56/1000</f>
        <v>25.263999999999999</v>
      </c>
      <c r="K28" s="23">
        <f t="shared" si="1"/>
        <v>1.0089829999999864</v>
      </c>
      <c r="L28" s="415">
        <f t="shared" si="2"/>
        <v>0.26822558790554996</v>
      </c>
    </row>
    <row r="29" spans="1:12" ht="15">
      <c r="A29" s="326">
        <v>1999</v>
      </c>
      <c r="B29" s="335">
        <f>'Table T3'!H74</f>
        <v>318.29300000000001</v>
      </c>
      <c r="C29" s="227">
        <f t="shared" si="0"/>
        <v>120.88400000000001</v>
      </c>
      <c r="D29" s="321">
        <f>RawData!CG57/1000</f>
        <v>197.40899999999999</v>
      </c>
      <c r="E29" s="347">
        <f>RawData!CJ57/1000</f>
        <v>199.49600000000001</v>
      </c>
      <c r="F29" s="347">
        <f>(RawData!CK57+0.66*RawData!CM57)/1000</f>
        <v>68.4978318</v>
      </c>
      <c r="G29" s="227">
        <f>RawData!DD57/1000</f>
        <v>0.74260999999999999</v>
      </c>
      <c r="H29" s="227">
        <f>(RawData!CH57+0.66*RawData!CM57)/1000</f>
        <v>5.1208318000000022</v>
      </c>
      <c r="I29" s="345">
        <f>RawData!CL57/1000</f>
        <v>49.250769999999996</v>
      </c>
      <c r="J29" s="250">
        <f>RawData!CQ57/1000</f>
        <v>15.513999999999999</v>
      </c>
      <c r="K29" s="347">
        <f t="shared" si="1"/>
        <v>1.0483982000000012</v>
      </c>
      <c r="L29" s="433">
        <f t="shared" si="2"/>
        <v>0.27908383243439983</v>
      </c>
    </row>
    <row r="30" spans="1:12" ht="15">
      <c r="A30" s="325">
        <v>2000</v>
      </c>
      <c r="B30" s="19">
        <f>'Table T3'!H75</f>
        <v>323.68599999999998</v>
      </c>
      <c r="C30" s="31">
        <f t="shared" si="0"/>
        <v>123.07199999999997</v>
      </c>
      <c r="D30" s="66">
        <f>RawData!CG58/1000</f>
        <v>200.614</v>
      </c>
      <c r="E30" s="23">
        <f>RawData!CJ58/1000</f>
        <v>200.83</v>
      </c>
      <c r="F30" s="23">
        <f>(RawData!CK58+0.66*RawData!CM58)/1000</f>
        <v>81.716313599999992</v>
      </c>
      <c r="G30" s="31">
        <f>RawData!DD58/1000</f>
        <v>1.48668</v>
      </c>
      <c r="H30" s="31">
        <f>(RawData!CH58+0.66*RawData!CM58)/1000</f>
        <v>5.5523135999999997</v>
      </c>
      <c r="I30" s="20">
        <f>RawData!CL58/1000</f>
        <v>40.555039999999998</v>
      </c>
      <c r="J30" s="32">
        <f>RawData!CQ58/1000</f>
        <v>7.1280000000000001</v>
      </c>
      <c r="K30" s="23">
        <f t="shared" si="1"/>
        <v>0.58464639999997559</v>
      </c>
      <c r="L30" s="415">
        <f t="shared" si="2"/>
        <v>0.27160556422256893</v>
      </c>
    </row>
    <row r="31" spans="1:12" ht="15">
      <c r="A31" s="325">
        <v>2001</v>
      </c>
      <c r="B31" s="19">
        <f>'Table T3'!H76</f>
        <v>325.92200000000003</v>
      </c>
      <c r="C31" s="31">
        <f t="shared" si="0"/>
        <v>124.60200000000003</v>
      </c>
      <c r="D31" s="66">
        <f>RawData!CG59/1000</f>
        <v>201.32</v>
      </c>
      <c r="E31" s="23">
        <f>RawData!CJ59/1000</f>
        <v>182.876</v>
      </c>
      <c r="F31" s="23">
        <f>(RawData!CK59+0.66*RawData!CM59)/1000</f>
        <v>110.3567062</v>
      </c>
      <c r="G31" s="31">
        <f>RawData!DD59/1000</f>
        <v>0.13885</v>
      </c>
      <c r="H31" s="31">
        <f>(RawData!CH59+0.66*RawData!CM59)/1000</f>
        <v>7.1707061999999997</v>
      </c>
      <c r="I31" s="20">
        <f>RawData!CL59/1000</f>
        <v>31.710930000000001</v>
      </c>
      <c r="J31" s="32">
        <f>RawData!CQ59/1000</f>
        <v>8.5079999999999991</v>
      </c>
      <c r="K31" s="23">
        <f t="shared" si="1"/>
        <v>0.97836380000001455</v>
      </c>
      <c r="L31" s="415">
        <f t="shared" si="2"/>
        <v>0.18621635286753019</v>
      </c>
    </row>
    <row r="32" spans="1:12" ht="15">
      <c r="A32" s="325">
        <v>2002</v>
      </c>
      <c r="B32" s="19">
        <f>'Table T3'!H77</f>
        <v>423.97699999999998</v>
      </c>
      <c r="C32" s="31">
        <f t="shared" si="0"/>
        <v>182.77099999999999</v>
      </c>
      <c r="D32" s="66">
        <f>RawData!CG60/1000</f>
        <v>241.20599999999999</v>
      </c>
      <c r="E32" s="23">
        <f>RawData!CJ60/1000</f>
        <v>221.23400000000001</v>
      </c>
      <c r="F32" s="23">
        <f>(RawData!CK60+0.66*RawData!CM60)/1000</f>
        <v>127.26903299999999</v>
      </c>
      <c r="G32" s="31">
        <f>RawData!DD60/1000</f>
        <v>0.52022999999999997</v>
      </c>
      <c r="H32" s="31">
        <f>(RawData!CH60+0.66*RawData!CM60)/1000</f>
        <v>8.6760330000000021</v>
      </c>
      <c r="I32" s="20">
        <f>RawData!CL60/1000</f>
        <v>73.757949999999994</v>
      </c>
      <c r="J32" s="32">
        <f>RawData!CQ60/1000</f>
        <v>12.087999999999999</v>
      </c>
      <c r="K32" s="23">
        <f t="shared" si="1"/>
        <v>1.7160169999999795</v>
      </c>
      <c r="L32" s="415">
        <f t="shared" si="2"/>
        <v>0.33741649386390621</v>
      </c>
    </row>
    <row r="33" spans="1:12" ht="15">
      <c r="A33" s="325">
        <v>2003</v>
      </c>
      <c r="B33" s="19">
        <f>'Table T3'!H78</f>
        <v>461.57100000000003</v>
      </c>
      <c r="C33" s="31">
        <f t="shared" si="0"/>
        <v>177.452</v>
      </c>
      <c r="D33" s="66">
        <f>RawData!CG61/1000</f>
        <v>284.11900000000003</v>
      </c>
      <c r="E33" s="23">
        <f>RawData!CJ61/1000</f>
        <v>175.899</v>
      </c>
      <c r="F33" s="23">
        <f>(RawData!CK61+RawData!CH61+0.66*RawData!CM61)/1000</f>
        <v>152.18170000000001</v>
      </c>
      <c r="G33" s="31">
        <f>RawData!DD61/1000</f>
        <v>1.9790000000000001</v>
      </c>
      <c r="H33" s="31">
        <f>(RawData!CH61+0.66*RawData!CM61)/1000</f>
        <v>21.4467</v>
      </c>
      <c r="I33" s="20">
        <f>RawData!CL61/1000</f>
        <v>120.87</v>
      </c>
      <c r="J33" s="32">
        <f>RawData!CQ61/1000</f>
        <v>11.198</v>
      </c>
      <c r="K33" s="23">
        <f t="shared" si="1"/>
        <v>12.620300000000015</v>
      </c>
      <c r="L33" s="415">
        <f t="shared" si="2"/>
        <v>0.61803755381737036</v>
      </c>
    </row>
    <row r="34" spans="1:12" ht="15">
      <c r="A34" s="325">
        <v>2004</v>
      </c>
      <c r="B34" s="19">
        <f>'Table T3'!H79</f>
        <v>633.952</v>
      </c>
      <c r="C34" s="31">
        <f t="shared" si="0"/>
        <v>263.88200000000001</v>
      </c>
      <c r="D34" s="66">
        <f>RawData!CG62/1000</f>
        <v>370.07</v>
      </c>
      <c r="E34" s="23">
        <f>RawData!CJ62/1000</f>
        <v>191.922</v>
      </c>
      <c r="F34" s="23">
        <f>(RawData!CK62+RawData!CH62+0.66*RawData!CM62)/1000</f>
        <v>228.71689999999998</v>
      </c>
      <c r="G34" s="31">
        <f>RawData!DD62/1000</f>
        <v>38.177999999999997</v>
      </c>
      <c r="H34" s="31">
        <f>(RawData!CH62+0.66*RawData!CM62)/1000</f>
        <v>34.890900000000002</v>
      </c>
      <c r="I34" s="20">
        <f>RawData!CL62/1000</f>
        <v>190.048</v>
      </c>
      <c r="J34" s="32">
        <f>RawData!CQ62/1000</f>
        <v>9.2530000000000001</v>
      </c>
      <c r="K34" s="23">
        <f t="shared" si="1"/>
        <v>23.26509999999999</v>
      </c>
      <c r="L34" s="415">
        <f t="shared" si="2"/>
        <v>0.68513578038668799</v>
      </c>
    </row>
    <row r="35" spans="1:12" ht="15">
      <c r="A35" s="325">
        <v>2005</v>
      </c>
      <c r="B35" s="19">
        <f>'Table T3'!H80</f>
        <v>579.44100000000003</v>
      </c>
      <c r="C35" s="31">
        <f t="shared" si="0"/>
        <v>251.91500000000002</v>
      </c>
      <c r="D35" s="66">
        <f>RawData!CG63/1000</f>
        <v>327.52600000000001</v>
      </c>
      <c r="E35" s="23">
        <f>RawData!CJ63/1000</f>
        <v>164.351</v>
      </c>
      <c r="F35" s="23">
        <f>(RawData!CK63+RawData!CH63+0.66*RawData!CM63)/1000</f>
        <v>223.97594000000001</v>
      </c>
      <c r="G35" s="31">
        <f>RawData!DD63/1000</f>
        <v>28.446999999999999</v>
      </c>
      <c r="H35" s="31">
        <f>(RawData!CH63+0.66*RawData!CM63)/1000</f>
        <v>39.044940000000004</v>
      </c>
      <c r="I35" s="20">
        <f>RawData!CL63/1000</f>
        <v>165.81899999999999</v>
      </c>
      <c r="J35" s="32">
        <f>RawData!CQ63/1000</f>
        <v>9.3059999999999992</v>
      </c>
      <c r="K35" s="23">
        <f t="shared" si="1"/>
        <v>25.295060000000035</v>
      </c>
      <c r="L35" s="415">
        <f t="shared" si="2"/>
        <v>0.62129289641347263</v>
      </c>
    </row>
    <row r="36" spans="1:12" ht="15">
      <c r="A36" s="325">
        <v>2006</v>
      </c>
      <c r="B36" s="19">
        <f>'Table T3'!H81</f>
        <v>622.61800000000005</v>
      </c>
      <c r="C36" s="31">
        <f t="shared" si="0"/>
        <v>339.91600000000005</v>
      </c>
      <c r="D36" s="66">
        <f>RawData!CG64/1000</f>
        <v>282.702</v>
      </c>
      <c r="E36" s="23">
        <f>RawData!CJ64/1000</f>
        <v>165.28700000000001</v>
      </c>
      <c r="F36" s="23">
        <f>(RawData!CK64+RawData!CH64+0.66*RawData!CM64)/1000</f>
        <v>221.92645999999999</v>
      </c>
      <c r="G36" s="31">
        <f>RawData!DD64/1000</f>
        <v>25.19</v>
      </c>
      <c r="H36" s="31">
        <f>(RawData!CH64+0.66*RawData!CM64)/1000</f>
        <v>54.635460000000002</v>
      </c>
      <c r="I36" s="20">
        <f>RawData!CL64/1000</f>
        <v>203.60400000000001</v>
      </c>
      <c r="J36" s="32">
        <f>RawData!CQ64/1000</f>
        <v>9.641</v>
      </c>
      <c r="K36" s="23">
        <f t="shared" si="1"/>
        <v>31.800540000000012</v>
      </c>
      <c r="L36" s="415">
        <f t="shared" si="2"/>
        <v>0.57062038856658703</v>
      </c>
    </row>
    <row r="37" spans="1:12" ht="15">
      <c r="A37" s="325">
        <v>2007</v>
      </c>
      <c r="B37" s="19">
        <f>'Table T3'!H82</f>
        <v>804.476</v>
      </c>
      <c r="C37" s="31">
        <f t="shared" si="0"/>
        <v>424.03699999999998</v>
      </c>
      <c r="D37" s="66">
        <f>RawData!CG65/1000</f>
        <v>380.43900000000002</v>
      </c>
      <c r="E37" s="23">
        <f>RawData!CJ65/1000</f>
        <v>168.16399999999999</v>
      </c>
      <c r="F37" s="23">
        <f>(RawData!CK65+RawData!CH65+0.66*RawData!CM65)/1000</f>
        <v>320.04176000000001</v>
      </c>
      <c r="G37" s="31">
        <f>RawData!DD65/1000</f>
        <v>66.426000000000002</v>
      </c>
      <c r="H37" s="31">
        <f>(RawData!CH65+0.66*RawData!CM65)/1000</f>
        <v>61.106760000000001</v>
      </c>
      <c r="I37" s="20">
        <f>RawData!CL65/1000</f>
        <v>280.48</v>
      </c>
      <c r="J37" s="32">
        <f>RawData!CQ65/1000</f>
        <v>12.923999999999999</v>
      </c>
      <c r="K37" s="23">
        <f t="shared" si="1"/>
        <v>35.790239999999983</v>
      </c>
      <c r="L37" s="415">
        <f t="shared" si="2"/>
        <v>0.63097324054268866</v>
      </c>
    </row>
    <row r="38" spans="1:12" ht="15">
      <c r="A38" s="325">
        <v>2008</v>
      </c>
      <c r="B38" s="19">
        <f>'Table T3'!H83</f>
        <v>1099.95</v>
      </c>
      <c r="C38" s="31">
        <f t="shared" si="0"/>
        <v>579.40899999999999</v>
      </c>
      <c r="D38" s="66">
        <f>RawData!CG66/1000</f>
        <v>520.54100000000005</v>
      </c>
      <c r="E38" s="23">
        <f>RawData!CJ66/1000</f>
        <v>160.51</v>
      </c>
      <c r="F38" s="23">
        <f>(RawData!CK66+RawData!CH66+0.66*RawData!CM66)/1000</f>
        <v>444.3843</v>
      </c>
      <c r="G38" s="31">
        <f>RawData!DD66/1000</f>
        <v>169.40600000000001</v>
      </c>
      <c r="H38" s="31">
        <f>(RawData!CH66+0.66*RawData!CM66)/1000</f>
        <v>92.337299999999999</v>
      </c>
      <c r="I38" s="20">
        <f>RawData!CL66/1000</f>
        <v>425.35300000000001</v>
      </c>
      <c r="J38" s="32">
        <f>RawData!CQ66/1000</f>
        <v>35.554000000000002</v>
      </c>
      <c r="K38" s="23">
        <f t="shared" si="1"/>
        <v>69.70270000000005</v>
      </c>
      <c r="L38" s="415">
        <f t="shared" si="2"/>
        <v>0.67275275323648753</v>
      </c>
    </row>
    <row r="39" spans="1:12" ht="15">
      <c r="A39" s="326">
        <v>2009</v>
      </c>
      <c r="B39" s="335">
        <f>'Table T3'!H84</f>
        <v>979.01700000000005</v>
      </c>
      <c r="C39" s="227">
        <f t="shared" ref="C39:C42" si="3">B39-D39</f>
        <v>426.32500000000005</v>
      </c>
      <c r="D39" s="321">
        <f>RawData!CG67/1000</f>
        <v>552.69200000000001</v>
      </c>
      <c r="E39" s="347">
        <f>RawData!CJ67/1000</f>
        <v>152.42699999999999</v>
      </c>
      <c r="F39" s="347">
        <f>(RawData!CK67+RawData!CH67+0.66*RawData!CM67)/1000</f>
        <v>373.64752000000004</v>
      </c>
      <c r="G39" s="227">
        <f>RawData!DD67/1000</f>
        <v>71.14</v>
      </c>
      <c r="H39" s="227">
        <f>(RawData!CH67+0.66*RawData!CM67)/1000</f>
        <v>67.037520000000001</v>
      </c>
      <c r="I39" s="345">
        <f>RawData!CL67/1000</f>
        <v>413.82</v>
      </c>
      <c r="J39" s="250">
        <f>RawData!CQ67/1000</f>
        <v>29.042000000000002</v>
      </c>
      <c r="K39" s="347">
        <f t="shared" si="1"/>
        <v>39.122479999999996</v>
      </c>
      <c r="L39" s="433">
        <f t="shared" si="2"/>
        <v>0.90254617955784899</v>
      </c>
    </row>
    <row r="40" spans="1:12" ht="15">
      <c r="A40" s="325">
        <v>2010</v>
      </c>
      <c r="B40" s="19">
        <f>'Table T3'!H85</f>
        <v>921.56600000000003</v>
      </c>
      <c r="C40" s="31">
        <f t="shared" si="3"/>
        <v>432.70400000000001</v>
      </c>
      <c r="D40" s="66">
        <f>RawData!CG68/1000</f>
        <v>488.86200000000002</v>
      </c>
      <c r="E40" s="23">
        <f>RawData!CJ68/1000</f>
        <v>151.738</v>
      </c>
      <c r="F40" s="23">
        <f>(RawData!CK68+RawData!CH68+0.66*RawData!CM68)/1000</f>
        <v>322.95988</v>
      </c>
      <c r="G40" s="31">
        <f>RawData!DD68/1000</f>
        <v>16.422999999999998</v>
      </c>
      <c r="H40" s="31">
        <f>(RawData!CH68+0.66*RawData!CM68)/1000</f>
        <v>71.522880000000001</v>
      </c>
      <c r="I40" s="20">
        <f>RawData!CL68/1000</f>
        <v>402.70600000000002</v>
      </c>
      <c r="J40" s="32">
        <f>RawData!CQ68/1000</f>
        <v>21.881</v>
      </c>
      <c r="K40" s="23">
        <f t="shared" si="1"/>
        <v>44.162119999999959</v>
      </c>
      <c r="L40" s="415">
        <f t="shared" si="2"/>
        <v>0.88010510649312246</v>
      </c>
    </row>
    <row r="41" spans="1:12" ht="15">
      <c r="A41" s="325">
        <v>2011</v>
      </c>
      <c r="B41" s="19">
        <f>'Table T3'!H86</f>
        <v>878.38</v>
      </c>
      <c r="C41" s="31">
        <f t="shared" si="3"/>
        <v>440.38</v>
      </c>
      <c r="D41" s="66">
        <f>RawData!CG69/1000</f>
        <v>438</v>
      </c>
      <c r="E41" s="23">
        <f>RawData!CJ69/1000</f>
        <v>163.673</v>
      </c>
      <c r="F41" s="23">
        <f>(RawData!CK69+RawData!CH69+0.66*RawData!CM69)/1000</f>
        <v>257.18650000000002</v>
      </c>
      <c r="G41" s="31">
        <f>RawData!DD69/1000</f>
        <v>5</v>
      </c>
      <c r="H41" s="31">
        <f>(RawData!CH69+0.66*RawData!CM69)/1000</f>
        <v>92.911500000000004</v>
      </c>
      <c r="I41" s="20">
        <f>RawData!CL69/1000</f>
        <v>402.00700000000001</v>
      </c>
      <c r="J41" s="32">
        <f>RawData!CQ69/1000</f>
        <v>16</v>
      </c>
      <c r="K41" s="23">
        <f t="shared" si="1"/>
        <v>55.513499999999965</v>
      </c>
      <c r="L41" s="415">
        <f t="shared" si="2"/>
        <v>0.8765316317725601</v>
      </c>
    </row>
    <row r="42" spans="1:12" ht="16" thickBot="1">
      <c r="A42" s="329">
        <v>2012</v>
      </c>
      <c r="B42" s="35">
        <f>'Table T3'!H87</f>
        <v>810.726</v>
      </c>
      <c r="C42" s="38">
        <f t="shared" si="3"/>
        <v>433.726</v>
      </c>
      <c r="D42" s="299">
        <f>RawData!CG70/1000</f>
        <v>377</v>
      </c>
      <c r="E42" s="44">
        <f>RawData!CJ70/1000</f>
        <v>162.34800000000001</v>
      </c>
      <c r="F42" s="44">
        <f>(RawData!CK70+RawData!CH70+0.66*RawData!CM70)/1000</f>
        <v>234.06067999999999</v>
      </c>
      <c r="G42" s="38">
        <f>RawData!DD70/1000</f>
        <v>9</v>
      </c>
      <c r="H42" s="38">
        <f>(RawData!CH70+0.66*RawData!CM70)/1000</f>
        <v>46.594679999999997</v>
      </c>
      <c r="I42" s="45">
        <f>RawData!CL70/1000</f>
        <v>381.00700000000001</v>
      </c>
      <c r="J42" s="36">
        <f>RawData!CQ70/1000</f>
        <v>26</v>
      </c>
      <c r="K42" s="44">
        <f t="shared" si="1"/>
        <v>33.310319999999933</v>
      </c>
      <c r="L42" s="416">
        <f t="shared" si="2"/>
        <v>0.81850523141338083</v>
      </c>
    </row>
    <row r="43" spans="1:12" ht="16" thickTop="1">
      <c r="B43" s="19"/>
      <c r="F43" s="16"/>
    </row>
    <row r="44" spans="1:12" ht="15">
      <c r="B44" s="19"/>
      <c r="F44" s="16"/>
    </row>
    <row r="45" spans="1:12">
      <c r="F45" s="16"/>
    </row>
    <row r="46" spans="1:12">
      <c r="F46" s="16"/>
    </row>
    <row r="51" spans="7:7">
      <c r="G51" s="3" t="s">
        <v>31</v>
      </c>
    </row>
  </sheetData>
  <mergeCells count="9">
    <mergeCell ref="A3:L3"/>
    <mergeCell ref="L6:L7"/>
    <mergeCell ref="B6:B7"/>
    <mergeCell ref="C6:C7"/>
    <mergeCell ref="D6:D7"/>
    <mergeCell ref="E6:E7"/>
    <mergeCell ref="F6:F7"/>
    <mergeCell ref="I6:I7"/>
    <mergeCell ref="K6:K7"/>
  </mergeCells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43"/>
  <sheetViews>
    <sheetView workbookViewId="0">
      <pane xSplit="1" ySplit="8" topLeftCell="B9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baseColWidth="10" defaultColWidth="10.83203125" defaultRowHeight="12" x14ac:dyDescent="0"/>
  <cols>
    <col min="1" max="1" width="10.6640625" style="3" customWidth="1"/>
    <col min="2" max="8" width="12.83203125" style="3" customWidth="1"/>
    <col min="9" max="16384" width="10.83203125" style="3"/>
  </cols>
  <sheetData>
    <row r="2" spans="1:10" ht="13" customHeight="1" thickBot="1">
      <c r="A2" s="1"/>
    </row>
    <row r="3" spans="1:10" s="5" customFormat="1" ht="20" customHeight="1" thickTop="1">
      <c r="A3" s="449" t="s">
        <v>222</v>
      </c>
      <c r="B3" s="450"/>
      <c r="C3" s="450"/>
      <c r="D3" s="450"/>
      <c r="E3" s="450"/>
      <c r="F3" s="450"/>
      <c r="G3" s="450"/>
      <c r="H3" s="451"/>
    </row>
    <row r="4" spans="1:10">
      <c r="A4" s="7"/>
      <c r="B4" s="9"/>
      <c r="C4" s="9"/>
      <c r="D4" s="9"/>
      <c r="E4" s="9"/>
      <c r="F4" s="9"/>
      <c r="G4" s="9"/>
      <c r="H4" s="6"/>
    </row>
    <row r="5" spans="1:10" ht="12" customHeight="1" thickBot="1">
      <c r="A5" s="7"/>
      <c r="B5" s="22" t="s">
        <v>17</v>
      </c>
      <c r="C5" s="22" t="s">
        <v>18</v>
      </c>
      <c r="D5" s="13" t="s">
        <v>19</v>
      </c>
      <c r="E5" s="25" t="s">
        <v>20</v>
      </c>
      <c r="F5" s="41" t="s">
        <v>21</v>
      </c>
      <c r="G5" s="22" t="s">
        <v>22</v>
      </c>
      <c r="H5" s="61" t="s">
        <v>23</v>
      </c>
    </row>
    <row r="6" spans="1:10" ht="32" customHeight="1" thickBot="1">
      <c r="A6" s="7"/>
      <c r="B6" s="528" t="s">
        <v>188</v>
      </c>
      <c r="C6" s="529"/>
      <c r="D6" s="529"/>
      <c r="E6" s="529"/>
      <c r="F6" s="529"/>
      <c r="G6" s="529"/>
      <c r="H6" s="530"/>
    </row>
    <row r="7" spans="1:10" ht="25" customHeight="1">
      <c r="A7" s="7"/>
      <c r="B7" s="531" t="s">
        <v>32</v>
      </c>
      <c r="C7" s="533" t="s">
        <v>33</v>
      </c>
      <c r="D7" s="50"/>
      <c r="E7" s="50"/>
      <c r="F7" s="533" t="s">
        <v>34</v>
      </c>
      <c r="G7" s="418"/>
      <c r="H7" s="526" t="s">
        <v>205</v>
      </c>
    </row>
    <row r="8" spans="1:10" ht="61" customHeight="1" thickBot="1">
      <c r="A8" s="14"/>
      <c r="B8" s="532"/>
      <c r="C8" s="516"/>
      <c r="D8" s="53" t="s">
        <v>67</v>
      </c>
      <c r="E8" s="53" t="s">
        <v>206</v>
      </c>
      <c r="F8" s="516"/>
      <c r="G8" s="369" t="s">
        <v>49</v>
      </c>
      <c r="H8" s="527"/>
    </row>
    <row r="9" spans="1:10" ht="15">
      <c r="A9" s="328">
        <v>1978</v>
      </c>
      <c r="B9" s="421">
        <f>('Table T5'!C15+'Table T7'!E8)/(H9-'Table T5'!I15-'Table T7'!K8)</f>
        <v>0.63657499751575852</v>
      </c>
      <c r="C9" s="67">
        <f>('Table T5'!D15+'Table T7'!F8)/(H9-'Table T5'!I15-'Table T7'!K8)</f>
        <v>0.16661920024034305</v>
      </c>
      <c r="D9" s="68">
        <f>('Table T5'!F15+'Table T7'!G8)/(H9-'Table T7'!K8-'Table T5'!I15)</f>
        <v>2.8373172664969495E-5</v>
      </c>
      <c r="E9" s="68">
        <f>('Table T5'!E15+'Table T7'!H8)/(H9-'Table T7'!K8-'Table T5'!I15)</f>
        <v>0.12331674507521055</v>
      </c>
      <c r="F9" s="67">
        <f>('Table T5'!G15+'Table T7'!I8)/(H9-'Table T5'!I15-'Table T7'!K8)</f>
        <v>0.19680580224389849</v>
      </c>
      <c r="G9" s="69">
        <f>('Table T5'!H15+'Table T7'!J8)/(H9-'Table T5'!I15-'Table T7'!K8)</f>
        <v>0.15540100161294451</v>
      </c>
      <c r="H9" s="419">
        <f>'Table T5'!B15+'Table T7'!B8</f>
        <v>184.11766666666668</v>
      </c>
      <c r="I9" s="16"/>
      <c r="J9" s="417">
        <f t="shared" ref="J9:J37" si="0">F9+C9+B9</f>
        <v>1</v>
      </c>
    </row>
    <row r="10" spans="1:10" ht="15">
      <c r="A10" s="325">
        <v>1984</v>
      </c>
      <c r="B10" s="422">
        <f>('Table T5'!C16+'Table T7'!E14)/(H10-'Table T5'!I16-'Table T7'!K14)</f>
        <v>0.5254374615453139</v>
      </c>
      <c r="C10" s="51">
        <f>('Table T5'!D16+'Table T7'!F14)/(H10-'Table T5'!I16-'Table T7'!K14)</f>
        <v>0.2397585681173473</v>
      </c>
      <c r="D10" s="54">
        <f>('Table T5'!F16+'Table T7'!G14)/(H10-'Table T7'!K14-'Table T5'!I16)</f>
        <v>1.0685727990709159E-4</v>
      </c>
      <c r="E10" s="54">
        <f>('Table T5'!E16+'Table T7'!H14)/(H10-'Table T7'!K14-'Table T5'!I16)</f>
        <v>0.15785101905126558</v>
      </c>
      <c r="F10" s="51">
        <f>('Table T5'!G16+'Table T7'!I14)/(H10-'Table T5'!I16-'Table T7'!K14)</f>
        <v>0.23480397033733863</v>
      </c>
      <c r="G10" s="58">
        <f>('Table T5'!H16+'Table T7'!J14)/(H10-'Table T5'!I16-'Table T7'!K14)</f>
        <v>0.13092116389767167</v>
      </c>
      <c r="H10" s="419">
        <f>'Table T5'!B16+'Table T7'!B14</f>
        <v>363.19500000000005</v>
      </c>
      <c r="I10" s="16"/>
      <c r="J10" s="417">
        <f t="shared" si="0"/>
        <v>0.99999999999999978</v>
      </c>
    </row>
    <row r="11" spans="1:10" ht="15">
      <c r="A11" s="325">
        <v>1985</v>
      </c>
      <c r="B11" s="422">
        <f>('Table T5'!C17+'Table T7'!E15)/(H11-'Table T5'!I17-'Table T7'!K15)</f>
        <v>0.57535577348158384</v>
      </c>
      <c r="C11" s="51">
        <f>('Table T5'!D17+'Table T7'!F15)/(H11-'Table T5'!I17-'Table T7'!K15)</f>
        <v>0.20371122843737458</v>
      </c>
      <c r="D11" s="54">
        <f>('Table T5'!F17+'Table T7'!G15)/(H11-'Table T7'!K15-'Table T5'!I17)</f>
        <v>6.6699365792272254E-4</v>
      </c>
      <c r="E11" s="54">
        <f>('Table T5'!E17+'Table T7'!H15)/(H11-'Table T7'!K15-'Table T5'!I17)</f>
        <v>0.11965902104310619</v>
      </c>
      <c r="F11" s="51">
        <f>('Table T5'!G17+'Table T7'!I15)/(H11-'Table T5'!I17-'Table T7'!K15)</f>
        <v>0.22093299808104164</v>
      </c>
      <c r="G11" s="58">
        <f>('Table T5'!H17+'Table T7'!J15)/(H11-'Table T5'!I17-'Table T7'!K15)</f>
        <v>0.11439606025733413</v>
      </c>
      <c r="H11" s="419">
        <f>'Table T5'!B17+'Table T7'!B15</f>
        <v>484.14</v>
      </c>
      <c r="I11" s="16"/>
      <c r="J11" s="417">
        <f t="shared" si="0"/>
        <v>1</v>
      </c>
    </row>
    <row r="12" spans="1:10" ht="15">
      <c r="A12" s="325">
        <v>1986</v>
      </c>
      <c r="B12" s="422">
        <f>('Table T5'!C18+'Table T7'!E16)/(H12-'Table T5'!I18-'Table T7'!K16)</f>
        <v>0.6209277796201732</v>
      </c>
      <c r="C12" s="51">
        <f>('Table T5'!D18+'Table T7'!F16)/(H12-'Table T5'!I18-'Table T7'!K16)</f>
        <v>0.16267798715312853</v>
      </c>
      <c r="D12" s="54">
        <f>('Table T5'!F18+'Table T7'!G16)/(H12-'Table T7'!K16-'Table T5'!I18)</f>
        <v>7.464549741810439E-4</v>
      </c>
      <c r="E12" s="54">
        <f>('Table T5'!E18+'Table T7'!H16)/(H12-'Table T7'!K16-'Table T5'!I18)</f>
        <v>8.6504915604468657E-2</v>
      </c>
      <c r="F12" s="51">
        <f>('Table T5'!G18+'Table T7'!I16)/(H12-'Table T5'!I18-'Table T7'!K16)</f>
        <v>0.21639423322669835</v>
      </c>
      <c r="G12" s="58">
        <f>('Table T5'!H18+'Table T7'!J16)/(H12-'Table T5'!I18-'Table T7'!K16)</f>
        <v>0.10599985502077323</v>
      </c>
      <c r="H12" s="419">
        <f>'Table T5'!B18+'Table T7'!B16</f>
        <v>629.73199999999997</v>
      </c>
      <c r="I12" s="16"/>
      <c r="J12" s="417">
        <f t="shared" si="0"/>
        <v>1</v>
      </c>
    </row>
    <row r="13" spans="1:10" ht="15">
      <c r="A13" s="325">
        <v>1987</v>
      </c>
      <c r="B13" s="422">
        <f>('Table T5'!C19+'Table T7'!E17)/(H13-'Table T5'!I19-'Table T7'!K17)</f>
        <v>0.63874859434888775</v>
      </c>
      <c r="C13" s="51">
        <f>('Table T5'!D19+'Table T7'!F17)/(H13-'Table T5'!I19-'Table T7'!K17)</f>
        <v>0.16604961187376391</v>
      </c>
      <c r="D13" s="54">
        <f>('Table T5'!F19+'Table T7'!G17)/(H13-'Table T7'!K17-'Table T5'!I19)</f>
        <v>6.0767460085685981E-4</v>
      </c>
      <c r="E13" s="54">
        <f>('Table T5'!E19+'Table T7'!H17)/(H13-'Table T7'!K17-'Table T5'!I19)</f>
        <v>6.8312191718369969E-2</v>
      </c>
      <c r="F13" s="51">
        <f>('Table T5'!G19+'Table T7'!I17)/(H13-'Table T5'!I19-'Table T7'!K17)</f>
        <v>0.19520179377734831</v>
      </c>
      <c r="G13" s="58">
        <f>('Table T5'!H19+'Table T7'!J17)/(H13-'Table T5'!I19-'Table T7'!K17)</f>
        <v>0.10052351117501485</v>
      </c>
      <c r="H13" s="419">
        <f>'Table T5'!B19+'Table T7'!B17</f>
        <v>689.62400000000002</v>
      </c>
      <c r="I13" s="16"/>
      <c r="J13" s="417">
        <f t="shared" si="0"/>
        <v>1</v>
      </c>
    </row>
    <row r="14" spans="1:10" ht="15">
      <c r="A14" s="325">
        <v>1988</v>
      </c>
      <c r="B14" s="422">
        <f>('Table T5'!C20+'Table T7'!E18)/(H14-'Table T5'!I20-'Table T7'!K18)</f>
        <v>0.65780026610523612</v>
      </c>
      <c r="C14" s="51">
        <f>('Table T5'!D20+'Table T7'!F18)/(H14-'Table T5'!I20-'Table T7'!K18)</f>
        <v>0.16409987127042505</v>
      </c>
      <c r="D14" s="54">
        <f>('Table T5'!F20+'Table T7'!G18)/(H14-'Table T7'!K18-'Table T5'!I20)</f>
        <v>6.7351715291033998E-4</v>
      </c>
      <c r="E14" s="54">
        <f>('Table T5'!E20+'Table T7'!H18)/(H14-'Table T7'!K18-'Table T5'!I20)</f>
        <v>6.0712247733986396E-2</v>
      </c>
      <c r="F14" s="51">
        <f>('Table T5'!G20+'Table T7'!I18)/(H14-'Table T5'!I20-'Table T7'!K18)</f>
        <v>0.17809986262433905</v>
      </c>
      <c r="G14" s="58">
        <f>('Table T5'!H20+'Table T7'!J18)/(H14-'Table T5'!I20-'Table T7'!K18)</f>
        <v>8.2340662075690921E-2</v>
      </c>
      <c r="H14" s="419">
        <f>'Table T5'!B20+'Table T7'!B18</f>
        <v>797.24199999999996</v>
      </c>
      <c r="I14" s="16"/>
      <c r="J14" s="417">
        <f t="shared" si="0"/>
        <v>1.0000000000000002</v>
      </c>
    </row>
    <row r="15" spans="1:10" ht="15">
      <c r="A15" s="326">
        <v>1989</v>
      </c>
      <c r="B15" s="425">
        <f>('Table T5'!C21+'Table T7'!E19)/(H15-'Table T5'!I21-'Table T7'!K19)</f>
        <v>0.65897886465218192</v>
      </c>
      <c r="C15" s="375">
        <f>('Table T5'!D21+'Table T7'!F19)/(H15-'Table T5'!I21-'Table T7'!K19)</f>
        <v>0.16170583528505131</v>
      </c>
      <c r="D15" s="396">
        <f>('Table T5'!F21+'Table T7'!G19)/(H15-'Table T7'!K19-'Table T5'!I21)</f>
        <v>5.6878060755626134E-4</v>
      </c>
      <c r="E15" s="396">
        <f>('Table T5'!E21+'Table T7'!H19)/(H15-'Table T7'!K19-'Table T5'!I21)</f>
        <v>7.1349389416574566E-2</v>
      </c>
      <c r="F15" s="375">
        <f>('Table T5'!G21+'Table T7'!I19)/(H15-'Table T5'!I21-'Table T7'!K19)</f>
        <v>0.17931530006276694</v>
      </c>
      <c r="G15" s="397">
        <f>('Table T5'!H21+'Table T7'!J19)/(H15-'Table T5'!I21-'Table T7'!K19)</f>
        <v>6.9611643811625573E-2</v>
      </c>
      <c r="H15" s="426">
        <f>'Table T5'!B21+'Table T7'!B19</f>
        <v>958.30099999999993</v>
      </c>
      <c r="I15" s="16"/>
      <c r="J15" s="417">
        <f t="shared" si="0"/>
        <v>1.0000000000000002</v>
      </c>
    </row>
    <row r="16" spans="1:10" ht="15">
      <c r="A16" s="325">
        <v>1990</v>
      </c>
      <c r="B16" s="422">
        <f>('Table T5'!C22+'Table T7'!E20)/(H16-'Table T5'!I22-'Table T7'!K20)</f>
        <v>0.63691651625107337</v>
      </c>
      <c r="C16" s="51">
        <f>('Table T5'!D22+'Table T7'!F20)/(H16-'Table T5'!I22-'Table T7'!K20)</f>
        <v>0.1522267136848284</v>
      </c>
      <c r="D16" s="54">
        <f>('Table T5'!F22+'Table T7'!G20)/(H16-'Table T7'!K20-'Table T5'!I22)</f>
        <v>8.5494771404826366E-4</v>
      </c>
      <c r="E16" s="54">
        <f>('Table T5'!E22+'Table T7'!H20)/(H16-'Table T7'!K20-'Table T5'!I22)</f>
        <v>6.4207877280141823E-2</v>
      </c>
      <c r="F16" s="51">
        <f>('Table T5'!G22+'Table T7'!I20)/(H16-'Table T5'!I22-'Table T7'!K20)</f>
        <v>0.21085677006409828</v>
      </c>
      <c r="G16" s="58">
        <f>('Table T5'!H22+'Table T7'!J20)/(H16-'Table T5'!I22-'Table T7'!K20)</f>
        <v>7.6003092770556585E-2</v>
      </c>
      <c r="H16" s="419">
        <f>'Table T5'!B22+'Table T7'!B20</f>
        <v>945.60500000000002</v>
      </c>
      <c r="I16" s="16"/>
      <c r="J16" s="417">
        <f t="shared" si="0"/>
        <v>1</v>
      </c>
    </row>
    <row r="17" spans="1:14" ht="15">
      <c r="A17" s="325">
        <v>1991</v>
      </c>
      <c r="B17" s="422">
        <f>('Table T5'!C23+'Table T7'!E21)/(H17-'Table T5'!I23-'Table T7'!K21)</f>
        <v>0.61129455784029174</v>
      </c>
      <c r="C17" s="51">
        <f>('Table T5'!D23+'Table T7'!F21)/(H17-'Table T5'!I23-'Table T7'!K21)</f>
        <v>0.16254460614715568</v>
      </c>
      <c r="D17" s="54">
        <f>('Table T5'!F23+'Table T7'!G21)/(H17-'Table T7'!K21-'Table T5'!I23)</f>
        <v>1.0148960630752936E-3</v>
      </c>
      <c r="E17" s="54">
        <f>('Table T5'!E23+'Table T7'!H21)/(H17-'Table T7'!K21-'Table T5'!I23)</f>
        <v>5.4289376817933166E-2</v>
      </c>
      <c r="F17" s="51">
        <f>('Table T5'!G23+'Table T7'!I21)/(H17-'Table T5'!I23-'Table T7'!K21)</f>
        <v>0.22616083601255269</v>
      </c>
      <c r="G17" s="58">
        <f>('Table T5'!H23+'Table T7'!J21)/(H17-'Table T5'!I23-'Table T7'!K21)</f>
        <v>7.6454696734411881E-2</v>
      </c>
      <c r="H17" s="419">
        <f>'Table T5'!B23+'Table T7'!B21</f>
        <v>1117.6779999999999</v>
      </c>
      <c r="I17" s="16"/>
      <c r="J17" s="417">
        <f t="shared" si="0"/>
        <v>1</v>
      </c>
      <c r="M17" s="52"/>
      <c r="N17" s="51"/>
    </row>
    <row r="18" spans="1:14" ht="15">
      <c r="A18" s="325">
        <v>1992</v>
      </c>
      <c r="B18" s="422">
        <f>('Table T5'!C24+'Table T7'!E22)/(H18-'Table T5'!I24-'Table T7'!K22)</f>
        <v>0.5826929654475782</v>
      </c>
      <c r="C18" s="51">
        <f>('Table T5'!D24+'Table T7'!F22)/(H18-'Table T5'!I24-'Table T7'!K22)</f>
        <v>0.18924708994707326</v>
      </c>
      <c r="D18" s="54">
        <f>('Table T5'!F24+'Table T7'!G22)/(H18-'Table T7'!K22-'Table T5'!I24)</f>
        <v>5.6741095032941131E-3</v>
      </c>
      <c r="E18" s="54">
        <f>('Table T5'!E24+'Table T7'!H22)/(H18-'Table T7'!K22-'Table T5'!I24)</f>
        <v>5.6356196006445834E-2</v>
      </c>
      <c r="F18" s="51">
        <f>('Table T5'!G24+'Table T7'!I22)/(H18-'Table T5'!I24-'Table T7'!K22)</f>
        <v>0.22805994460534854</v>
      </c>
      <c r="G18" s="58">
        <f>('Table T5'!H24+'Table T7'!J22)/(H18-'Table T5'!I24-'Table T7'!K22)</f>
        <v>7.6120230853995358E-2</v>
      </c>
      <c r="H18" s="419">
        <f>'Table T5'!B24+'Table T7'!B22</f>
        <v>1209.78</v>
      </c>
      <c r="I18" s="16"/>
      <c r="J18" s="417">
        <f t="shared" si="0"/>
        <v>1</v>
      </c>
      <c r="M18" s="52"/>
      <c r="N18" s="51"/>
    </row>
    <row r="19" spans="1:14" ht="15">
      <c r="A19" s="325">
        <v>1993</v>
      </c>
      <c r="B19" s="422">
        <f>('Table T5'!C25+'Table T7'!E23)/(H19-'Table T5'!I25-'Table T7'!K23)</f>
        <v>0.57718859340584872</v>
      </c>
      <c r="C19" s="51">
        <f>('Table T5'!D25+'Table T7'!F23)/(H19-'Table T5'!I25-'Table T7'!K23)</f>
        <v>0.18654299158087942</v>
      </c>
      <c r="D19" s="54">
        <f>('Table T5'!F25+'Table T7'!G23)/(H19-'Table T7'!K23-'Table T5'!I25)</f>
        <v>5.6169400280371316E-3</v>
      </c>
      <c r="E19" s="54">
        <f>('Table T5'!E25+'Table T7'!H23)/(H19-'Table T7'!K23-'Table T5'!I25)</f>
        <v>4.4069672742380106E-2</v>
      </c>
      <c r="F19" s="51">
        <f>('Table T5'!G25+'Table T7'!I23)/(H19-'Table T5'!I25-'Table T7'!K23)</f>
        <v>0.23626841501327181</v>
      </c>
      <c r="G19" s="58">
        <f>('Table T5'!H25+'Table T7'!J23)/(H19-'Table T5'!I25-'Table T7'!K23)</f>
        <v>7.0203273192541979E-2</v>
      </c>
      <c r="H19" s="419">
        <f>'Table T5'!B25+'Table T7'!B23</f>
        <v>1420.2370000000001</v>
      </c>
      <c r="I19" s="16"/>
      <c r="J19" s="417">
        <f t="shared" si="0"/>
        <v>1</v>
      </c>
      <c r="M19" s="52"/>
      <c r="N19" s="51"/>
    </row>
    <row r="20" spans="1:14" ht="15">
      <c r="A20" s="325">
        <v>1994</v>
      </c>
      <c r="B20" s="422">
        <f>('Table T5'!C26+'Table T7'!E24)/(H20-'Table T5'!I26-'Table T7'!K24)</f>
        <v>0.59127555249043084</v>
      </c>
      <c r="C20" s="51">
        <f>('Table T5'!D26+'Table T7'!F24)/(H20-'Table T5'!I26-'Table T7'!K24)</f>
        <v>0.17273219018644226</v>
      </c>
      <c r="D20" s="54">
        <f>('Table T5'!F26+'Table T7'!G24)/(H20-'Table T7'!K24-'Table T5'!I26)</f>
        <v>1.799608155730294E-2</v>
      </c>
      <c r="E20" s="54">
        <f>('Table T5'!E26+'Table T7'!H24)/(H20-'Table T7'!K24-'Table T5'!I26)</f>
        <v>3.8259641943872796E-2</v>
      </c>
      <c r="F20" s="51">
        <f>('Table T5'!G26+'Table T7'!I24)/(H20-'Table T5'!I26-'Table T7'!K24)</f>
        <v>0.23599225732312681</v>
      </c>
      <c r="G20" s="58">
        <f>('Table T5'!H26+'Table T7'!J24)/(H20-'Table T5'!I26-'Table T7'!K24)</f>
        <v>6.9221120537962172E-2</v>
      </c>
      <c r="H20" s="419">
        <f>'Table T5'!B26+'Table T7'!B24</f>
        <v>1449.34</v>
      </c>
      <c r="I20" s="16"/>
      <c r="J20" s="417">
        <f t="shared" si="0"/>
        <v>0.99999999999999989</v>
      </c>
      <c r="M20" s="52"/>
      <c r="N20" s="51"/>
    </row>
    <row r="21" spans="1:14" ht="15">
      <c r="A21" s="325">
        <v>1995</v>
      </c>
      <c r="B21" s="422">
        <f>('Table T5'!C27+'Table T7'!E25)/(H21-'Table T5'!I27-'Table T7'!K25)</f>
        <v>0.56725824714665296</v>
      </c>
      <c r="C21" s="51">
        <f>('Table T5'!D27+'Table T7'!F25)/(H21-'Table T5'!I27-'Table T7'!K25)</f>
        <v>0.17749974550719705</v>
      </c>
      <c r="D21" s="54">
        <f>('Table T5'!F27+'Table T7'!G25)/(H21-'Table T7'!K25-'Table T5'!I27)</f>
        <v>2.652065310986124E-2</v>
      </c>
      <c r="E21" s="54">
        <f>('Table T5'!E27+'Table T7'!H25)/(H21-'Table T7'!K25-'Table T5'!I27)</f>
        <v>3.3257379516897632E-2</v>
      </c>
      <c r="F21" s="51">
        <f>('Table T5'!G27+'Table T7'!I25)/(H21-'Table T5'!I27-'Table T7'!K25)</f>
        <v>0.25524200734614994</v>
      </c>
      <c r="G21" s="58">
        <f>('Table T5'!H27+'Table T7'!J25)/(H21-'Table T5'!I27-'Table T7'!K25)</f>
        <v>6.3992207390184797E-2</v>
      </c>
      <c r="H21" s="419">
        <f>'Table T5'!B27+'Table T7'!B25</f>
        <v>1897.557</v>
      </c>
      <c r="I21" s="16"/>
      <c r="J21" s="417">
        <f t="shared" si="0"/>
        <v>1</v>
      </c>
      <c r="M21" s="52"/>
      <c r="N21" s="51"/>
    </row>
    <row r="22" spans="1:14" ht="15">
      <c r="A22" s="325">
        <v>1996</v>
      </c>
      <c r="B22" s="422">
        <f>('Table T5'!C28+'Table T7'!E26)/(H22-'Table T5'!I28-'Table T7'!K26)</f>
        <v>0.57303477592776109</v>
      </c>
      <c r="C22" s="51">
        <f>('Table T5'!D28+'Table T7'!F26)/(H22-'Table T5'!I28-'Table T7'!K26)</f>
        <v>0.17617957653516875</v>
      </c>
      <c r="D22" s="54">
        <f>('Table T5'!F28+'Table T7'!G26)/(H22-'Table T7'!K26-'Table T5'!I28)</f>
        <v>2.87217514259311E-2</v>
      </c>
      <c r="E22" s="54">
        <f>('Table T5'!E28+'Table T7'!H26)/(H22-'Table T7'!K26-'Table T5'!I28)</f>
        <v>3.1862071567059447E-2</v>
      </c>
      <c r="F22" s="51">
        <f>('Table T5'!G28+'Table T7'!I26)/(H22-'Table T5'!I28-'Table T7'!K26)</f>
        <v>0.25078564753706989</v>
      </c>
      <c r="G22" s="58">
        <f>('Table T5'!H28+'Table T7'!J26)/(H22-'Table T5'!I28-'Table T7'!K26)</f>
        <v>5.4706659333831037E-2</v>
      </c>
      <c r="H22" s="419">
        <f>'Table T5'!B28+'Table T7'!B26</f>
        <v>2325.4570000000003</v>
      </c>
      <c r="I22" s="16"/>
      <c r="J22" s="417">
        <f t="shared" si="0"/>
        <v>0.99999999999999978</v>
      </c>
      <c r="M22" s="52"/>
      <c r="N22" s="51"/>
    </row>
    <row r="23" spans="1:14" ht="15">
      <c r="A23" s="325">
        <v>1997</v>
      </c>
      <c r="B23" s="422">
        <f>('Table T5'!C29+'Table T7'!E27)/(H23-'Table T5'!I29-'Table T7'!K27)</f>
        <v>0.58073297398344947</v>
      </c>
      <c r="C23" s="51">
        <f>('Table T5'!D29+'Table T7'!F27)/(H23-'Table T5'!I29-'Table T7'!K27)</f>
        <v>0.15748084959262382</v>
      </c>
      <c r="D23" s="54">
        <f>('Table T5'!F29+'Table T7'!G27)/(H23-'Table T7'!K27-'Table T5'!I29)</f>
        <v>2.5978974122663048E-2</v>
      </c>
      <c r="E23" s="54">
        <f>('Table T5'!E29+'Table T7'!H27)/(H23-'Table T7'!K27-'Table T5'!I29)</f>
        <v>3.0420126117685964E-2</v>
      </c>
      <c r="F23" s="51">
        <f>('Table T5'!G29+'Table T7'!I27)/(H23-'Table T5'!I29-'Table T7'!K27)</f>
        <v>0.2617861764239266</v>
      </c>
      <c r="G23" s="58">
        <f>('Table T5'!H29+'Table T7'!J27)/(H23-'Table T5'!I29-'Table T7'!K27)</f>
        <v>5.3709430422386642E-2</v>
      </c>
      <c r="H23" s="419">
        <f>'Table T5'!B29+'Table T7'!B27</f>
        <v>2851.674</v>
      </c>
      <c r="I23" s="16"/>
      <c r="J23" s="417">
        <f t="shared" si="0"/>
        <v>0.99999999999999989</v>
      </c>
    </row>
    <row r="24" spans="1:14" ht="15">
      <c r="A24" s="325">
        <v>1998</v>
      </c>
      <c r="B24" s="422">
        <f>('Table T5'!C30+'Table T7'!E28)/(H24-'Table T5'!I30-'Table T7'!K28)</f>
        <v>0.58025347010579031</v>
      </c>
      <c r="C24" s="51">
        <f>('Table T5'!D30+'Table T7'!F28)/(H24-'Table T5'!I30-'Table T7'!K28)</f>
        <v>0.14519239689871999</v>
      </c>
      <c r="D24" s="54">
        <f>('Table T5'!F30+'Table T7'!G28)/(H24-'Table T7'!K28-'Table T5'!I30)</f>
        <v>2.3154328065358533E-2</v>
      </c>
      <c r="E24" s="54">
        <f>('Table T5'!E30+'Table T7'!H28)/(H24-'Table T7'!K28-'Table T5'!I30)</f>
        <v>2.2633849279395785E-2</v>
      </c>
      <c r="F24" s="51">
        <f>('Table T5'!G30+'Table T7'!I28)/(H24-'Table T5'!I30-'Table T7'!K28)</f>
        <v>0.27455413299548975</v>
      </c>
      <c r="G24" s="58">
        <f>('Table T5'!H30+'Table T7'!J28)/(H24-'Table T5'!I30-'Table T7'!K28)</f>
        <v>6.1007992233447418E-2</v>
      </c>
      <c r="H24" s="419">
        <f>'Table T5'!B30+'Table T7'!B28</f>
        <v>3379.549</v>
      </c>
      <c r="I24" s="16"/>
      <c r="J24" s="417">
        <f t="shared" si="0"/>
        <v>1</v>
      </c>
    </row>
    <row r="25" spans="1:14" ht="15">
      <c r="A25" s="326">
        <v>1999</v>
      </c>
      <c r="B25" s="425">
        <f>('Table T5'!C31+'Table T7'!E29)/(H25-'Table T5'!I31-'Table T7'!K29)</f>
        <v>0.58313505076168348</v>
      </c>
      <c r="C25" s="375">
        <f>('Table T5'!D31+'Table T7'!F29)/(H25-'Table T5'!I31-'Table T7'!K29)</f>
        <v>0.13657704391189596</v>
      </c>
      <c r="D25" s="396">
        <f>('Table T5'!F31+'Table T7'!G29)/(H25-'Table T7'!K29-'Table T5'!I31)</f>
        <v>2.4017031282073817E-2</v>
      </c>
      <c r="E25" s="396">
        <f>('Table T5'!E31+'Table T7'!H29)/(H25-'Table T7'!K29-'Table T5'!I31)</f>
        <v>2.0768037979868696E-2</v>
      </c>
      <c r="F25" s="375">
        <f>('Table T5'!G31+'Table T7'!I29)/(H25-'Table T5'!I31-'Table T7'!K29)</f>
        <v>0.28028790532642062</v>
      </c>
      <c r="G25" s="397">
        <f>('Table T5'!H31+'Table T7'!J29)/(H25-'Table T5'!I31-'Table T7'!K29)</f>
        <v>6.0944820916086599E-2</v>
      </c>
      <c r="H25" s="426">
        <f>'Table T5'!B31+'Table T7'!B29</f>
        <v>3727.7599999999998</v>
      </c>
      <c r="I25" s="16"/>
      <c r="J25" s="417">
        <f t="shared" si="0"/>
        <v>1</v>
      </c>
    </row>
    <row r="26" spans="1:14" ht="15">
      <c r="A26" s="325">
        <v>2000</v>
      </c>
      <c r="B26" s="422">
        <f>('Table T5'!C32+'Table T7'!E30)/(H26-'Table T5'!I32-'Table T7'!K30)</f>
        <v>0.56139428092397303</v>
      </c>
      <c r="C26" s="51">
        <f>('Table T5'!D32+'Table T7'!F30)/(H26-'Table T5'!I32-'Table T7'!K30)</f>
        <v>0.15698637314747427</v>
      </c>
      <c r="D26" s="54">
        <f>('Table T5'!F32+'Table T7'!G30)/(H26-'Table T7'!K30-'Table T5'!I32)</f>
        <v>2.8531996523655265E-2</v>
      </c>
      <c r="E26" s="54">
        <f>('Table T5'!E32+'Table T7'!H30)/(H26-'Table T7'!K30-'Table T5'!I32)</f>
        <v>2.2908447827490602E-2</v>
      </c>
      <c r="F26" s="51">
        <f>('Table T5'!G32+'Table T7'!I30)/(H26-'Table T5'!I32-'Table T7'!K30)</f>
        <v>0.2816193459285527</v>
      </c>
      <c r="G26" s="58">
        <f>('Table T5'!H32+'Table T7'!J30)/(H26-'Table T5'!I32-'Table T7'!K30)</f>
        <v>5.0969933130385461E-2</v>
      </c>
      <c r="H26" s="419">
        <f>'Table T5'!B32+'Table T7'!B30</f>
        <v>3984.8150000000001</v>
      </c>
      <c r="I26" s="16"/>
      <c r="J26" s="417">
        <f t="shared" si="0"/>
        <v>1</v>
      </c>
    </row>
    <row r="27" spans="1:14" ht="15">
      <c r="A27" s="325">
        <v>2001</v>
      </c>
      <c r="B27" s="422">
        <f>('Table T5'!C33+'Table T7'!E31)/(H27-'Table T5'!I33-'Table T7'!K31)</f>
        <v>0.52183917055393403</v>
      </c>
      <c r="C27" s="51">
        <f>('Table T5'!D33+'Table T7'!F31)/(H27-'Table T5'!I33-'Table T7'!K31)</f>
        <v>0.17207392944867364</v>
      </c>
      <c r="D27" s="54">
        <f>('Table T5'!F33+'Table T7'!G31)/(H27-'Table T7'!K31-'Table T5'!I33)</f>
        <v>4.0068047419953297E-2</v>
      </c>
      <c r="E27" s="54">
        <f>('Table T5'!E33+'Table T7'!H31)/(H27-'Table T7'!K31-'Table T5'!I33)</f>
        <v>2.3404097573809016E-2</v>
      </c>
      <c r="F27" s="51">
        <f>('Table T5'!G33+'Table T7'!I31)/(H27-'Table T5'!I33-'Table T7'!K31)</f>
        <v>0.30608689999739253</v>
      </c>
      <c r="G27" s="58">
        <f>('Table T5'!H33+'Table T7'!J31)/(H27-'Table T5'!I33-'Table T7'!K31)</f>
        <v>4.7787711374428894E-2</v>
      </c>
      <c r="H27" s="419">
        <f>'Table T5'!B33+'Table T7'!B31</f>
        <v>4260.0759999999991</v>
      </c>
      <c r="I27" s="16"/>
      <c r="J27" s="417">
        <f t="shared" si="0"/>
        <v>1.0000000000000002</v>
      </c>
    </row>
    <row r="28" spans="1:14" ht="15">
      <c r="A28" s="325">
        <v>2002</v>
      </c>
      <c r="B28" s="422">
        <f>('Table T5'!C34+'Table T7'!E32)/(H28-'Table T5'!I34-'Table T7'!K32)</f>
        <v>0.48376352043851534</v>
      </c>
      <c r="C28" s="51">
        <f>('Table T5'!D34+'Table T7'!F32)/(H28-'Table T5'!I34-'Table T7'!K32)</f>
        <v>0.19247459173061751</v>
      </c>
      <c r="D28" s="54">
        <f>('Table T5'!F34+'Table T7'!G32)/(H28-'Table T7'!K32-'Table T5'!I34)</f>
        <v>5.2944204294055636E-2</v>
      </c>
      <c r="E28" s="54">
        <f>('Table T5'!E34+'Table T7'!H32)/(H28-'Table T7'!K32-'Table T5'!I34)</f>
        <v>2.0226029624618998E-2</v>
      </c>
      <c r="F28" s="51">
        <f>('Table T5'!G34+'Table T7'!I32)/(H28-'Table T5'!I34-'Table T7'!K32)</f>
        <v>0.32376188783086729</v>
      </c>
      <c r="G28" s="58">
        <f>('Table T5'!H34+'Table T7'!J32)/(H28-'Table T5'!I34-'Table T7'!K32)</f>
        <v>4.2122475557926281E-2</v>
      </c>
      <c r="H28" s="419">
        <f>'Table T5'!B34+'Table T7'!B32</f>
        <v>4473.165</v>
      </c>
      <c r="I28" s="16"/>
      <c r="J28" s="417">
        <f t="shared" si="0"/>
        <v>1</v>
      </c>
    </row>
    <row r="29" spans="1:14" ht="15">
      <c r="A29" s="325">
        <v>2003</v>
      </c>
      <c r="B29" s="422">
        <f>('Table T5'!C35+'Table T7'!E33)/(H29-'Table T5'!I35-'Table T7'!K33)</f>
        <v>0.46939462205289384</v>
      </c>
      <c r="C29" s="51">
        <f>('Table T5'!D35+'Table T7'!F33)/(H29-'Table T5'!I35-'Table T7'!K33)</f>
        <v>0.19062335025404487</v>
      </c>
      <c r="D29" s="54">
        <f>('Table T5'!F35+'Table T7'!G33)/(H29-'Table T7'!K33-'Table T5'!I35)</f>
        <v>5.7848545945742631E-2</v>
      </c>
      <c r="E29" s="54">
        <f>('Table T5'!E35+'Table T7'!H33)/(H29-'Table T7'!K33-'Table T5'!I35)</f>
        <v>2.12578089154455E-2</v>
      </c>
      <c r="F29" s="51">
        <f>('Table T5'!G35+'Table T7'!I33)/(H29-'Table T5'!I35-'Table T7'!K33)</f>
        <v>0.33998202769306118</v>
      </c>
      <c r="G29" s="58">
        <f>('Table T5'!H35+'Table T7'!J33)/(H29-'Table T5'!I35-'Table T7'!K33)</f>
        <v>4.1749435967064132E-2</v>
      </c>
      <c r="H29" s="419">
        <f>'Table T5'!B35+'Table T7'!B33</f>
        <v>5442.34</v>
      </c>
      <c r="I29" s="16"/>
      <c r="J29" s="417">
        <f t="shared" si="0"/>
        <v>0.99999999999999989</v>
      </c>
    </row>
    <row r="30" spans="1:14" ht="15">
      <c r="A30" s="325">
        <v>2004</v>
      </c>
      <c r="B30" s="422">
        <f>('Table T5'!C36+'Table T7'!E34)/(H30-'Table T5'!I36-'Table T7'!K34)</f>
        <v>0.46356311742586165</v>
      </c>
      <c r="C30" s="51">
        <f>('Table T5'!D36+'Table T7'!F34)/(H30-'Table T5'!I36-'Table T7'!K34)</f>
        <v>0.2037812786545207</v>
      </c>
      <c r="D30" s="54">
        <f>('Table T5'!F36+'Table T7'!G34)/(H30-'Table T7'!K34-'Table T5'!I36)</f>
        <v>6.961920931756907E-2</v>
      </c>
      <c r="E30" s="54">
        <f>('Table T5'!E36+'Table T7'!H34)/(H30-'Table T7'!K34-'Table T5'!I36)</f>
        <v>2.5447315472524972E-2</v>
      </c>
      <c r="F30" s="51">
        <f>('Table T5'!G36+'Table T7'!I34)/(H30-'Table T5'!I36-'Table T7'!K34)</f>
        <v>0.33265560391961752</v>
      </c>
      <c r="G30" s="58">
        <f>('Table T5'!H36+'Table T7'!J34)/(H30-'Table T5'!I36-'Table T7'!K34)</f>
        <v>3.8039591757529738E-2</v>
      </c>
      <c r="H30" s="419">
        <f>'Table T5'!B36+'Table T7'!B34</f>
        <v>6605.8660000000009</v>
      </c>
      <c r="I30" s="16"/>
      <c r="J30" s="417">
        <f t="shared" si="0"/>
        <v>0.99999999999999989</v>
      </c>
    </row>
    <row r="31" spans="1:14" ht="15">
      <c r="A31" s="325">
        <v>2005</v>
      </c>
      <c r="B31" s="422">
        <f>('Table T5'!C37+'Table T7'!E35)/(H31-'Table T5'!I37-'Table T7'!K35)</f>
        <v>0.44482891404218061</v>
      </c>
      <c r="C31" s="51">
        <f>('Table T5'!D37+'Table T7'!F35)/(H31-'Table T5'!I37-'Table T7'!K35)</f>
        <v>0.22558743279090279</v>
      </c>
      <c r="D31" s="54">
        <f>('Table T5'!F37+'Table T7'!G35)/(H31-'Table T7'!K35-'Table T5'!I37)</f>
        <v>8.570551379747772E-2</v>
      </c>
      <c r="E31" s="54">
        <f>('Table T5'!E37+'Table T7'!H35)/(H31-'Table T7'!K35-'Table T5'!I37)</f>
        <v>2.8460925377754808E-2</v>
      </c>
      <c r="F31" s="51">
        <f>('Table T5'!G37+'Table T7'!I35)/(H31-'Table T5'!I37-'Table T7'!K35)</f>
        <v>0.32958365316691668</v>
      </c>
      <c r="G31" s="58">
        <f>('Table T5'!H37+'Table T7'!J35)/(H31-'Table T5'!I37-'Table T7'!K35)</f>
        <v>3.5316663460107742E-2</v>
      </c>
      <c r="H31" s="419">
        <f>'Table T5'!B37+'Table T7'!B35</f>
        <v>7312.7569999999996</v>
      </c>
      <c r="I31" s="16"/>
      <c r="J31" s="417">
        <f t="shared" si="0"/>
        <v>1</v>
      </c>
    </row>
    <row r="32" spans="1:14" ht="15">
      <c r="A32" s="325">
        <v>2006</v>
      </c>
      <c r="B32" s="422">
        <f>('Table T5'!C38+'Table T7'!E36)/(H32-'Table T5'!I38-'Table T7'!K36)</f>
        <v>0.42478521901314065</v>
      </c>
      <c r="C32" s="51">
        <f>('Table T5'!D38+'Table T7'!F36)/(H32-'Table T5'!I38-'Table T7'!K36)</f>
        <v>0.23506079285237236</v>
      </c>
      <c r="D32" s="54">
        <f>('Table T5'!F38+'Table T7'!G36)/(H32-'Table T7'!K36-'Table T5'!I38)</f>
        <v>9.4251282492967201E-2</v>
      </c>
      <c r="E32" s="54">
        <f>('Table T5'!E38+'Table T7'!H36)/(H32-'Table T7'!K36-'Table T5'!I38)</f>
        <v>3.3108225356531094E-2</v>
      </c>
      <c r="F32" s="51">
        <f>('Table T5'!G38+'Table T7'!I36)/(H32-'Table T5'!I38-'Table T7'!K36)</f>
        <v>0.34015398813448694</v>
      </c>
      <c r="G32" s="58">
        <f>('Table T5'!H38+'Table T7'!J36)/(H32-'Table T5'!I38-'Table T7'!K36)</f>
        <v>3.5497304131474408E-2</v>
      </c>
      <c r="H32" s="419">
        <f>'Table T5'!B38+'Table T7'!B36</f>
        <v>8844.3560000000016</v>
      </c>
      <c r="I32" s="16"/>
      <c r="J32" s="417">
        <f t="shared" si="0"/>
        <v>1</v>
      </c>
    </row>
    <row r="33" spans="1:10" ht="15">
      <c r="A33" s="325">
        <v>2007</v>
      </c>
      <c r="B33" s="422">
        <f>('Table T5'!C39+'Table T7'!E37)/(H33-'Table T5'!I39-'Table T7'!K37)</f>
        <v>0.39983833249536527</v>
      </c>
      <c r="C33" s="51">
        <f>('Table T5'!D39+'Table T7'!F37)/(H33-'Table T5'!I39-'Table T7'!K37)</f>
        <v>0.26265690100304656</v>
      </c>
      <c r="D33" s="54">
        <f>('Table T5'!F39+'Table T7'!G37)/(H33-'Table T7'!K37-'Table T5'!I39)</f>
        <v>0.10837844557517627</v>
      </c>
      <c r="E33" s="54">
        <f>('Table T5'!E39+'Table T7'!H37)/(H33-'Table T7'!K37-'Table T5'!I39)</f>
        <v>3.5923261204556328E-2</v>
      </c>
      <c r="F33" s="51">
        <f>('Table T5'!G39+'Table T7'!I37)/(H33-'Table T5'!I39-'Table T7'!K37)</f>
        <v>0.33750476650158823</v>
      </c>
      <c r="G33" s="58">
        <f>('Table T5'!H39+'Table T7'!J37)/(H33-'Table T5'!I39-'Table T7'!K37)</f>
        <v>3.2522820447485612E-2</v>
      </c>
      <c r="H33" s="419">
        <f>'Table T5'!B39+'Table T7'!B37</f>
        <v>10289.152</v>
      </c>
      <c r="I33" s="16"/>
      <c r="J33" s="417">
        <f t="shared" si="0"/>
        <v>1</v>
      </c>
    </row>
    <row r="34" spans="1:10" ht="15">
      <c r="A34" s="325">
        <v>2008</v>
      </c>
      <c r="B34" s="422">
        <f>('Table T5'!C40+'Table T7'!E38)/(H34-'Table T5'!I40-'Table T7'!K38)</f>
        <v>0.35513389865504646</v>
      </c>
      <c r="C34" s="51">
        <f>('Table T5'!D40+'Table T7'!F38)/(H34-'Table T5'!I40-'Table T7'!K38)</f>
        <v>0.32438403504549579</v>
      </c>
      <c r="D34" s="54">
        <f>('Table T5'!F40+'Table T7'!G38)/(H34-'Table T7'!K38-'Table T5'!I40)</f>
        <v>0.15657162022644475</v>
      </c>
      <c r="E34" s="54">
        <f>('Table T5'!E40+'Table T7'!H38)/(H34-'Table T7'!K38-'Table T5'!I40)</f>
        <v>4.0698665648089695E-2</v>
      </c>
      <c r="F34" s="51">
        <f>('Table T5'!G40+'Table T7'!I38)/(H34-'Table T5'!I40-'Table T7'!K38)</f>
        <v>0.32048206629945764</v>
      </c>
      <c r="G34" s="58">
        <f>('Table T5'!H40+'Table T7'!J38)/(H34-'Table T5'!I40-'Table T7'!K38)</f>
        <v>3.2615755007214482E-2</v>
      </c>
      <c r="H34" s="419">
        <f>'Table T5'!B40+'Table T7'!B38</f>
        <v>9376.1720000000005</v>
      </c>
      <c r="I34" s="16"/>
      <c r="J34" s="417">
        <f t="shared" si="0"/>
        <v>1</v>
      </c>
    </row>
    <row r="35" spans="1:10" ht="15">
      <c r="A35" s="326">
        <v>2009</v>
      </c>
      <c r="B35" s="425">
        <f>('Table T5'!C41+'Table T7'!E39)/(H35-'Table T5'!I41-'Table T7'!K39)</f>
        <v>0.36805636444658896</v>
      </c>
      <c r="C35" s="375">
        <f>('Table T5'!D41+'Table T7'!F39)/(H35-'Table T5'!I41-'Table T7'!K39)</f>
        <v>0.3060272944879105</v>
      </c>
      <c r="D35" s="396">
        <f>('Table T5'!F41+'Table T7'!G39)/(H35-'Table T7'!K39-'Table T5'!I41)</f>
        <v>0.14831181905937768</v>
      </c>
      <c r="E35" s="396">
        <f>('Table T5'!E41+'Table T7'!H39)/(H35-'Table T7'!K39-'Table T5'!I41)</f>
        <v>3.5302063312252725E-2</v>
      </c>
      <c r="F35" s="375">
        <f>('Table T5'!G41+'Table T7'!I39)/(H35-'Table T5'!I41-'Table T7'!K39)</f>
        <v>0.32591634106550055</v>
      </c>
      <c r="G35" s="397">
        <f>('Table T5'!H41+'Table T7'!J39)/(H35-'Table T5'!I41-'Table T7'!K39)</f>
        <v>3.6966956894931985E-2</v>
      </c>
      <c r="H35" s="426">
        <f>'Table T5'!B41+'Table T7'!B39</f>
        <v>10482.84</v>
      </c>
      <c r="I35" s="16"/>
      <c r="J35" s="417">
        <f t="shared" si="0"/>
        <v>1</v>
      </c>
    </row>
    <row r="36" spans="1:10" ht="15">
      <c r="A36" s="325">
        <v>2010</v>
      </c>
      <c r="B36" s="422">
        <f>('Table T5'!C42+'Table T7'!E40)/(H36-'Table T5'!I42-'Table T7'!K40)</f>
        <v>0.37493995949439052</v>
      </c>
      <c r="C36" s="51">
        <f>('Table T5'!D42+'Table T7'!F40)/(H36-'Table T5'!I42-'Table T7'!K40)</f>
        <v>0.29899808429613839</v>
      </c>
      <c r="D36" s="54">
        <f>('Table T5'!F42+'Table T7'!G40)/(H36-'Table T7'!K40-'Table T5'!I42)</f>
        <v>0.14160818763465233</v>
      </c>
      <c r="E36" s="54">
        <f>('Table T5'!E42+'Table T7'!H40)/(H36-'Table T7'!K40-'Table T5'!I42)</f>
        <v>3.4399666659570304E-2</v>
      </c>
      <c r="F36" s="51">
        <f>('Table T5'!G42+'Table T7'!I40)/(H36-'Table T5'!I42-'Table T7'!K40)</f>
        <v>0.3260619562094712</v>
      </c>
      <c r="G36" s="58">
        <f>('Table T5'!H42+'Table T7'!J40)/(H36-'Table T5'!I42-'Table T7'!K40)</f>
        <v>3.9222794703290147E-2</v>
      </c>
      <c r="H36" s="419">
        <f>'Table T5'!B42+'Table T7'!B40</f>
        <v>11906.971000000001</v>
      </c>
      <c r="I36" s="16"/>
      <c r="J36" s="417">
        <f t="shared" si="0"/>
        <v>1</v>
      </c>
    </row>
    <row r="37" spans="1:10" ht="15">
      <c r="A37" s="325">
        <v>2011</v>
      </c>
      <c r="B37" s="422">
        <f>('Table T5'!C43+'Table T7'!E41)/(H37-'Table T5'!I43-'Table T7'!K41)</f>
        <v>0.38328495675442781</v>
      </c>
      <c r="C37" s="51">
        <f>('Table T5'!D43+'Table T7'!F41)/(H37-'Table T5'!I43-'Table T7'!K41)</f>
        <v>0.29195759569865659</v>
      </c>
      <c r="D37" s="54">
        <f>('Table T5'!F43+'Table T7'!G41)/(H37-'Table T7'!K41-'Table T5'!I43)</f>
        <v>0.14102492127571617</v>
      </c>
      <c r="E37" s="54">
        <f>('Table T5'!E43+'Table T7'!H41)/(H37-'Table T7'!K41-'Table T5'!I43)</f>
        <v>3.5187759330805306E-2</v>
      </c>
      <c r="F37" s="51">
        <f>('Table T5'!G43+'Table T7'!I41)/(H37-'Table T5'!I43-'Table T7'!K41)</f>
        <v>0.32475744754691555</v>
      </c>
      <c r="G37" s="58">
        <f>('Table T5'!H43+'Table T7'!J41)/(H37-'Table T5'!I43-'Table T7'!K41)</f>
        <v>3.9849543475709022E-2</v>
      </c>
      <c r="H37" s="419">
        <f>'Table T5'!B43+'Table T7'!B41</f>
        <v>12439.575999999999</v>
      </c>
      <c r="I37" s="16"/>
      <c r="J37" s="417">
        <f t="shared" si="0"/>
        <v>1</v>
      </c>
    </row>
    <row r="38" spans="1:10" ht="16" thickBot="1">
      <c r="A38" s="329">
        <v>2012</v>
      </c>
      <c r="B38" s="423">
        <f>('Table T5'!C44+'Table T7'!E42)/(H38-'Table T5'!I44-'Table T7'!K42)</f>
        <v>0.40885917052066678</v>
      </c>
      <c r="C38" s="62">
        <f>('Table T5'!D44+'Table T7'!F42)/(H38-'Table T5'!I44-'Table T7'!K42)</f>
        <v>0.26077451894891923</v>
      </c>
      <c r="D38" s="63">
        <f>('Table T5'!F44+'Table T7'!G42)/(H38-'Table T7'!K42-'Table T5'!I44)</f>
        <v>0.12123324871572208</v>
      </c>
      <c r="E38" s="63">
        <f>('Table T5'!E44+'Table T7'!H42)/(H38-'Table T7'!K42-'Table T5'!I44)</f>
        <v>3.3835315391165646E-2</v>
      </c>
      <c r="F38" s="62">
        <f>('Table T5'!G44+'Table T7'!I42)/(H38-'Table T5'!I44-'Table T7'!K42)</f>
        <v>0.33036631053041404</v>
      </c>
      <c r="G38" s="64">
        <f>('Table T5'!H44+'Table T7'!J42)/(H38-'Table T5'!I44-'Table T7'!K42)</f>
        <v>4.307471360520948E-2</v>
      </c>
      <c r="H38" s="420">
        <f>'Table T5'!B44+'Table T7'!B42</f>
        <v>13261.27</v>
      </c>
      <c r="J38" s="417">
        <f>F38+C38+B38</f>
        <v>1</v>
      </c>
    </row>
    <row r="39" spans="1:10" ht="16" thickTop="1">
      <c r="A39" s="323">
        <v>2013</v>
      </c>
      <c r="D39" s="54"/>
      <c r="E39" s="54"/>
      <c r="F39" s="51"/>
      <c r="G39" s="54"/>
      <c r="H39" s="424"/>
    </row>
    <row r="40" spans="1:10" ht="15">
      <c r="A40" s="323">
        <v>2014</v>
      </c>
      <c r="G40" s="54"/>
      <c r="H40" s="1"/>
    </row>
    <row r="41" spans="1:10" ht="15">
      <c r="A41" s="323">
        <v>2015</v>
      </c>
      <c r="G41" s="54"/>
      <c r="H41" s="1"/>
    </row>
    <row r="42" spans="1:10" ht="15">
      <c r="A42" s="323">
        <v>2016</v>
      </c>
      <c r="G42" s="54"/>
      <c r="H42" s="1"/>
    </row>
    <row r="43" spans="1:10">
      <c r="A43" s="323">
        <v>2017</v>
      </c>
    </row>
  </sheetData>
  <mergeCells count="6">
    <mergeCell ref="H7:H8"/>
    <mergeCell ref="B6:H6"/>
    <mergeCell ref="A3:H3"/>
    <mergeCell ref="B7:B8"/>
    <mergeCell ref="C7:C8"/>
    <mergeCell ref="F7:F8"/>
  </mergeCells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41"/>
  <sheetViews>
    <sheetView workbookViewId="0">
      <pane xSplit="1" ySplit="8" topLeftCell="B10" activePane="bottomRight" state="frozen"/>
      <selection pane="topRight" activeCell="C1" sqref="C1"/>
      <selection pane="bottomLeft" activeCell="A9" sqref="A9"/>
      <selection pane="bottomRight" activeCell="A3" sqref="A3:V3"/>
    </sheetView>
  </sheetViews>
  <sheetFormatPr baseColWidth="10" defaultColWidth="10.83203125" defaultRowHeight="12" x14ac:dyDescent="0"/>
  <cols>
    <col min="1" max="1" width="11.1640625" style="3" customWidth="1"/>
    <col min="2" max="2" width="11.1640625" style="2" customWidth="1"/>
    <col min="3" max="15" width="11.1640625" style="3" customWidth="1"/>
    <col min="16" max="16384" width="10.83203125" style="3"/>
  </cols>
  <sheetData>
    <row r="2" spans="1:22" ht="13" customHeight="1" thickBot="1">
      <c r="A2" s="1"/>
    </row>
    <row r="3" spans="1:22" s="5" customFormat="1" ht="20" customHeight="1" thickTop="1">
      <c r="A3" s="449" t="s">
        <v>223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1"/>
    </row>
    <row r="4" spans="1:22">
      <c r="A4" s="7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1:22">
      <c r="A5" s="7"/>
      <c r="B5" s="25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" t="s">
        <v>69</v>
      </c>
      <c r="Q5" s="1" t="s">
        <v>70</v>
      </c>
      <c r="R5" s="1" t="s">
        <v>76</v>
      </c>
      <c r="S5" s="1" t="s">
        <v>77</v>
      </c>
      <c r="T5" s="1" t="s">
        <v>78</v>
      </c>
      <c r="U5" s="1" t="s">
        <v>79</v>
      </c>
      <c r="V5" s="6" t="s">
        <v>80</v>
      </c>
    </row>
    <row r="6" spans="1:22" ht="19" customHeight="1">
      <c r="A6" s="7"/>
      <c r="B6" s="537" t="s">
        <v>207</v>
      </c>
      <c r="C6" s="537"/>
      <c r="D6" s="537"/>
      <c r="E6" s="537"/>
      <c r="F6" s="537"/>
      <c r="G6" s="537"/>
      <c r="H6" s="537"/>
      <c r="I6" s="536" t="s">
        <v>68</v>
      </c>
      <c r="J6" s="537"/>
      <c r="K6" s="537"/>
      <c r="L6" s="537"/>
      <c r="M6" s="537"/>
      <c r="N6" s="537"/>
      <c r="O6" s="537"/>
      <c r="P6" s="536" t="s">
        <v>198</v>
      </c>
      <c r="Q6" s="537"/>
      <c r="R6" s="537"/>
      <c r="S6" s="537"/>
      <c r="T6" s="537"/>
      <c r="U6" s="537"/>
      <c r="V6" s="538"/>
    </row>
    <row r="7" spans="1:22" ht="32" customHeight="1">
      <c r="A7" s="7"/>
      <c r="B7" s="543" t="s">
        <v>208</v>
      </c>
      <c r="C7" s="534" t="s">
        <v>2</v>
      </c>
      <c r="D7" s="534" t="s">
        <v>125</v>
      </c>
      <c r="E7" s="534" t="s">
        <v>126</v>
      </c>
      <c r="F7" s="534" t="s">
        <v>128</v>
      </c>
      <c r="G7" s="534" t="s">
        <v>127</v>
      </c>
      <c r="H7" s="534" t="s">
        <v>15</v>
      </c>
      <c r="I7" s="539" t="s">
        <v>209</v>
      </c>
      <c r="J7" s="534" t="s">
        <v>2</v>
      </c>
      <c r="K7" s="534" t="s">
        <v>125</v>
      </c>
      <c r="L7" s="534" t="s">
        <v>126</v>
      </c>
      <c r="M7" s="534" t="s">
        <v>128</v>
      </c>
      <c r="N7" s="534" t="s">
        <v>127</v>
      </c>
      <c r="O7" s="534" t="s">
        <v>15</v>
      </c>
      <c r="P7" s="539" t="s">
        <v>210</v>
      </c>
      <c r="Q7" s="534" t="s">
        <v>2</v>
      </c>
      <c r="R7" s="534" t="s">
        <v>125</v>
      </c>
      <c r="S7" s="534" t="s">
        <v>126</v>
      </c>
      <c r="T7" s="534" t="s">
        <v>128</v>
      </c>
      <c r="U7" s="534" t="s">
        <v>127</v>
      </c>
      <c r="V7" s="541" t="s">
        <v>15</v>
      </c>
    </row>
    <row r="8" spans="1:22" ht="61" customHeight="1" thickBot="1">
      <c r="A8" s="14"/>
      <c r="B8" s="544"/>
      <c r="C8" s="535"/>
      <c r="D8" s="535"/>
      <c r="E8" s="535"/>
      <c r="F8" s="535"/>
      <c r="G8" s="535"/>
      <c r="H8" s="535"/>
      <c r="I8" s="540"/>
      <c r="J8" s="535"/>
      <c r="K8" s="535"/>
      <c r="L8" s="535"/>
      <c r="M8" s="535"/>
      <c r="N8" s="535"/>
      <c r="O8" s="535"/>
      <c r="P8" s="540"/>
      <c r="Q8" s="535"/>
      <c r="R8" s="535"/>
      <c r="S8" s="535"/>
      <c r="T8" s="535"/>
      <c r="U8" s="535"/>
      <c r="V8" s="542"/>
    </row>
    <row r="9" spans="1:22" ht="15">
      <c r="A9" s="300">
        <v>1941</v>
      </c>
      <c r="B9" s="381">
        <f>'Table T5'!G13</f>
        <v>0.5737000000000001</v>
      </c>
      <c r="C9" s="440">
        <f>(RawData!AM25/1000)/'Table T9'!B9</f>
        <v>0.83493114868398099</v>
      </c>
      <c r="D9" s="440">
        <f>(RawData!AK25/1000)/'Table T9'!B9</f>
        <v>7.1465922956248901E-2</v>
      </c>
      <c r="E9" s="440">
        <f>((RawData!AO25+RawData!AP25+RawData!AQ25+RawData!AR25+RawData!AS25+RawData!AT25)/1000)/'Table T9'!B9</f>
        <v>9.2382778455638817E-2</v>
      </c>
      <c r="F9" s="440">
        <f>((RawData!AN25+RawData!AL25)/1000)/'Table T9'!B9</f>
        <v>0</v>
      </c>
      <c r="G9" s="440">
        <f>((RawData!AU25+RawData!AX25)/1000)/'Table T9'!B9</f>
        <v>0</v>
      </c>
      <c r="H9" s="440">
        <f>1-C9-D9-E9-F9-G9</f>
        <v>1.2201499041312874E-3</v>
      </c>
      <c r="I9" s="439">
        <f>'Table T5'!O13</f>
        <v>0.37989999999999996</v>
      </c>
      <c r="J9" s="441">
        <f>(RawData!BB25/1000)/'Table T9'!$I9</f>
        <v>0.79547249276125298</v>
      </c>
      <c r="K9" s="441">
        <f>(RawData!AZ25/1000)/'Table T9'!$I9</f>
        <v>7.7388786522769162E-2</v>
      </c>
      <c r="L9" s="440">
        <f>((RawData!BD25+RawData!BE25+RawData!BF25+RawData!BG25+RawData!BH25+RawData!BI25)/1000)/'Table T9'!I9</f>
        <v>0.1271387207159779</v>
      </c>
      <c r="M9" s="440">
        <f>((RawData!BA25+RawData!BC25)/1000)/'Table T9'!I9</f>
        <v>0</v>
      </c>
      <c r="N9" s="440">
        <f>((RawData!BJ25+RawData!BM25)/1000)/'Table T9'!I9</f>
        <v>0</v>
      </c>
      <c r="O9" s="440">
        <f>1-J9-K9-L9-M9-N9</f>
        <v>-2.7755575615628914E-17</v>
      </c>
      <c r="P9" s="439">
        <f>B9-I9</f>
        <v>0.19380000000000014</v>
      </c>
      <c r="Q9" s="441">
        <f>(C9*$B9-J9*$I9)/$P9</f>
        <v>0.91228070175438536</v>
      </c>
      <c r="R9" s="441">
        <f t="shared" ref="R9" si="0">(D9*$B9-K9*$I9)/$P9</f>
        <v>5.9855521155830704E-2</v>
      </c>
      <c r="S9" s="440">
        <f t="shared" ref="S9" si="1">(E9*$B9-L9*$I9)/$P9</f>
        <v>2.4251805985552113E-2</v>
      </c>
      <c r="T9" s="440">
        <f t="shared" ref="T9" si="2">(F9*$B9-M9*$I9)/$P9</f>
        <v>0</v>
      </c>
      <c r="U9" s="440">
        <f t="shared" ref="U9" si="3">(G9*$B9-N9*$I9)/$P9</f>
        <v>0</v>
      </c>
      <c r="V9" s="442">
        <f t="shared" ref="V9" si="4">(H9*$B9-O9*$I9)/$P9</f>
        <v>3.6119711042318352E-3</v>
      </c>
    </row>
    <row r="10" spans="1:22" ht="15">
      <c r="A10" s="18">
        <v>1974</v>
      </c>
      <c r="B10" s="384"/>
      <c r="C10" s="55"/>
      <c r="D10" s="55"/>
      <c r="E10" s="55"/>
      <c r="F10" s="55"/>
      <c r="G10" s="55"/>
      <c r="H10" s="55"/>
      <c r="I10" s="434">
        <f>'Table T5'!O14</f>
        <v>9.2840000000000007</v>
      </c>
      <c r="J10" s="59">
        <f>(RawData!BB32/1000)/'Table T9'!$I10</f>
        <v>0.7574321413183972</v>
      </c>
      <c r="K10" s="59">
        <f>(RawData!AZ32/1000)/'Table T9'!$I10</f>
        <v>9.9956915122791895E-2</v>
      </c>
      <c r="L10" s="54">
        <f>((RawData!BD32+RawData!BE32+RawData!BF32+RawData!BG32+RawData!BH32+RawData!BI32)/1000)/'Table T9'!I10</f>
        <v>0.11557518311072812</v>
      </c>
      <c r="M10" s="54">
        <f>((RawData!BA32+RawData!BC32)/1000)/'Table T9'!I10</f>
        <v>0</v>
      </c>
      <c r="N10" s="54">
        <f>((RawData!BJ32+RawData!BM32)/1000)/'Table T9'!I10</f>
        <v>1.863420939250323E-2</v>
      </c>
      <c r="O10" s="54">
        <f>1-J10-K10-L10-M10-N10</f>
        <v>8.401551055579555E-3</v>
      </c>
      <c r="P10" s="434"/>
      <c r="Q10" s="59"/>
      <c r="R10" s="59"/>
      <c r="S10" s="54"/>
      <c r="T10" s="54"/>
      <c r="U10" s="54"/>
      <c r="V10" s="437"/>
    </row>
    <row r="11" spans="1:22" ht="15">
      <c r="A11" s="319">
        <v>1978</v>
      </c>
      <c r="B11" s="385">
        <f>'Table T5'!G15</f>
        <v>18.52</v>
      </c>
      <c r="C11" s="396">
        <f>(RawData!AM36/1000)/'Table T9'!B11</f>
        <v>0.72435205183585305</v>
      </c>
      <c r="D11" s="396">
        <f>(RawData!AK36/1000)/'Table T9'!B11</f>
        <v>6.814254859611231E-2</v>
      </c>
      <c r="E11" s="396">
        <f>((RawData!AO36+RawData!AP36+RawData!AQ36+RawData!AR36+RawData!AS36+RawData!AT36)/1000)/'Table T9'!B11</f>
        <v>0.14384449244060477</v>
      </c>
      <c r="F11" s="396">
        <f>((RawData!AN36+RawData!AL36)/1000)/'Table T9'!B11</f>
        <v>0</v>
      </c>
      <c r="G11" s="396">
        <f>((RawData!AU36+RawData!AX36)/1000)/'Table T9'!B11</f>
        <v>5.3779697624190069E-2</v>
      </c>
      <c r="H11" s="396">
        <f>1-C11-D11-E11-F11-G11</f>
        <v>9.8812095032398198E-3</v>
      </c>
      <c r="I11" s="443">
        <f>'Table T5'!O15</f>
        <v>16.268000000000001</v>
      </c>
      <c r="J11" s="398">
        <f>(RawData!BB36/1000)/'Table T9'!$I11</f>
        <v>0.7533194000491763</v>
      </c>
      <c r="K11" s="398">
        <f>(RawData!AZ36/1000)/'Table T9'!$I11</f>
        <v>5.5323334152938282E-2</v>
      </c>
      <c r="L11" s="396">
        <f>((RawData!BD36+RawData!BE36+RawData!BF36+RawData!BG36+RawData!BH36+RawData!BI36)/1000)/'Table T9'!I11</f>
        <v>0.15256946151954759</v>
      </c>
      <c r="M11" s="396">
        <f>((RawData!BA36+RawData!BC36)/1000)/'Table T9'!I11</f>
        <v>0</v>
      </c>
      <c r="N11" s="396">
        <f>((RawData!BJ36+RawData!BM36)/1000)/'Table T9'!I11</f>
        <v>3.6267519055815094E-2</v>
      </c>
      <c r="O11" s="396">
        <f>1-J11-K11-L11-M11-N11</f>
        <v>2.5202852225227404E-3</v>
      </c>
      <c r="P11" s="443">
        <f t="shared" ref="P11:P40" si="5">B11-I11</f>
        <v>2.2519999999999989</v>
      </c>
      <c r="Q11" s="398">
        <f>(C11*$B11-J11*$I11)/$P11</f>
        <v>0.51509769094138413</v>
      </c>
      <c r="R11" s="398">
        <f t="shared" ref="R11:V11" si="6">(D11*$B11-K11*$I11)/$P11</f>
        <v>0.16074600355239793</v>
      </c>
      <c r="S11" s="396">
        <f t="shared" si="6"/>
        <v>8.0817051509769103E-2</v>
      </c>
      <c r="T11" s="396">
        <f t="shared" si="6"/>
        <v>0</v>
      </c>
      <c r="U11" s="396">
        <f t="shared" si="6"/>
        <v>0.18028419182948505</v>
      </c>
      <c r="V11" s="444">
        <f t="shared" si="6"/>
        <v>6.3055062166963396E-2</v>
      </c>
    </row>
    <row r="12" spans="1:22" ht="15">
      <c r="A12" s="18">
        <v>1984</v>
      </c>
      <c r="B12" s="384">
        <f>'Table T5'!G16</f>
        <v>47.055</v>
      </c>
      <c r="C12" s="54">
        <f>(RawData!AM42/1000)/'Table T9'!B12</f>
        <v>0.47625119540962702</v>
      </c>
      <c r="D12" s="54">
        <f>(RawData!AK42/1000)/'Table T9'!B12</f>
        <v>0.10562108171288917</v>
      </c>
      <c r="E12" s="54">
        <f>((RawData!AO42+RawData!AP42+RawData!AQ42+RawData!AR42+RawData!AS42+RawData!AT42)/1000)/'Table T9'!B12</f>
        <v>0.22409945808096907</v>
      </c>
      <c r="F12" s="54">
        <f>((RawData!AN42+RawData!AL42)/1000)/'Table T9'!B12</f>
        <v>0</v>
      </c>
      <c r="G12" s="54">
        <f>((RawData!AU42+RawData!AX42)/1000)/'Table T9'!B12</f>
        <v>0.19069174370417599</v>
      </c>
      <c r="H12" s="54">
        <f>1-C12-D12-E12-F12-G12</f>
        <v>3.336521092338729E-3</v>
      </c>
      <c r="I12" s="434">
        <f>'Table T5'!O16</f>
        <v>28.271000000000001</v>
      </c>
      <c r="J12" s="59">
        <f>(RawData!BB42/1000)/'Table T9'!$I12</f>
        <v>0.61458738636765586</v>
      </c>
      <c r="K12" s="59">
        <f>(RawData!AZ42/1000)/'Table T9'!$I12</f>
        <v>6.3280393335927276E-2</v>
      </c>
      <c r="L12" s="54">
        <f>((RawData!BD42+RawData!BE42+RawData!BF42+RawData!BG42+RawData!BH42+RawData!BI42)/1000)/'Table T9'!I12</f>
        <v>0.25863959534505326</v>
      </c>
      <c r="M12" s="54">
        <f>((RawData!BA42+RawData!BC42)/1000)/'Table T9'!I12</f>
        <v>0</v>
      </c>
      <c r="N12" s="54">
        <f>((RawData!BJ42+RawData!BM42)/1000)/'Table T9'!I12</f>
        <v>5.9601712001697851E-2</v>
      </c>
      <c r="O12" s="54">
        <f>1-J12-K12-L12-M12-N12</f>
        <v>3.8909129496657452E-3</v>
      </c>
      <c r="P12" s="434">
        <f t="shared" si="5"/>
        <v>18.783999999999999</v>
      </c>
      <c r="Q12" s="59">
        <f t="shared" ref="Q12:Q40" si="7">(C12*$B12-J12*$I12)/$P12</f>
        <v>0.26804727427597957</v>
      </c>
      <c r="R12" s="59">
        <f t="shared" ref="R12:R40" si="8">(D12*$B12-K12*$I12)/$P12</f>
        <v>0.16934625212947188</v>
      </c>
      <c r="S12" s="54">
        <f t="shared" ref="S12:S40" si="9">(E12*$B12-L12*$I12)/$P12</f>
        <v>0.17211456558773419</v>
      </c>
      <c r="T12" s="54">
        <f t="shared" ref="T12:T40" si="10">(F12*$B12-M12*$I12)/$P12</f>
        <v>0</v>
      </c>
      <c r="U12" s="54">
        <f t="shared" ref="U12:U40" si="11">(G12*$B12-N12*$I12)/$P12</f>
        <v>0.38798977853492339</v>
      </c>
      <c r="V12" s="437">
        <f t="shared" ref="V12:V40" si="12">(H12*$B12-O12*$I12)/$P12</f>
        <v>2.5021294718908967E-3</v>
      </c>
    </row>
    <row r="13" spans="1:22" ht="15">
      <c r="A13" s="18">
        <v>1985</v>
      </c>
      <c r="B13" s="384">
        <f>'Table T5'!G17</f>
        <v>72.19</v>
      </c>
      <c r="C13" s="54">
        <f>(RawData!AM43/1000)/'Table T9'!B13</f>
        <v>0.427940157916609</v>
      </c>
      <c r="D13" s="54">
        <f>(RawData!AK43/1000)/'Table T9'!B13</f>
        <v>0.1352680426651891</v>
      </c>
      <c r="E13" s="54">
        <f>((RawData!AO43+RawData!AP43+RawData!AQ43+RawData!AR43+RawData!AS43+RawData!AT43)/1000)/'Table T9'!B13</f>
        <v>0.23814932816179527</v>
      </c>
      <c r="F13" s="54">
        <f>((RawData!AN43+RawData!AL43)/1000)/'Table T9'!B13</f>
        <v>0</v>
      </c>
      <c r="G13" s="54">
        <f>((RawData!AU43+RawData!AX43)/1000)/'Table T9'!B13</f>
        <v>0.1962183127857044</v>
      </c>
      <c r="H13" s="54">
        <f t="shared" ref="H13:H40" si="13">1-C13-D13-E13-F13-G13</f>
        <v>2.4241584707022368E-3</v>
      </c>
      <c r="I13" s="434">
        <f>'Table T5'!O17</f>
        <v>36.405000000000001</v>
      </c>
      <c r="J13" s="59">
        <f>(RawData!BB43/1000)/'Table T9'!$I13</f>
        <v>0.57777777777777772</v>
      </c>
      <c r="K13" s="59">
        <f>(RawData!AZ43/1000)/'Table T9'!$I13</f>
        <v>9.5179233621755246E-2</v>
      </c>
      <c r="L13" s="54">
        <f>((RawData!BD43+RawData!BE43+RawData!BF43+RawData!BG43+RawData!BH43+RawData!BI43)/1000)/'Table T9'!I13</f>
        <v>0.26573272902073891</v>
      </c>
      <c r="M13" s="54">
        <f>((RawData!BA43+RawData!BC43)/1000)/'Table T9'!I13</f>
        <v>0</v>
      </c>
      <c r="N13" s="54">
        <f>((RawData!BJ43+RawData!BM43)/1000)/'Table T9'!I13</f>
        <v>5.7739321521768985E-2</v>
      </c>
      <c r="O13" s="54">
        <f t="shared" ref="O13:O40" si="14">1-J13-K13-L13-M13-N13</f>
        <v>3.5709380579591471E-3</v>
      </c>
      <c r="P13" s="434">
        <f t="shared" si="5"/>
        <v>35.784999999999997</v>
      </c>
      <c r="Q13" s="59">
        <f t="shared" si="7"/>
        <v>0.27550649713567155</v>
      </c>
      <c r="R13" s="59">
        <f t="shared" si="8"/>
        <v>0.17605141819197992</v>
      </c>
      <c r="S13" s="54">
        <f t="shared" si="9"/>
        <v>0.21008802570909602</v>
      </c>
      <c r="T13" s="54">
        <f t="shared" si="10"/>
        <v>0</v>
      </c>
      <c r="U13" s="54">
        <f t="shared" si="11"/>
        <v>0.33709654883331003</v>
      </c>
      <c r="V13" s="437">
        <f t="shared" si="12"/>
        <v>1.257510129942482E-3</v>
      </c>
    </row>
    <row r="14" spans="1:22" ht="15">
      <c r="A14" s="18">
        <v>1986</v>
      </c>
      <c r="B14" s="384">
        <f>'Table T5'!G18</f>
        <v>93.027000000000001</v>
      </c>
      <c r="C14" s="54">
        <f>(RawData!AM44/1000)/'Table T9'!B14</f>
        <v>0.4090102873359347</v>
      </c>
      <c r="D14" s="54">
        <f>(RawData!AK44/1000)/'Table T9'!B14</f>
        <v>0.1568146882087996</v>
      </c>
      <c r="E14" s="54">
        <f>((RawData!AO44+RawData!AP44+RawData!AQ44+RawData!AR44+RawData!AS44+RawData!AT44)/1000)/'Table T9'!B14</f>
        <v>0.23123394283380092</v>
      </c>
      <c r="F14" s="54">
        <f>((RawData!AN44+RawData!AL44)/1000)/'Table T9'!B14</f>
        <v>0</v>
      </c>
      <c r="G14" s="54">
        <f>((RawData!AU44+RawData!AX44)/1000)/'Table T9'!B14</f>
        <v>0.20006019757704752</v>
      </c>
      <c r="H14" s="54">
        <f t="shared" si="13"/>
        <v>2.8808840444172479E-3</v>
      </c>
      <c r="I14" s="434">
        <f>'Table T5'!O18</f>
        <v>44.89</v>
      </c>
      <c r="J14" s="59">
        <f>(RawData!BB44/1000)/'Table T9'!$I14</f>
        <v>0.54551124972154152</v>
      </c>
      <c r="K14" s="59">
        <f>(RawData!AZ44/1000)/'Table T9'!$I14</f>
        <v>0.12909333927378036</v>
      </c>
      <c r="L14" s="54">
        <f>((RawData!BD44+RawData!BE44+RawData!BF44+RawData!BG44+RawData!BH44+RawData!BI44)/1000)/'Table T9'!I14</f>
        <v>0.25985742927155264</v>
      </c>
      <c r="M14" s="54">
        <f>((RawData!BA44+RawData!BC44)/1000)/'Table T9'!I14</f>
        <v>0</v>
      </c>
      <c r="N14" s="54">
        <f>((RawData!BJ44+RawData!BM44)/1000)/'Table T9'!I14</f>
        <v>6.1929160169302735E-2</v>
      </c>
      <c r="O14" s="54">
        <f t="shared" si="14"/>
        <v>3.6088215638227367E-3</v>
      </c>
      <c r="P14" s="434">
        <f t="shared" si="5"/>
        <v>48.137</v>
      </c>
      <c r="Q14" s="59">
        <f t="shared" si="7"/>
        <v>0.28171676672829632</v>
      </c>
      <c r="R14" s="59">
        <f t="shared" si="8"/>
        <v>0.18266614039096743</v>
      </c>
      <c r="S14" s="54">
        <f t="shared" si="9"/>
        <v>0.20454120530984482</v>
      </c>
      <c r="T14" s="54">
        <f t="shared" si="10"/>
        <v>0</v>
      </c>
      <c r="U14" s="54">
        <f t="shared" si="11"/>
        <v>0.32887383925047264</v>
      </c>
      <c r="V14" s="437">
        <f t="shared" si="12"/>
        <v>2.2020483204188194E-3</v>
      </c>
    </row>
    <row r="15" spans="1:22" ht="15">
      <c r="A15" s="18">
        <v>1987</v>
      </c>
      <c r="B15" s="384">
        <f>'Table T5'!G19</f>
        <v>89.382999999999996</v>
      </c>
      <c r="C15" s="54">
        <f>(RawData!AM45/1000)/'Table T9'!B15</f>
        <v>0.40922770549209586</v>
      </c>
      <c r="D15" s="54">
        <f>(RawData!AK45/1000)/'Table T9'!B15</f>
        <v>0.19816967432285784</v>
      </c>
      <c r="E15" s="54">
        <f>((RawData!AO45+RawData!AP45+RawData!AQ45+RawData!AR45+RawData!AS45+RawData!AT45)/1000)/'Table T9'!B15</f>
        <v>0.21564503317185593</v>
      </c>
      <c r="F15" s="54">
        <f>((RawData!AN45+RawData!AL45)/1000)/'Table T9'!B15</f>
        <v>0</v>
      </c>
      <c r="G15" s="54">
        <f>((RawData!AU45+RawData!AX45)/1000)/'Table T9'!B15</f>
        <v>0.16914849579897745</v>
      </c>
      <c r="H15" s="54">
        <f t="shared" si="13"/>
        <v>7.8090912142129432E-3</v>
      </c>
      <c r="I15" s="434">
        <f>'Table T5'!O19</f>
        <v>45.064999999999998</v>
      </c>
      <c r="J15" s="59">
        <f>(RawData!BB45/1000)/'Table T9'!$I15</f>
        <v>0.49674914013092203</v>
      </c>
      <c r="K15" s="59">
        <f>(RawData!AZ45/1000)/'Table T9'!$I15</f>
        <v>0.164628869410851</v>
      </c>
      <c r="L15" s="54">
        <f>((RawData!BD45+RawData!BE45+RawData!BF45+RawData!BG45+RawData!BH45+RawData!BI45)/1000)/'Table T9'!I15</f>
        <v>0.24972817042050371</v>
      </c>
      <c r="M15" s="54">
        <f>((RawData!BA45+RawData!BC45)/1000)/'Table T9'!I15</f>
        <v>0</v>
      </c>
      <c r="N15" s="54">
        <f>((RawData!BJ45+RawData!BM45)/1000)/'Table T9'!I15</f>
        <v>8.5210251858426719E-2</v>
      </c>
      <c r="O15" s="54">
        <f t="shared" si="14"/>
        <v>3.6835681792965064E-3</v>
      </c>
      <c r="P15" s="434">
        <f t="shared" si="5"/>
        <v>44.317999999999998</v>
      </c>
      <c r="Q15" s="59">
        <f t="shared" si="7"/>
        <v>0.32023105735818413</v>
      </c>
      <c r="R15" s="59">
        <f t="shared" si="8"/>
        <v>0.23227582472133221</v>
      </c>
      <c r="S15" s="54">
        <f t="shared" si="9"/>
        <v>0.18098740917911457</v>
      </c>
      <c r="T15" s="54">
        <f t="shared" si="10"/>
        <v>0</v>
      </c>
      <c r="U15" s="54">
        <f t="shared" si="11"/>
        <v>0.25450155692946436</v>
      </c>
      <c r="V15" s="437">
        <f t="shared" si="12"/>
        <v>1.2004151811904836E-2</v>
      </c>
    </row>
    <row r="16" spans="1:22" ht="15">
      <c r="A16" s="18">
        <v>1988</v>
      </c>
      <c r="B16" s="384">
        <f>'Table T5'!G20</f>
        <v>93.135999999999996</v>
      </c>
      <c r="C16" s="54">
        <f>(RawData!AM46/1000)/'Table T9'!B16</f>
        <v>0.36152508160109947</v>
      </c>
      <c r="D16" s="54">
        <f>(RawData!AK46/1000)/'Table T9'!B16</f>
        <v>0.23487158563820651</v>
      </c>
      <c r="E16" s="54">
        <f>((RawData!AO46+RawData!AP46+RawData!AQ46+RawData!AR46+RawData!AS46+RawData!AT46)/1000)/'Table T9'!B16</f>
        <v>0.22797844013056179</v>
      </c>
      <c r="F16" s="54">
        <f>((RawData!AN46+RawData!AL46)/1000)/'Table T9'!B16</f>
        <v>0</v>
      </c>
      <c r="G16" s="54">
        <f>((RawData!AU46+RawData!AX46)/1000)/'Table T9'!B16</f>
        <v>0.17123346504037107</v>
      </c>
      <c r="H16" s="54">
        <f t="shared" si="13"/>
        <v>4.3914275897610766E-3</v>
      </c>
      <c r="I16" s="434">
        <f>'Table T5'!O20</f>
        <v>47.037999999999997</v>
      </c>
      <c r="J16" s="59">
        <f>(RawData!BB46/1000)/'Table T9'!$I16</f>
        <v>0.46519835026999451</v>
      </c>
      <c r="K16" s="59">
        <f>(RawData!AZ46/1000)/'Table T9'!$I16</f>
        <v>0.20693907053871338</v>
      </c>
      <c r="L16" s="54">
        <f>((RawData!BD46+RawData!BE46+RawData!BF46+RawData!BG46+RawData!BH46+RawData!BI46)/1000)/'Table T9'!I16</f>
        <v>0.24667290275947107</v>
      </c>
      <c r="M16" s="54">
        <f>((RawData!BA46+RawData!BC46)/1000)/'Table T9'!I16</f>
        <v>0</v>
      </c>
      <c r="N16" s="54">
        <f>((RawData!BJ46+RawData!BM46)/1000)/'Table T9'!I16</f>
        <v>7.7341723712742894E-2</v>
      </c>
      <c r="O16" s="54">
        <f t="shared" si="14"/>
        <v>3.8479527190780627E-3</v>
      </c>
      <c r="P16" s="434">
        <f t="shared" si="5"/>
        <v>46.097999999999999</v>
      </c>
      <c r="Q16" s="59">
        <f t="shared" si="7"/>
        <v>0.25573777604234454</v>
      </c>
      <c r="R16" s="59">
        <f t="shared" si="8"/>
        <v>0.26337368215540807</v>
      </c>
      <c r="S16" s="54">
        <f t="shared" si="9"/>
        <v>0.20890277235454902</v>
      </c>
      <c r="T16" s="54">
        <f t="shared" si="10"/>
        <v>0</v>
      </c>
      <c r="U16" s="54">
        <f t="shared" si="11"/>
        <v>0.26703978480628227</v>
      </c>
      <c r="V16" s="437">
        <f t="shared" si="12"/>
        <v>4.9459846414159772E-3</v>
      </c>
    </row>
    <row r="17" spans="1:22" ht="15">
      <c r="A17" s="311">
        <v>1989</v>
      </c>
      <c r="B17" s="385">
        <f>'Table T5'!G21</f>
        <v>117.241</v>
      </c>
      <c r="C17" s="396">
        <f>(RawData!AM47/1000)/'Table T9'!B17</f>
        <v>0.29765184534420552</v>
      </c>
      <c r="D17" s="396">
        <f>(RawData!AK47/1000)/'Table T9'!B17</f>
        <v>0.24289284465332095</v>
      </c>
      <c r="E17" s="396">
        <f>((RawData!AO47+RawData!AP47+RawData!AQ47+RawData!AR47+RawData!AS47+RawData!AT47)/1000)/'Table T9'!B17</f>
        <v>0.23891812591158382</v>
      </c>
      <c r="F17" s="396">
        <f>((RawData!AN47+RawData!AL47)/1000)/'Table T9'!B17</f>
        <v>1.4448870275756774E-2</v>
      </c>
      <c r="G17" s="396">
        <f>((RawData!AU47+RawData!AX47)/1000)/'Table T9'!B17</f>
        <v>0.20298359788811079</v>
      </c>
      <c r="H17" s="396">
        <f t="shared" si="13"/>
        <v>3.1047159270221336E-3</v>
      </c>
      <c r="I17" s="443">
        <f>'Table T5'!O21</f>
        <v>59.482999999999997</v>
      </c>
      <c r="J17" s="398">
        <f>(RawData!BB47/1000)/'Table T9'!$I17</f>
        <v>0.39162449775566133</v>
      </c>
      <c r="K17" s="398">
        <f>(RawData!AZ47/1000)/'Table T9'!$I17</f>
        <v>0.24020308323386516</v>
      </c>
      <c r="L17" s="396">
        <f>((RawData!BD47+RawData!BE47+RawData!BF47+RawData!BG47+RawData!BH47+RawData!BI47)/1000)/'Table T9'!I17</f>
        <v>0.26046097204243229</v>
      </c>
      <c r="M17" s="396">
        <f>((RawData!BA47+RawData!BC47)/1000)/'Table T9'!I17</f>
        <v>1.593732663113831E-2</v>
      </c>
      <c r="N17" s="396">
        <f>((RawData!BJ47+RawData!BM47)/1000)/'Table T9'!I17</f>
        <v>8.8647176504211292E-2</v>
      </c>
      <c r="O17" s="396">
        <f t="shared" si="14"/>
        <v>3.1269438326915894E-3</v>
      </c>
      <c r="P17" s="443">
        <f t="shared" si="5"/>
        <v>57.758000000000003</v>
      </c>
      <c r="Q17" s="398">
        <f t="shared" si="7"/>
        <v>0.20087260639218804</v>
      </c>
      <c r="R17" s="398">
        <f t="shared" si="8"/>
        <v>0.24566293846739845</v>
      </c>
      <c r="S17" s="396">
        <f t="shared" si="9"/>
        <v>0.21673188129782889</v>
      </c>
      <c r="T17" s="396">
        <f t="shared" si="10"/>
        <v>1.2915959693895215E-2</v>
      </c>
      <c r="U17" s="396">
        <f t="shared" si="11"/>
        <v>0.32073478998580279</v>
      </c>
      <c r="V17" s="444">
        <f t="shared" si="12"/>
        <v>3.0818241628866681E-3</v>
      </c>
    </row>
    <row r="18" spans="1:22" ht="15">
      <c r="A18" s="18">
        <v>1990</v>
      </c>
      <c r="B18" s="384">
        <f>'Table T5'!G22</f>
        <v>133.08099999999999</v>
      </c>
      <c r="C18" s="54">
        <f>(RawData!AM48/1000)/'Table T9'!B18</f>
        <v>0.25540836032190922</v>
      </c>
      <c r="D18" s="54">
        <f>(RawData!AK48/1000)/'Table T9'!B18</f>
        <v>0.21205130709868428</v>
      </c>
      <c r="E18" s="54">
        <f>((RawData!AO48+RawData!AP48+RawData!AQ48+RawData!AR48+RawData!AS48+RawData!AT48)/1000)/'Table T9'!B18</f>
        <v>0.3425507773461276</v>
      </c>
      <c r="F18" s="54">
        <f>((RawData!AN48+RawData!AL48)/1000)/'Table T9'!B18</f>
        <v>1.7079823566098846E-2</v>
      </c>
      <c r="G18" s="54">
        <f>((RawData!AU48+RawData!AX48)/1000)/'Table T9'!B18</f>
        <v>0.16967861678226043</v>
      </c>
      <c r="H18" s="54">
        <f t="shared" si="13"/>
        <v>3.2311148849195892E-3</v>
      </c>
      <c r="I18" s="434">
        <f>'Table T5'!O22</f>
        <v>54.436999999999998</v>
      </c>
      <c r="J18" s="59">
        <f>(RawData!BB48/1000)/'Table T9'!$I18</f>
        <v>0.38512408839576023</v>
      </c>
      <c r="K18" s="59">
        <f>(RawData!AZ48/1000)/'Table T9'!$I18</f>
        <v>0.22253246872531551</v>
      </c>
      <c r="L18" s="54">
        <f>((RawData!BD48+RawData!BE48+RawData!BF48+RawData!BG48+RawData!BH48+RawData!BI48)/1000)/'Table T9'!I18</f>
        <v>0.28168341385454748</v>
      </c>
      <c r="M18" s="54">
        <f>((RawData!BA48+RawData!BC48)/1000)/'Table T9'!I18</f>
        <v>1.8314749159578963E-2</v>
      </c>
      <c r="N18" s="54">
        <f>((RawData!BJ48+RawData!BM48)/1000)/'Table T9'!I18</f>
        <v>8.887337656373423E-2</v>
      </c>
      <c r="O18" s="54">
        <f t="shared" si="14"/>
        <v>3.4719033010635197E-3</v>
      </c>
      <c r="P18" s="434">
        <f t="shared" si="5"/>
        <v>78.643999999999991</v>
      </c>
      <c r="Q18" s="59">
        <f t="shared" si="7"/>
        <v>0.16561975484461619</v>
      </c>
      <c r="R18" s="59">
        <f t="shared" si="8"/>
        <v>0.20479629723818726</v>
      </c>
      <c r="S18" s="54">
        <f t="shared" si="9"/>
        <v>0.38468287472661616</v>
      </c>
      <c r="T18" s="54">
        <f t="shared" si="10"/>
        <v>1.6225013987081028E-2</v>
      </c>
      <c r="U18" s="54">
        <f t="shared" si="11"/>
        <v>0.22561161690656631</v>
      </c>
      <c r="V18" s="437">
        <f t="shared" si="12"/>
        <v>3.0644422969328755E-3</v>
      </c>
    </row>
    <row r="19" spans="1:22" ht="15">
      <c r="A19" s="18">
        <v>1991</v>
      </c>
      <c r="B19" s="384">
        <f>'Table T5'!G23</f>
        <v>177.363</v>
      </c>
      <c r="C19" s="54">
        <f>(RawData!AM49/1000)/'Table T9'!B19</f>
        <v>0.25647401092674343</v>
      </c>
      <c r="D19" s="54">
        <f>(RawData!AK49/1000)/'Table T9'!B19</f>
        <v>0.18303141015882682</v>
      </c>
      <c r="E19" s="54">
        <f>((RawData!AO49+RawData!AP49+RawData!AQ49+RawData!AR49+RawData!AS49+RawData!AT49)/1000)/'Table T9'!B19</f>
        <v>0.34839848220880343</v>
      </c>
      <c r="F19" s="54">
        <f>((RawData!AN49+RawData!AL49)/1000)/'Table T9'!B19</f>
        <v>2.0387566741654123E-2</v>
      </c>
      <c r="G19" s="54">
        <f>((RawData!AU49+RawData!AX49)/1000)/'Table T9'!B19</f>
        <v>0.18876541330491703</v>
      </c>
      <c r="H19" s="54">
        <f t="shared" si="13"/>
        <v>2.9431166590551949E-3</v>
      </c>
      <c r="I19" s="434">
        <f>'Table T5'!O23</f>
        <v>77.983999999999995</v>
      </c>
      <c r="J19" s="59">
        <f>(RawData!BB49/1000)/'Table T9'!$I19</f>
        <v>0.36401056627000411</v>
      </c>
      <c r="K19" s="59">
        <f>(RawData!AZ49/1000)/'Table T9'!$I19</f>
        <v>0.18673061140746822</v>
      </c>
      <c r="L19" s="54">
        <f>((RawData!BD49+RawData!BE49+RawData!BF49+RawData!BG49+RawData!BH49+RawData!BI49)/1000)/'Table T9'!I19</f>
        <v>0.29976661879359867</v>
      </c>
      <c r="M19" s="54">
        <f>((RawData!BA49+RawData!BC49)/1000)/'Table T9'!I19</f>
        <v>2.0542675420599101E-2</v>
      </c>
      <c r="N19" s="54">
        <f>((RawData!BJ49+RawData!BM49)/1000)/'Table T9'!I19</f>
        <v>0.12626949117767747</v>
      </c>
      <c r="O19" s="54">
        <f t="shared" si="14"/>
        <v>2.6800369306523852E-3</v>
      </c>
      <c r="P19" s="434">
        <f t="shared" si="5"/>
        <v>99.379000000000005</v>
      </c>
      <c r="Q19" s="59">
        <f t="shared" si="7"/>
        <v>0.1720886706447036</v>
      </c>
      <c r="R19" s="59">
        <f t="shared" si="8"/>
        <v>0.18012859859728916</v>
      </c>
      <c r="S19" s="54">
        <f t="shared" si="9"/>
        <v>0.38656054095935755</v>
      </c>
      <c r="T19" s="54">
        <f t="shared" si="10"/>
        <v>2.0265850934302016E-2</v>
      </c>
      <c r="U19" s="54">
        <f t="shared" si="11"/>
        <v>0.23780678010444856</v>
      </c>
      <c r="V19" s="437">
        <f t="shared" si="12"/>
        <v>3.1495587598990827E-3</v>
      </c>
    </row>
    <row r="20" spans="1:22" ht="15">
      <c r="A20" s="18">
        <v>1992</v>
      </c>
      <c r="B20" s="384">
        <f>'Table T5'!G24</f>
        <v>190.90100000000001</v>
      </c>
      <c r="C20" s="54">
        <f>(RawData!AM50/1000)/'Table T9'!B20</f>
        <v>0.2600510212099465</v>
      </c>
      <c r="D20" s="54">
        <f>(RawData!AK50/1000)/'Table T9'!B20</f>
        <v>0.1781551694333712</v>
      </c>
      <c r="E20" s="54">
        <f>((RawData!AO50+RawData!AP50+RawData!AQ50+RawData!AR50+RawData!AS50+RawData!AT50)/1000)/'Table T9'!B20</f>
        <v>0.36007145064719409</v>
      </c>
      <c r="F20" s="54">
        <f>((RawData!AN50+RawData!AL50)/1000)/'Table T9'!B20</f>
        <v>1.6956432915490229E-2</v>
      </c>
      <c r="G20" s="54">
        <f>((RawData!AU50+RawData!AX50)/1000)/'Table T9'!B20</f>
        <v>0.17900901514397516</v>
      </c>
      <c r="H20" s="54">
        <f t="shared" si="13"/>
        <v>5.7569106500228451E-3</v>
      </c>
      <c r="I20" s="434">
        <f>'Table T5'!O24</f>
        <v>85.626999999999995</v>
      </c>
      <c r="J20" s="59">
        <f>(RawData!BB50/1000)/'Table T9'!$I20</f>
        <v>0.36820161864832357</v>
      </c>
      <c r="K20" s="59">
        <f>(RawData!AZ50/1000)/'Table T9'!$I20</f>
        <v>0.16581218540880799</v>
      </c>
      <c r="L20" s="54">
        <f>((RawData!BD50+RawData!BE50+RawData!BF50+RawData!BG50+RawData!BH50+RawData!BI50)/1000)/'Table T9'!I20</f>
        <v>0.32515444894717788</v>
      </c>
      <c r="M20" s="54">
        <f>((RawData!BA50+RawData!BC50)/1000)/'Table T9'!I20</f>
        <v>2.1920655867892137E-2</v>
      </c>
      <c r="N20" s="54">
        <f>((RawData!BJ50+RawData!BM50)/1000)/'Table T9'!I20</f>
        <v>0.11648195078655098</v>
      </c>
      <c r="O20" s="54">
        <f t="shared" si="14"/>
        <v>2.4291403412474571E-3</v>
      </c>
      <c r="P20" s="434">
        <f t="shared" si="5"/>
        <v>105.27400000000002</v>
      </c>
      <c r="Q20" s="59">
        <f t="shared" si="7"/>
        <v>0.17208427531964202</v>
      </c>
      <c r="R20" s="59">
        <f t="shared" si="8"/>
        <v>0.18819461595455664</v>
      </c>
      <c r="S20" s="54">
        <f t="shared" si="9"/>
        <v>0.38847198738529926</v>
      </c>
      <c r="T20" s="54">
        <f t="shared" si="10"/>
        <v>1.2918669377054166E-2</v>
      </c>
      <c r="U20" s="54">
        <f t="shared" si="11"/>
        <v>0.22986682371715711</v>
      </c>
      <c r="V20" s="437">
        <f t="shared" si="12"/>
        <v>8.4636282462907768E-3</v>
      </c>
    </row>
    <row r="21" spans="1:22" ht="15">
      <c r="A21" s="18">
        <v>1993</v>
      </c>
      <c r="B21" s="384">
        <f>'Table T5'!G25</f>
        <v>243.02199999999999</v>
      </c>
      <c r="C21" s="54">
        <f>(RawData!AM51/1000)/'Table T9'!B21</f>
        <v>0.23130827661693182</v>
      </c>
      <c r="D21" s="54">
        <f>(RawData!AK51/1000)/'Table T9'!B21</f>
        <v>0.15287916320333139</v>
      </c>
      <c r="E21" s="54">
        <f>((RawData!AO51+RawData!AP51+RawData!AQ51+RawData!AR51+RawData!AS51+RawData!AT51)/1000)/'Table T9'!B21</f>
        <v>0.35480326883985813</v>
      </c>
      <c r="F21" s="54">
        <f>((RawData!AN51+RawData!AL51)/1000)/'Table T9'!B21</f>
        <v>2.105982174453342E-2</v>
      </c>
      <c r="G21" s="54">
        <f>((RawData!AU51+RawData!AX51)/1000)/'Table T9'!B21</f>
        <v>0.22280287381389341</v>
      </c>
      <c r="H21" s="54">
        <f t="shared" si="13"/>
        <v>1.7146595781451779E-2</v>
      </c>
      <c r="I21" s="434">
        <f>'Table T5'!O25</f>
        <v>108.696</v>
      </c>
      <c r="J21" s="59">
        <f>(RawData!BB51/1000)/'Table T9'!$I21</f>
        <v>0.35529366306027821</v>
      </c>
      <c r="K21" s="59">
        <f>(RawData!AZ51/1000)/'Table T9'!$I21</f>
        <v>0.1392967542503864</v>
      </c>
      <c r="L21" s="54">
        <f>((RawData!BD51+RawData!BE51+RawData!BF51+RawData!BG51+RawData!BH51+RawData!BI51)/1000)/'Table T9'!I21</f>
        <v>0.33819091778906307</v>
      </c>
      <c r="M21" s="54">
        <f>((RawData!BA51+RawData!BC51)/1000)/'Table T9'!I21</f>
        <v>2.3174725840877312E-2</v>
      </c>
      <c r="N21" s="54">
        <f>((RawData!BJ51+RawData!BM51)/1000)/'Table T9'!I21</f>
        <v>0.14155994700816957</v>
      </c>
      <c r="O21" s="54">
        <f t="shared" si="14"/>
        <v>2.4839920512254865E-3</v>
      </c>
      <c r="P21" s="434">
        <f t="shared" si="5"/>
        <v>134.32599999999999</v>
      </c>
      <c r="Q21" s="59">
        <f t="shared" si="7"/>
        <v>0.13097985497967632</v>
      </c>
      <c r="R21" s="59">
        <f t="shared" si="8"/>
        <v>0.1638699879397883</v>
      </c>
      <c r="S21" s="54">
        <f t="shared" si="9"/>
        <v>0.36824590920596162</v>
      </c>
      <c r="T21" s="54">
        <f t="shared" si="10"/>
        <v>1.9348450783913763E-2</v>
      </c>
      <c r="U21" s="54">
        <f t="shared" si="11"/>
        <v>0.28854428777749658</v>
      </c>
      <c r="V21" s="437">
        <f t="shared" si="12"/>
        <v>2.9011509313163267E-2</v>
      </c>
    </row>
    <row r="22" spans="1:22" ht="15">
      <c r="A22" s="18">
        <v>1994</v>
      </c>
      <c r="B22" s="384">
        <f>'Table T5'!G26</f>
        <v>253.227</v>
      </c>
      <c r="C22" s="54">
        <f>(RawData!AM52/1000)/'Table T9'!B22</f>
        <v>0.2289882200555233</v>
      </c>
      <c r="D22" s="54">
        <f>(RawData!AK52/1000)/'Table T9'!B22</f>
        <v>0.14280862625233484</v>
      </c>
      <c r="E22" s="54">
        <f>((RawData!AO52+RawData!AP52+RawData!AQ52+RawData!AR52+RawData!AS52+RawData!AT52)/1000)/'Table T9'!B22</f>
        <v>0.36337357390799563</v>
      </c>
      <c r="F22" s="54">
        <f>((RawData!AN52+RawData!AL52)/1000)/'Table T9'!B22</f>
        <v>2.2781930836759112E-2</v>
      </c>
      <c r="G22" s="54">
        <f>((RawData!AU52+RawData!AX52)/1000)/'Table T9'!B22</f>
        <v>0.21904062363018162</v>
      </c>
      <c r="H22" s="54">
        <f t="shared" si="13"/>
        <v>2.3007025317205498E-2</v>
      </c>
      <c r="I22" s="434">
        <f>'Table T5'!O26</f>
        <v>108.45399999999999</v>
      </c>
      <c r="J22" s="59">
        <f>(RawData!BB52/1000)/'Table T9'!$I22</f>
        <v>0.36845114057572798</v>
      </c>
      <c r="K22" s="59">
        <f>(RawData!AZ52/1000)/'Table T9'!$I22</f>
        <v>0.13899902262710459</v>
      </c>
      <c r="L22" s="54">
        <f>((RawData!BD52+RawData!BE52+RawData!BF52+RawData!BG52+RawData!BH52+RawData!BI52)/1000)/'Table T9'!I22</f>
        <v>0.33543253360871889</v>
      </c>
      <c r="M22" s="54">
        <f>((RawData!BA52+RawData!BC52)/1000)/'Table T9'!I22</f>
        <v>2.5817397237538495E-2</v>
      </c>
      <c r="N22" s="54">
        <f>((RawData!BJ52+RawData!BM52)/1000)/'Table T9'!I22</f>
        <v>0.12934516016006786</v>
      </c>
      <c r="O22" s="54">
        <f t="shared" si="14"/>
        <v>1.954745790842094E-3</v>
      </c>
      <c r="P22" s="434">
        <f t="shared" si="5"/>
        <v>144.77300000000002</v>
      </c>
      <c r="Q22" s="59">
        <f t="shared" si="7"/>
        <v>0.12451216732401756</v>
      </c>
      <c r="R22" s="59">
        <f t="shared" si="8"/>
        <v>0.1456625199450173</v>
      </c>
      <c r="S22" s="54">
        <f t="shared" si="9"/>
        <v>0.38430508451161471</v>
      </c>
      <c r="T22" s="54">
        <f t="shared" si="10"/>
        <v>2.0507967645900824E-2</v>
      </c>
      <c r="U22" s="54">
        <f t="shared" si="11"/>
        <v>0.28623431164650864</v>
      </c>
      <c r="V22" s="437">
        <f t="shared" si="12"/>
        <v>3.877794892694085E-2</v>
      </c>
    </row>
    <row r="23" spans="1:22" ht="15">
      <c r="A23" s="18">
        <v>1995</v>
      </c>
      <c r="B23" s="384">
        <f>'Table T5'!G27</f>
        <v>380.46600000000001</v>
      </c>
      <c r="C23" s="54">
        <f>(RawData!AM53/1000)/'Table T9'!B23</f>
        <v>0.18643978699804975</v>
      </c>
      <c r="D23" s="54">
        <f>(RawData!AK53/1000)/'Table T9'!B23</f>
        <v>0.13072653009730173</v>
      </c>
      <c r="E23" s="54">
        <f>((RawData!AO53+RawData!AP53+RawData!AQ53+RawData!AR53+RawData!AS53+RawData!AT53)/1000)/'Table T9'!B23</f>
        <v>0.41395814606298592</v>
      </c>
      <c r="F23" s="54">
        <f>((RawData!AN53+RawData!AL53)/1000)/'Table T9'!B23</f>
        <v>2.5258498788327997E-2</v>
      </c>
      <c r="G23" s="54">
        <f>((RawData!AU53+RawData!AX53)/1000)/'Table T9'!B23</f>
        <v>0.22670619713719492</v>
      </c>
      <c r="H23" s="54">
        <f t="shared" si="13"/>
        <v>1.6910840916139674E-2</v>
      </c>
      <c r="I23" s="434">
        <f>'Table T5'!O27</f>
        <v>156.97900000000001</v>
      </c>
      <c r="J23" s="59">
        <f>(RawData!BB53/1000)/'Table T9'!$I23</f>
        <v>0.31544346696054887</v>
      </c>
      <c r="K23" s="59">
        <f>(RawData!AZ53/1000)/'Table T9'!$I23</f>
        <v>0.12911918154657628</v>
      </c>
      <c r="L23" s="54">
        <f>((RawData!BD53+RawData!BE53+RawData!BF53+RawData!BG53+RawData!BH53+RawData!BI53)/1000)/'Table T9'!I23</f>
        <v>0.35414928111403432</v>
      </c>
      <c r="M23" s="54">
        <f>((RawData!BA53+RawData!BC53)/1000)/'Table T9'!I23</f>
        <v>3.3934475311984402E-2</v>
      </c>
      <c r="N23" s="54">
        <f>((RawData!BJ53+RawData!BM53)/1000)/'Table T9'!I23</f>
        <v>0.16565273062001923</v>
      </c>
      <c r="O23" s="54">
        <f t="shared" si="14"/>
        <v>1.7008644468369249E-3</v>
      </c>
      <c r="P23" s="434">
        <f t="shared" si="5"/>
        <v>223.48699999999999</v>
      </c>
      <c r="Q23" s="59">
        <f t="shared" si="7"/>
        <v>9.5826602889653487E-2</v>
      </c>
      <c r="R23" s="59">
        <f t="shared" si="8"/>
        <v>0.13185554417035444</v>
      </c>
      <c r="S23" s="54">
        <f t="shared" si="9"/>
        <v>0.45596835610124986</v>
      </c>
      <c r="T23" s="54">
        <f t="shared" si="10"/>
        <v>1.916442567129184E-2</v>
      </c>
      <c r="U23" s="54">
        <f t="shared" si="11"/>
        <v>0.26959062495805125</v>
      </c>
      <c r="V23" s="437">
        <f t="shared" si="12"/>
        <v>2.7594446209399132E-2</v>
      </c>
    </row>
    <row r="24" spans="1:22" ht="15">
      <c r="A24" s="18">
        <v>1996</v>
      </c>
      <c r="B24" s="384">
        <f>'Table T5'!G28</f>
        <v>481.20400000000001</v>
      </c>
      <c r="C24" s="54">
        <f>(RawData!AM54/1000)/'Table T9'!B24</f>
        <v>0.17611033989742397</v>
      </c>
      <c r="D24" s="54">
        <f>(RawData!AK54/1000)/'Table T9'!B24</f>
        <v>0.12712487842993825</v>
      </c>
      <c r="E24" s="54">
        <f>((RawData!AO54+RawData!AP54+RawData!AQ54+RawData!AR54+RawData!AS54+RawData!AT54)/1000)/'Table T9'!B24</f>
        <v>0.42260455025311511</v>
      </c>
      <c r="F24" s="54">
        <f>((RawData!AN54+RawData!AL54)/1000)/'Table T9'!B24</f>
        <v>3.0934904946758546E-2</v>
      </c>
      <c r="G24" s="54">
        <f>((RawData!AU54+RawData!AX54)/1000)/'Table T9'!B24</f>
        <v>0.22949518291618523</v>
      </c>
      <c r="H24" s="54">
        <f t="shared" si="13"/>
        <v>1.3730143556578894E-2</v>
      </c>
      <c r="I24" s="434">
        <f>'Table T5'!O28</f>
        <v>208.28800000000001</v>
      </c>
      <c r="J24" s="59">
        <f>(RawData!BB54/1000)/'Table T9'!$I24</f>
        <v>0.29517302965125208</v>
      </c>
      <c r="K24" s="59">
        <f>(RawData!AZ54/1000)/'Table T9'!$I24</f>
        <v>0.12803426025503148</v>
      </c>
      <c r="L24" s="54">
        <f>((RawData!BD54+RawData!BE54+RawData!BF54+RawData!BG54+RawData!BH54+RawData!BI54)/1000)/'Table T9'!I24</f>
        <v>0.37402058687970496</v>
      </c>
      <c r="M24" s="54">
        <f>((RawData!BA54+RawData!BC54)/1000)/'Table T9'!I24</f>
        <v>3.4385082193885384E-2</v>
      </c>
      <c r="N24" s="54">
        <f>((RawData!BJ54+RawData!BM54)/1000)/'Table T9'!I24</f>
        <v>0.16632739284068213</v>
      </c>
      <c r="O24" s="54">
        <f t="shared" si="14"/>
        <v>2.0596481794439847E-3</v>
      </c>
      <c r="P24" s="434">
        <f t="shared" si="5"/>
        <v>272.916</v>
      </c>
      <c r="Q24" s="59">
        <f t="shared" si="7"/>
        <v>8.5242345630157298E-2</v>
      </c>
      <c r="R24" s="59">
        <f t="shared" si="8"/>
        <v>0.12643084318984599</v>
      </c>
      <c r="S24" s="54">
        <f t="shared" si="9"/>
        <v>0.45968356563924434</v>
      </c>
      <c r="T24" s="54">
        <f t="shared" si="10"/>
        <v>2.8301748523355173E-2</v>
      </c>
      <c r="U24" s="54">
        <f t="shared" si="11"/>
        <v>0.27770449515601869</v>
      </c>
      <c r="V24" s="437">
        <f t="shared" si="12"/>
        <v>2.2637001861378452E-2</v>
      </c>
    </row>
    <row r="25" spans="1:22" ht="15">
      <c r="A25" s="18">
        <v>1997</v>
      </c>
      <c r="B25" s="384">
        <f>'Table T5'!G29</f>
        <v>624.02200000000005</v>
      </c>
      <c r="C25" s="54">
        <f>(RawData!AM55/1000)/'Table T9'!B25</f>
        <v>0.19035546823669677</v>
      </c>
      <c r="D25" s="54">
        <f>(RawData!AK55/1000)/'Table T9'!B25</f>
        <v>0.13941495652396871</v>
      </c>
      <c r="E25" s="54">
        <f>((RawData!AO55+RawData!AP55+RawData!AQ55+RawData!AR55+RawData!AS55+RawData!AT55)/1000)/'Table T9'!B25</f>
        <v>0.40579819301242581</v>
      </c>
      <c r="F25" s="54">
        <f>((RawData!AN55+RawData!AL55)/1000)/'Table T9'!B25</f>
        <v>3.8883244500995152E-2</v>
      </c>
      <c r="G25" s="54">
        <f>((RawData!AU55+RawData!AX55)/1000)/'Table T9'!B25</f>
        <v>0.21844101650262332</v>
      </c>
      <c r="H25" s="54">
        <f t="shared" si="13"/>
        <v>7.1071212232901859E-3</v>
      </c>
      <c r="I25" s="434">
        <f>'Table T5'!O29</f>
        <v>297.69900000000001</v>
      </c>
      <c r="J25" s="59">
        <f>(RawData!BB55/1000)/'Table T9'!$I25</f>
        <v>0.29436444193631822</v>
      </c>
      <c r="K25" s="59">
        <f>(RawData!AZ55/1000)/'Table T9'!$I25</f>
        <v>0.14325879495732266</v>
      </c>
      <c r="L25" s="54">
        <f>((RawData!BD55+RawData!BE55+RawData!BF55+RawData!BG55+RawData!BH55+RawData!BI55)/1000)/'Table T9'!I25</f>
        <v>0.37549336746176509</v>
      </c>
      <c r="M25" s="54">
        <f>((RawData!BA55+RawData!BC55)/1000)/'Table T9'!I25</f>
        <v>3.9419010477025451E-2</v>
      </c>
      <c r="N25" s="54">
        <f>((RawData!BJ55+RawData!BM55)/1000)/'Table T9'!I25</f>
        <v>0.14579827275200791</v>
      </c>
      <c r="O25" s="54">
        <f t="shared" si="14"/>
        <v>1.6661124155606388E-3</v>
      </c>
      <c r="P25" s="434">
        <f t="shared" si="5"/>
        <v>326.32300000000004</v>
      </c>
      <c r="Q25" s="59">
        <f t="shared" si="7"/>
        <v>9.5469825908685538E-2</v>
      </c>
      <c r="R25" s="59">
        <f t="shared" si="8"/>
        <v>0.13590828718784762</v>
      </c>
      <c r="S25" s="54">
        <f t="shared" si="9"/>
        <v>0.43344477710734447</v>
      </c>
      <c r="T25" s="54">
        <f t="shared" si="10"/>
        <v>3.8394474186618774E-2</v>
      </c>
      <c r="U25" s="54">
        <f t="shared" si="11"/>
        <v>0.28471177330436409</v>
      </c>
      <c r="V25" s="437">
        <f t="shared" si="12"/>
        <v>1.2070862305139393E-2</v>
      </c>
    </row>
    <row r="26" spans="1:22" ht="15">
      <c r="A26" s="18">
        <v>1998</v>
      </c>
      <c r="B26" s="384">
        <f>'Table T5'!G30</f>
        <v>767.65499999999997</v>
      </c>
      <c r="C26" s="54">
        <f>(RawData!AM56/1000)/'Table T9'!B26</f>
        <v>0.20789807921527248</v>
      </c>
      <c r="D26" s="54">
        <f>(RawData!AK56/1000)/'Table T9'!B26</f>
        <v>0.16380405260175471</v>
      </c>
      <c r="E26" s="54">
        <f>((RawData!AO56+RawData!AP56+RawData!AQ56+RawData!AR56+RawData!AS56+RawData!AT56)/1000)/'Table T9'!B26</f>
        <v>0.37586024972155463</v>
      </c>
      <c r="F26" s="54">
        <f>((RawData!AN56+RawData!AL56)/1000)/'Table T9'!B26</f>
        <v>4.3404914968312593E-2</v>
      </c>
      <c r="G26" s="54">
        <f>((RawData!AU56+RawData!AX56)/1000)/'Table T9'!B26</f>
        <v>0.20410991916941856</v>
      </c>
      <c r="H26" s="54">
        <f t="shared" si="13"/>
        <v>4.9227843236870628E-3</v>
      </c>
      <c r="I26" s="434">
        <f>'Table T5'!O30</f>
        <v>384.25700000000001</v>
      </c>
      <c r="J26" s="59">
        <f>(RawData!BB56/1000)/'Table T9'!$I26</f>
        <v>0.30180582266555978</v>
      </c>
      <c r="K26" s="59">
        <f>(RawData!AZ56/1000)/'Table T9'!$I26</f>
        <v>0.16678941437631586</v>
      </c>
      <c r="L26" s="54">
        <f>((RawData!BD56+RawData!BE56+RawData!BF56+RawData!BG56+RawData!BH56+RawData!BI56)/1000)/'Table T9'!I26</f>
        <v>0.37001277790645326</v>
      </c>
      <c r="M26" s="54">
        <f>((RawData!BA56+RawData!BC56)/1000)/'Table T9'!I26</f>
        <v>4.4772118660167545E-2</v>
      </c>
      <c r="N26" s="54">
        <f>((RawData!BJ56+RawData!BM56)/1000)/'Table T9'!I26</f>
        <v>0.11498554352946075</v>
      </c>
      <c r="O26" s="54">
        <f t="shared" si="14"/>
        <v>1.634322862042778E-3</v>
      </c>
      <c r="P26" s="434">
        <f t="shared" si="5"/>
        <v>383.39799999999997</v>
      </c>
      <c r="Q26" s="59">
        <f t="shared" si="7"/>
        <v>0.11377993625423188</v>
      </c>
      <c r="R26" s="59">
        <f t="shared" si="8"/>
        <v>0.16081200214920266</v>
      </c>
      <c r="S26" s="54">
        <f t="shared" si="9"/>
        <v>0.38172082274816249</v>
      </c>
      <c r="T26" s="54">
        <f t="shared" si="10"/>
        <v>4.2034648068065041E-2</v>
      </c>
      <c r="U26" s="54">
        <f t="shared" si="11"/>
        <v>0.29343397722471171</v>
      </c>
      <c r="V26" s="437">
        <f t="shared" si="12"/>
        <v>8.2186135556263223E-3</v>
      </c>
    </row>
    <row r="27" spans="1:22" ht="15">
      <c r="A27" s="311">
        <v>1999</v>
      </c>
      <c r="B27" s="385">
        <f>'Table T5'!G31</f>
        <v>885.97400000000005</v>
      </c>
      <c r="C27" s="396">
        <f>(RawData!AM57/1000)/'Table T9'!B27</f>
        <v>0.21201299360929327</v>
      </c>
      <c r="D27" s="396">
        <f>(RawData!AK57/1000)/'Table T9'!B27</f>
        <v>0.17765532622853492</v>
      </c>
      <c r="E27" s="396">
        <f>((RawData!AO57+RawData!AP57+RawData!AQ57+RawData!AR57+RawData!AS57+RawData!AT57)/1000)/'Table T9'!B27</f>
        <v>0.38361170869574052</v>
      </c>
      <c r="F27" s="396">
        <f>((RawData!AN57+RawData!AL57)/1000)/'Table T9'!B27</f>
        <v>4.9026269393909978E-2</v>
      </c>
      <c r="G27" s="396">
        <f>((RawData!AU57+RawData!AX57)/1000)/'Table T9'!B27</f>
        <v>0.173417052870626</v>
      </c>
      <c r="H27" s="396">
        <f t="shared" si="13"/>
        <v>4.2766492018953828E-3</v>
      </c>
      <c r="I27" s="443">
        <f>'Table T5'!O31</f>
        <v>486.69400000000002</v>
      </c>
      <c r="J27" s="398">
        <f>(RawData!BB57/1000)/'Table T9'!$I27</f>
        <v>0.29499850008424183</v>
      </c>
      <c r="K27" s="398">
        <f>(RawData!AZ57/1000)/'Table T9'!$I27</f>
        <v>0.18331025243787677</v>
      </c>
      <c r="L27" s="396">
        <f>((RawData!BD57+RawData!BE57+RawData!BF57+RawData!BG57+RawData!BH57+RawData!BI57)/1000)/'Table T9'!I27</f>
        <v>0.35798879788943361</v>
      </c>
      <c r="M27" s="396">
        <f>((RawData!BA57+RawData!BC57)/1000)/'Table T9'!I27</f>
        <v>5.2437465840959617E-2</v>
      </c>
      <c r="N27" s="396">
        <f>((RawData!BJ57+RawData!BM57)/1000)/'Table T9'!I27</f>
        <v>0.10918153911903578</v>
      </c>
      <c r="O27" s="396">
        <f t="shared" si="14"/>
        <v>2.0834446284523078E-3</v>
      </c>
      <c r="P27" s="443">
        <f t="shared" si="5"/>
        <v>399.28000000000003</v>
      </c>
      <c r="Q27" s="398">
        <f t="shared" si="7"/>
        <v>0.11085954718493282</v>
      </c>
      <c r="R27" s="398">
        <f t="shared" si="8"/>
        <v>0.17076237227008614</v>
      </c>
      <c r="S27" s="396">
        <f t="shared" si="9"/>
        <v>0.41484421959527146</v>
      </c>
      <c r="T27" s="396">
        <f t="shared" si="10"/>
        <v>4.4868262873171701E-2</v>
      </c>
      <c r="U27" s="396">
        <f t="shared" si="11"/>
        <v>0.2517155880585053</v>
      </c>
      <c r="V27" s="444">
        <f t="shared" si="12"/>
        <v>6.9500100180326903E-3</v>
      </c>
    </row>
    <row r="28" spans="1:22" ht="15">
      <c r="A28" s="18">
        <v>2000</v>
      </c>
      <c r="B28" s="384">
        <f>'Table T5'!G32</f>
        <v>976.35900000000004</v>
      </c>
      <c r="C28" s="54">
        <f>(RawData!AM58/1000)/'Table T9'!B28</f>
        <v>0.18120588840784996</v>
      </c>
      <c r="D28" s="54">
        <f>(RawData!AK58/1000)/'Table T9'!B28</f>
        <v>0.25620084415670874</v>
      </c>
      <c r="E28" s="54">
        <f>((RawData!AO58+RawData!AP58+RawData!AQ58+RawData!AR58+RawData!AS58+RawData!AT58)/1000)/'Table T9'!B28</f>
        <v>0.29670541266071188</v>
      </c>
      <c r="F28" s="54">
        <f>((RawData!AN58+RawData!AL58)/1000)/'Table T9'!B28</f>
        <v>0.10164498918942726</v>
      </c>
      <c r="G28" s="54">
        <f>((RawData!AU58+RawData!AX58)/1000)/'Table T9'!B28</f>
        <v>0.15996267766262207</v>
      </c>
      <c r="H28" s="54">
        <f t="shared" si="13"/>
        <v>4.2801879226800343E-3</v>
      </c>
      <c r="I28" s="434">
        <f>'Table T5'!O32</f>
        <v>487.68900000000002</v>
      </c>
      <c r="J28" s="59">
        <f>(RawData!BB58/1000)/'Table T9'!$I28</f>
        <v>0.2774227017628037</v>
      </c>
      <c r="K28" s="59">
        <f>(RawData!AZ58/1000)/'Table T9'!$I28</f>
        <v>0.22312785402172283</v>
      </c>
      <c r="L28" s="54">
        <f>((RawData!BD58+RawData!BE58+RawData!BF58+RawData!BG58+RawData!BH58+RawData!BI58)/1000)/'Table T9'!I28</f>
        <v>0.28038360512539756</v>
      </c>
      <c r="M28" s="54">
        <f>((RawData!BA58+RawData!BC58)/1000)/'Table T9'!I28</f>
        <v>9.6256015616509691E-2</v>
      </c>
      <c r="N28" s="54">
        <f>((RawData!BJ58+RawData!BM58)/1000)/'Table T9'!I28</f>
        <v>0.12064450910313745</v>
      </c>
      <c r="O28" s="54">
        <f t="shared" si="14"/>
        <v>2.1653143704287309E-3</v>
      </c>
      <c r="P28" s="434">
        <f t="shared" si="5"/>
        <v>488.67</v>
      </c>
      <c r="Q28" s="59">
        <f t="shared" si="7"/>
        <v>8.5182229316307534E-2</v>
      </c>
      <c r="R28" s="59">
        <f t="shared" si="8"/>
        <v>0.28920744060408865</v>
      </c>
      <c r="S28" s="54">
        <f t="shared" si="9"/>
        <v>0.31299445433523637</v>
      </c>
      <c r="T28" s="54">
        <f t="shared" si="10"/>
        <v>0.10702314445331206</v>
      </c>
      <c r="U28" s="54">
        <f t="shared" si="11"/>
        <v>0.19920191540303273</v>
      </c>
      <c r="V28" s="437">
        <f t="shared" si="12"/>
        <v>6.3908158880224657E-3</v>
      </c>
    </row>
    <row r="29" spans="1:22" ht="15">
      <c r="A29" s="18">
        <v>2001</v>
      </c>
      <c r="B29" s="384">
        <f>'Table T5'!G33</f>
        <v>1128.74</v>
      </c>
      <c r="C29" s="54">
        <f>(RawData!AM59/1000)/'Table T9'!B29</f>
        <v>0.15297322678384748</v>
      </c>
      <c r="D29" s="54">
        <f>(RawData!AK59/1000)/'Table T9'!B29</f>
        <v>0.31264507326753721</v>
      </c>
      <c r="E29" s="54">
        <f>((RawData!AO59+RawData!AP59+RawData!AQ59+RawData!AR59+RawData!AS59+RawData!AT59)/1000)/'Table T9'!B29</f>
        <v>0.27308591881212679</v>
      </c>
      <c r="F29" s="54">
        <f>((RawData!AN59+RawData!AL59)/1000)/'Table T9'!B29</f>
        <v>0.10335241065258607</v>
      </c>
      <c r="G29" s="54">
        <f>((RawData!AU59+RawData!AX59)/1000)/'Table T9'!B29</f>
        <v>0.15226535783262751</v>
      </c>
      <c r="H29" s="54">
        <f t="shared" si="13"/>
        <v>5.6780126512749052E-3</v>
      </c>
      <c r="I29" s="434">
        <f>'Table T5'!O33</f>
        <v>496.42700000000002</v>
      </c>
      <c r="J29" s="59">
        <f>(RawData!BB59/1000)/'Table T9'!$I29</f>
        <v>0.24506725057259174</v>
      </c>
      <c r="K29" s="59">
        <f>(RawData!AZ59/1000)/'Table T9'!$I29</f>
        <v>0.23785773134821431</v>
      </c>
      <c r="L29" s="54">
        <f>((RawData!BD59+RawData!BE59+RawData!BF59+RawData!BG59+RawData!BH59+RawData!BI59)/1000)/'Table T9'!I29</f>
        <v>0.27958793538627025</v>
      </c>
      <c r="M29" s="54">
        <f>((RawData!BA59+RawData!BC59)/1000)/'Table T9'!I29</f>
        <v>0.10088693805937227</v>
      </c>
      <c r="N29" s="54">
        <f>((RawData!BJ59+RawData!BM59)/1000)/'Table T9'!I29</f>
        <v>0.13494632644880314</v>
      </c>
      <c r="O29" s="54">
        <f t="shared" si="14"/>
        <v>1.6538181847483291E-3</v>
      </c>
      <c r="P29" s="434">
        <f t="shared" si="5"/>
        <v>632.31299999999999</v>
      </c>
      <c r="Q29" s="59">
        <f t="shared" si="7"/>
        <v>8.0670490722158178E-2</v>
      </c>
      <c r="R29" s="59">
        <f t="shared" si="8"/>
        <v>0.37136038639091712</v>
      </c>
      <c r="S29" s="54">
        <f t="shared" si="9"/>
        <v>0.26798120551056204</v>
      </c>
      <c r="T29" s="54">
        <f t="shared" si="10"/>
        <v>0.10528804563562666</v>
      </c>
      <c r="U29" s="54">
        <f t="shared" si="11"/>
        <v>0.16586247633687742</v>
      </c>
      <c r="V29" s="437">
        <f t="shared" si="12"/>
        <v>8.8373954038584966E-3</v>
      </c>
    </row>
    <row r="30" spans="1:22" ht="15">
      <c r="A30" s="18">
        <v>2002</v>
      </c>
      <c r="B30" s="384">
        <f>'Table T5'!G34</f>
        <v>1229.6759999999999</v>
      </c>
      <c r="C30" s="54">
        <f>(RawData!AM60/1000)/'Table T9'!B30</f>
        <v>0.12807682674135301</v>
      </c>
      <c r="D30" s="54">
        <f>(RawData!AK60/1000)/'Table T9'!B30</f>
        <v>0.36155946769718206</v>
      </c>
      <c r="E30" s="54">
        <f>((RawData!AO60+RawData!AP60+RawData!AQ60+RawData!AR60+RawData!AS60+RawData!AT60)/1000)/'Table T9'!B30</f>
        <v>0.28260208380093621</v>
      </c>
      <c r="F30" s="54">
        <f>((RawData!AN60+RawData!AL60)/1000)/'Table T9'!B30</f>
        <v>9.4193917747439168E-2</v>
      </c>
      <c r="G30" s="54">
        <f>((RawData!AU60+RawData!AX60)/1000)/'Table T9'!B30</f>
        <v>0.12618771123450404</v>
      </c>
      <c r="H30" s="54">
        <f t="shared" si="13"/>
        <v>7.3799927785855035E-3</v>
      </c>
      <c r="I30" s="434">
        <f>'Table T5'!O34</f>
        <v>444.21100000000001</v>
      </c>
      <c r="J30" s="59">
        <f>(RawData!BB60/1000)/'Table T9'!$I30</f>
        <v>0.21730213794795716</v>
      </c>
      <c r="K30" s="59">
        <f>(RawData!AZ60/1000)/'Table T9'!$I30</f>
        <v>0.23136302342805559</v>
      </c>
      <c r="L30" s="54">
        <f>((RawData!BD60+RawData!BE60+RawData!BF60+RawData!BG60+RawData!BH60+RawData!BI60)/1000)/'Table T9'!I30</f>
        <v>0.30119920488236446</v>
      </c>
      <c r="M30" s="54">
        <f>((RawData!BA60+RawData!BC60)/1000)/'Table T9'!I30</f>
        <v>9.9245628766509608E-2</v>
      </c>
      <c r="N30" s="54">
        <f>((RawData!BJ60+RawData!BM60)/1000)/'Table T9'!I30</f>
        <v>0.14963159399474574</v>
      </c>
      <c r="O30" s="54">
        <f t="shared" si="14"/>
        <v>1.2584109803674415E-3</v>
      </c>
      <c r="P30" s="434">
        <f t="shared" si="5"/>
        <v>785.46499999999992</v>
      </c>
      <c r="Q30" s="59">
        <f t="shared" si="7"/>
        <v>7.7616443762611953E-2</v>
      </c>
      <c r="R30" s="59">
        <f t="shared" si="8"/>
        <v>0.43519061956929977</v>
      </c>
      <c r="S30" s="54">
        <f t="shared" si="9"/>
        <v>0.27208468868759278</v>
      </c>
      <c r="T30" s="54">
        <f t="shared" si="10"/>
        <v>9.1336978732343282E-2</v>
      </c>
      <c r="U30" s="54">
        <f t="shared" si="11"/>
        <v>0.11292928392735513</v>
      </c>
      <c r="V30" s="437">
        <f t="shared" si="12"/>
        <v>1.0841985320797116E-2</v>
      </c>
    </row>
    <row r="31" spans="1:22" ht="15">
      <c r="A31" s="18">
        <v>2003</v>
      </c>
      <c r="B31" s="384">
        <f>'Table T5'!G35</f>
        <v>1620.9690000000001</v>
      </c>
      <c r="C31" s="54">
        <f>(RawData!AM61/1000)/'Table T9'!B31</f>
        <v>0.1250474253363266</v>
      </c>
      <c r="D31" s="54">
        <f>(RawData!AK61/1000)/'Table T9'!B31</f>
        <v>0.36887133560234647</v>
      </c>
      <c r="E31" s="54">
        <f>((RawData!AO61+RawData!AP61+RawData!AQ61+RawData!AR61+RawData!AS61+RawData!AT61)/1000)/'Table T9'!B31</f>
        <v>0.29583107388235064</v>
      </c>
      <c r="F31" s="54">
        <f>((RawData!AN61+RawData!AL61)/1000)/'Table T9'!B31</f>
        <v>9.369457404799228E-2</v>
      </c>
      <c r="G31" s="54">
        <f>((RawData!AU61+RawData!AX61)/1000)/'Table T9'!B31</f>
        <v>0.11149812241936768</v>
      </c>
      <c r="H31" s="54">
        <f t="shared" si="13"/>
        <v>5.0574687116163586E-3</v>
      </c>
      <c r="I31" s="434">
        <f>'Table T5'!O35</f>
        <v>636.16800000000001</v>
      </c>
      <c r="J31" s="59">
        <f>(RawData!BB61/1000)/'Table T9'!$I31</f>
        <v>0.19412796619760819</v>
      </c>
      <c r="K31" s="59">
        <f>(RawData!AZ61/1000)/'Table T9'!$I31</f>
        <v>0.22046220495215102</v>
      </c>
      <c r="L31" s="54">
        <f>((RawData!BD61+RawData!BE61+RawData!BF61+RawData!BG61+RawData!BH61+RawData!BI61)/1000)/'Table T9'!I31</f>
        <v>0.32869933728197581</v>
      </c>
      <c r="M31" s="54">
        <f>((RawData!BA61+RawData!BC61)/1000)/'Table T9'!I31</f>
        <v>0.10492039838533218</v>
      </c>
      <c r="N31" s="54">
        <f>((RawData!BJ61+RawData!BM61)/1000)/'Table T9'!I31</f>
        <v>0.14984092252361011</v>
      </c>
      <c r="O31" s="54">
        <f t="shared" si="14"/>
        <v>1.9491706593226243E-3</v>
      </c>
      <c r="P31" s="434">
        <f t="shared" si="5"/>
        <v>984.80100000000004</v>
      </c>
      <c r="Q31" s="59">
        <f t="shared" si="7"/>
        <v>8.0422339132474444E-2</v>
      </c>
      <c r="R31" s="59">
        <f t="shared" si="8"/>
        <v>0.46474160769536177</v>
      </c>
      <c r="S31" s="54">
        <f t="shared" si="9"/>
        <v>0.2745986244936795</v>
      </c>
      <c r="T31" s="54">
        <f t="shared" si="10"/>
        <v>8.6442844798086116E-2</v>
      </c>
      <c r="U31" s="54">
        <f t="shared" si="11"/>
        <v>8.6729197066209324E-2</v>
      </c>
      <c r="V31" s="437">
        <f t="shared" si="12"/>
        <v>7.0653868141889592E-3</v>
      </c>
    </row>
    <row r="32" spans="1:22" ht="15">
      <c r="A32" s="18">
        <v>2004</v>
      </c>
      <c r="B32" s="384">
        <f>'Table T5'!G36</f>
        <v>1927.576</v>
      </c>
      <c r="C32" s="54">
        <f>(RawData!AM62/1000)/'Table T9'!B32</f>
        <v>0.12082532673160487</v>
      </c>
      <c r="D32" s="54">
        <f>(RawData!AK62/1000)/'Table T9'!B32</f>
        <v>0.37572785716360863</v>
      </c>
      <c r="E32" s="54">
        <f>((RawData!AO62+RawData!AP62+RawData!AQ62+RawData!AR62+RawData!AS62+RawData!AT62)/1000)/'Table T9'!B32</f>
        <v>0.30149524584244664</v>
      </c>
      <c r="F32" s="54">
        <f>((RawData!AN62+RawData!AL62)/1000)/'Table T9'!B32</f>
        <v>9.4845028159719777E-2</v>
      </c>
      <c r="G32" s="54">
        <f>((RawData!AU62+RawData!AX62)/1000)/'Table T9'!B32</f>
        <v>0.10160481350670479</v>
      </c>
      <c r="H32" s="54">
        <f t="shared" si="13"/>
        <v>5.5017285959152729E-3</v>
      </c>
      <c r="I32" s="434">
        <f>'Table T5'!O36</f>
        <v>718.875</v>
      </c>
      <c r="J32" s="59">
        <f>(RawData!BB62/1000)/'Table T9'!$I32</f>
        <v>0.18716188488958441</v>
      </c>
      <c r="K32" s="59">
        <f>(RawData!AZ62/1000)/'Table T9'!$I32</f>
        <v>0.22584872196139802</v>
      </c>
      <c r="L32" s="54">
        <f>((RawData!BD62+RawData!BE62+RawData!BF62+RawData!BG62+RawData!BH62+RawData!BI62)/1000)/'Table T9'!I32</f>
        <v>0.33351695357329159</v>
      </c>
      <c r="M32" s="54">
        <f>((RawData!BA62+RawData!BC62)/1000)/'Table T9'!I32</f>
        <v>0.10638706311945749</v>
      </c>
      <c r="N32" s="54">
        <f>((RawData!BJ62+RawData!BM62)/1000)/'Table T9'!I32</f>
        <v>0.14508085550339073</v>
      </c>
      <c r="O32" s="54">
        <f t="shared" si="14"/>
        <v>2.0045209528777308E-3</v>
      </c>
      <c r="P32" s="434">
        <f t="shared" si="5"/>
        <v>1208.701</v>
      </c>
      <c r="Q32" s="59">
        <f t="shared" si="7"/>
        <v>8.1371654362824231E-2</v>
      </c>
      <c r="R32" s="59">
        <f t="shared" si="8"/>
        <v>0.4648684827761374</v>
      </c>
      <c r="S32" s="54">
        <f t="shared" si="9"/>
        <v>0.28245033304349049</v>
      </c>
      <c r="T32" s="54">
        <f t="shared" si="10"/>
        <v>8.7980402101098615E-2</v>
      </c>
      <c r="U32" s="54">
        <f t="shared" si="11"/>
        <v>7.5747434642645287E-2</v>
      </c>
      <c r="V32" s="437">
        <f t="shared" si="12"/>
        <v>7.5816930738040241E-3</v>
      </c>
    </row>
    <row r="33" spans="1:22" ht="15">
      <c r="A33" s="18">
        <v>2005</v>
      </c>
      <c r="B33" s="384">
        <f>'Table T5'!G37</f>
        <v>2168.8560000000002</v>
      </c>
      <c r="C33" s="54">
        <f>(RawData!AM63/1000)/'Table T9'!B33</f>
        <v>0.11105716562095408</v>
      </c>
      <c r="D33" s="54">
        <f>(RawData!AK63/1000)/'Table T9'!B33</f>
        <v>0.36610591021257283</v>
      </c>
      <c r="E33" s="54">
        <f>((RawData!AO63+RawData!AP63+RawData!AQ63+RawData!AR63+RawData!AS63+RawData!AT63)/1000)/'Table T9'!B33</f>
        <v>0.3109966729003677</v>
      </c>
      <c r="F33" s="54">
        <f>((RawData!AN63+RawData!AL63)/1000)/'Table T9'!B33</f>
        <v>9.7737701350389325E-2</v>
      </c>
      <c r="G33" s="54">
        <f>((RawData!AU63+RawData!AX63)/1000)/'Table T9'!B33</f>
        <v>0.1069301050876591</v>
      </c>
      <c r="H33" s="54">
        <f t="shared" si="13"/>
        <v>7.1724448280570813E-3</v>
      </c>
      <c r="I33" s="434">
        <f>'Table T5'!O37</f>
        <v>811.40099999999995</v>
      </c>
      <c r="J33" s="59">
        <f>(RawData!BB63/1000)/'Table T9'!$I33</f>
        <v>0.17571336490834991</v>
      </c>
      <c r="K33" s="59">
        <f>(RawData!AZ63/1000)/'Table T9'!$I33</f>
        <v>0.23779980552156085</v>
      </c>
      <c r="L33" s="54">
        <f>((RawData!BD63+RawData!BE63+RawData!BF63+RawData!BG63+RawData!BH63+RawData!BI63)/1000)/'Table T9'!I33</f>
        <v>0.33412455740133423</v>
      </c>
      <c r="M33" s="54">
        <f>((RawData!BA63+RawData!BC63)/1000)/'Table T9'!I33</f>
        <v>0.10351601735763205</v>
      </c>
      <c r="N33" s="54">
        <f>((RawData!BJ63+RawData!BM63)/1000)/'Table T9'!I33</f>
        <v>0.14765572140039268</v>
      </c>
      <c r="O33" s="54">
        <f t="shared" si="14"/>
        <v>1.1905334107302767E-3</v>
      </c>
      <c r="P33" s="434">
        <f t="shared" si="5"/>
        <v>1357.4550000000004</v>
      </c>
      <c r="Q33" s="59">
        <f t="shared" si="7"/>
        <v>7.2409766806266124E-2</v>
      </c>
      <c r="R33" s="59">
        <f t="shared" si="8"/>
        <v>0.44279920881355167</v>
      </c>
      <c r="S33" s="54">
        <f t="shared" si="9"/>
        <v>0.29717228195409784</v>
      </c>
      <c r="T33" s="54">
        <f t="shared" si="10"/>
        <v>9.4283788412875547E-2</v>
      </c>
      <c r="U33" s="54">
        <f t="shared" si="11"/>
        <v>8.2586899749899592E-2</v>
      </c>
      <c r="V33" s="437">
        <f t="shared" si="12"/>
        <v>1.0748054263309362E-2</v>
      </c>
    </row>
    <row r="34" spans="1:22" ht="15">
      <c r="A34" s="18">
        <v>2006</v>
      </c>
      <c r="B34" s="384">
        <f>'Table T5'!G38</f>
        <v>2725.4879999999998</v>
      </c>
      <c r="C34" s="54">
        <f>(RawData!AM64/1000)/'Table T9'!B34</f>
        <v>0.10861504435169042</v>
      </c>
      <c r="D34" s="54">
        <f>(RawData!AK64/1000)/'Table T9'!B34</f>
        <v>0.35630169716395743</v>
      </c>
      <c r="E34" s="54">
        <f>((RawData!AO64+RawData!AP64+RawData!AQ64+RawData!AR64+RawData!AS64+RawData!AT64)/1000)/'Table T9'!B34</f>
        <v>0.32360883628913428</v>
      </c>
      <c r="F34" s="54">
        <f>((RawData!AN64+RawData!AL64)/1000)/'Table T9'!B34</f>
        <v>0.10360419858755571</v>
      </c>
      <c r="G34" s="54">
        <f>((RawData!AU64+RawData!AX64)/1000)/'Table T9'!B34</f>
        <v>0.1010299806860276</v>
      </c>
      <c r="H34" s="54">
        <f t="shared" si="13"/>
        <v>6.840242921634529E-3</v>
      </c>
      <c r="I34" s="434">
        <f>'Table T5'!O38</f>
        <v>972.274</v>
      </c>
      <c r="J34" s="59">
        <f>(RawData!BB64/1000)/'Table T9'!$I34</f>
        <v>0.17150000925664988</v>
      </c>
      <c r="K34" s="59">
        <f>(RawData!AZ64/1000)/'Table T9'!$I34</f>
        <v>0.25024838677163025</v>
      </c>
      <c r="L34" s="54">
        <f>((RawData!BD64+RawData!BE64+RawData!BF64+RawData!BG64+RawData!BH64+RawData!BI64)/1000)/'Table T9'!I34</f>
        <v>0.34839561687343279</v>
      </c>
      <c r="M34" s="54">
        <f>((RawData!BA64+RawData!BC64)/1000)/'Table T9'!I34</f>
        <v>9.834984788238707E-2</v>
      </c>
      <c r="N34" s="54">
        <f>((RawData!BJ64+RawData!BM64)/1000)/'Table T9'!I34</f>
        <v>0.13032643061523808</v>
      </c>
      <c r="O34" s="54">
        <f t="shared" si="14"/>
        <v>1.1797086006618829E-3</v>
      </c>
      <c r="P34" s="434">
        <f t="shared" si="5"/>
        <v>1753.2139999999999</v>
      </c>
      <c r="Q34" s="59">
        <f t="shared" si="7"/>
        <v>7.3741140556714699E-2</v>
      </c>
      <c r="R34" s="59">
        <f t="shared" si="8"/>
        <v>0.41511532533963336</v>
      </c>
      <c r="S34" s="54">
        <f t="shared" si="9"/>
        <v>0.30986291462422727</v>
      </c>
      <c r="T34" s="54">
        <f t="shared" si="10"/>
        <v>0.10651808621195133</v>
      </c>
      <c r="U34" s="54">
        <f t="shared" si="11"/>
        <v>8.4783146837750567E-2</v>
      </c>
      <c r="V34" s="437">
        <f t="shared" si="12"/>
        <v>9.9793864297227364E-3</v>
      </c>
    </row>
    <row r="35" spans="1:22" ht="15">
      <c r="A35" s="18">
        <v>2007</v>
      </c>
      <c r="B35" s="384">
        <f>'Table T5'!G39</f>
        <v>3128.4479999999999</v>
      </c>
      <c r="C35" s="54">
        <f>(RawData!AM65/1000)/'Table T9'!B35</f>
        <v>0.10087078321263451</v>
      </c>
      <c r="D35" s="54">
        <f>(RawData!AK65/1000)/'Table T9'!B35</f>
        <v>0.34114423509676362</v>
      </c>
      <c r="E35" s="54">
        <f>((RawData!AO65+RawData!AP65+RawData!AQ65+RawData!AR65+RawData!AS65+RawData!AT65)/1000)/'Table T9'!B35</f>
        <v>0.34468656662984332</v>
      </c>
      <c r="F35" s="54">
        <f>((RawData!AN65+RawData!AL65)/1000)/'Table T9'!B35</f>
        <v>0.1079100563602144</v>
      </c>
      <c r="G35" s="54">
        <f>((RawData!AU65+RawData!AX65)/1000)/'Table T9'!B35</f>
        <v>9.6639292070700877E-2</v>
      </c>
      <c r="H35" s="54">
        <f t="shared" si="13"/>
        <v>8.7490666298432468E-3</v>
      </c>
      <c r="I35" s="434">
        <f>'Table T5'!O39</f>
        <v>1111.7159999999999</v>
      </c>
      <c r="J35" s="59">
        <f>(RawData!BB65/1000)/'Table T9'!$I35</f>
        <v>0.16056618776737944</v>
      </c>
      <c r="K35" s="59">
        <f>(RawData!AZ65/1000)/'Table T9'!$I35</f>
        <v>0.22089994207153629</v>
      </c>
      <c r="L35" s="54">
        <f>((RawData!BD65+RawData!BE65+RawData!BF65+RawData!BG65+RawData!BH65+RawData!BI65)/1000)/'Table T9'!I35</f>
        <v>0.40099090055373859</v>
      </c>
      <c r="M35" s="54">
        <f>((RawData!BA65+RawData!BC65)/1000)/'Table T9'!I35</f>
        <v>9.1943445988004135E-2</v>
      </c>
      <c r="N35" s="54">
        <f>((RawData!BJ65+RawData!BM65)/1000)/'Table T9'!I35</f>
        <v>0.12377531671757896</v>
      </c>
      <c r="O35" s="54">
        <f t="shared" si="14"/>
        <v>1.8242069017626039E-3</v>
      </c>
      <c r="P35" s="434">
        <f t="shared" si="5"/>
        <v>2016.732</v>
      </c>
      <c r="Q35" s="59">
        <f t="shared" si="7"/>
        <v>6.7963913896343209E-2</v>
      </c>
      <c r="R35" s="59">
        <f t="shared" si="8"/>
        <v>0.40742845355753765</v>
      </c>
      <c r="S35" s="54">
        <f t="shared" si="9"/>
        <v>0.31364901236257475</v>
      </c>
      <c r="T35" s="54">
        <f t="shared" si="10"/>
        <v>0.11671159083110698</v>
      </c>
      <c r="U35" s="54">
        <f t="shared" si="11"/>
        <v>8.168065960177158E-2</v>
      </c>
      <c r="V35" s="437">
        <f t="shared" si="12"/>
        <v>1.2566369750665895E-2</v>
      </c>
    </row>
    <row r="36" spans="1:22" ht="15">
      <c r="A36" s="18">
        <v>2008</v>
      </c>
      <c r="B36" s="384">
        <f>'Table T5'!G40</f>
        <v>2511.7629999999999</v>
      </c>
      <c r="C36" s="54">
        <f>(RawData!AM66/1000)/'Table T9'!B36</f>
        <v>0.10485025856340745</v>
      </c>
      <c r="D36" s="54">
        <f>(RawData!AK66/1000)/'Table T9'!B36</f>
        <v>0.34263383925951613</v>
      </c>
      <c r="E36" s="54">
        <f>((RawData!AO66+RawData!AP66+RawData!AQ66+RawData!AR66+RawData!AS66+RawData!AT66)/1000)/'Table T9'!B36</f>
        <v>0.32652563159820414</v>
      </c>
      <c r="F36" s="54">
        <f>((RawData!AN66+RawData!AL66)/1000)/'Table T9'!B36</f>
        <v>0.10506922826715737</v>
      </c>
      <c r="G36" s="54">
        <f>((RawData!AU66+RawData!AX66)/1000)/'Table T9'!B36</f>
        <v>0.10868780215330826</v>
      </c>
      <c r="H36" s="54">
        <f t="shared" si="13"/>
        <v>1.2233240158406711E-2</v>
      </c>
      <c r="I36" s="434">
        <f>'Table T5'!O40</f>
        <v>700.971</v>
      </c>
      <c r="J36" s="59">
        <f>(RawData!BB66/1000)/'Table T9'!$I36</f>
        <v>0.17082304403463197</v>
      </c>
      <c r="K36" s="59">
        <f>(RawData!AZ66/1000)/'Table T9'!$I36</f>
        <v>0.20825825890086752</v>
      </c>
      <c r="L36" s="54">
        <f>((RawData!BD66+RawData!BE66+RawData!BF66+RawData!BG66+RawData!BH66+RawData!BI66)/1000)/'Table T9'!I36</f>
        <v>0.39354552470786947</v>
      </c>
      <c r="M36" s="54">
        <f>((RawData!BA66+RawData!BC66)/1000)/'Table T9'!I36</f>
        <v>9.4886949674094945E-2</v>
      </c>
      <c r="N36" s="54">
        <f>((RawData!BJ66+RawData!BM66)/1000)/'Table T9'!I36</f>
        <v>0.13025360535599903</v>
      </c>
      <c r="O36" s="54">
        <f t="shared" si="14"/>
        <v>2.2326173265369842E-3</v>
      </c>
      <c r="P36" s="434">
        <f t="shared" si="5"/>
        <v>1810.7919999999999</v>
      </c>
      <c r="Q36" s="59">
        <f t="shared" si="7"/>
        <v>7.931170449173619E-2</v>
      </c>
      <c r="R36" s="59">
        <f t="shared" si="8"/>
        <v>0.3946516220526709</v>
      </c>
      <c r="S36" s="54">
        <f t="shared" si="9"/>
        <v>0.30058173440130065</v>
      </c>
      <c r="T36" s="54">
        <f t="shared" si="10"/>
        <v>0.10901086375464437</v>
      </c>
      <c r="U36" s="54">
        <f t="shared" si="11"/>
        <v>0.1003395199448639</v>
      </c>
      <c r="V36" s="437">
        <f t="shared" si="12"/>
        <v>1.6104555354784073E-2</v>
      </c>
    </row>
    <row r="37" spans="1:22" ht="15">
      <c r="A37" s="311">
        <v>2009</v>
      </c>
      <c r="B37" s="385">
        <f>'Table T5'!G41</f>
        <v>2956.2489999999998</v>
      </c>
      <c r="C37" s="396">
        <f>(RawData!AM67/1000)/'Table T9'!B37</f>
        <v>0.11947809538371092</v>
      </c>
      <c r="D37" s="396">
        <f>(RawData!AK67/1000)/'Table T9'!B37</f>
        <v>0.33379089515125421</v>
      </c>
      <c r="E37" s="396">
        <f>((RawData!AO67+RawData!AP67+RawData!AQ67+RawData!AR67+RawData!AS67+RawData!AT67)/1000)/'Table T9'!B37</f>
        <v>0.31242496826214572</v>
      </c>
      <c r="F37" s="396">
        <f>((RawData!AN67+RawData!AL67)/1000)/'Table T9'!B37</f>
        <v>0.10446346028362294</v>
      </c>
      <c r="G37" s="396">
        <f>((RawData!AU67+RawData!AX67)/1000)/'Table T9'!B37</f>
        <v>0.11901669987879913</v>
      </c>
      <c r="H37" s="396">
        <f t="shared" si="13"/>
        <v>1.0825881040467042E-2</v>
      </c>
      <c r="I37" s="443">
        <f>'Table T5'!O41</f>
        <v>975.71600000000001</v>
      </c>
      <c r="J37" s="398">
        <f>(RawData!BB67/1000)/'Table T9'!$I37</f>
        <v>0.1737216567115841</v>
      </c>
      <c r="K37" s="398">
        <f>(RawData!AZ67/1000)/'Table T9'!$I37</f>
        <v>0.20295557313808524</v>
      </c>
      <c r="L37" s="396">
        <f>((RawData!BD67+RawData!BE67+RawData!BF67+RawData!BG67+RawData!BH67+RawData!BI67)/1000)/'Table T9'!I37</f>
        <v>0.38759024142270904</v>
      </c>
      <c r="M37" s="396">
        <f>((RawData!BA67+RawData!BC67)/1000)/'Table T9'!I37</f>
        <v>9.8608611522205236E-2</v>
      </c>
      <c r="N37" s="396">
        <f>((RawData!BJ67+RawData!BM67)/1000)/'Table T9'!I37</f>
        <v>0.13464778685601136</v>
      </c>
      <c r="O37" s="396">
        <f t="shared" si="14"/>
        <v>2.4761303494050257E-3</v>
      </c>
      <c r="P37" s="443">
        <f t="shared" si="5"/>
        <v>1980.5329999999999</v>
      </c>
      <c r="Q37" s="398">
        <f t="shared" si="7"/>
        <v>9.2754829129330349E-2</v>
      </c>
      <c r="R37" s="398">
        <f t="shared" si="8"/>
        <v>0.39824734048864624</v>
      </c>
      <c r="S37" s="396">
        <f t="shared" si="9"/>
        <v>0.275394552880462</v>
      </c>
      <c r="T37" s="396">
        <f t="shared" si="10"/>
        <v>0.1073478704974873</v>
      </c>
      <c r="U37" s="396">
        <f t="shared" si="11"/>
        <v>0.11131599422983614</v>
      </c>
      <c r="V37" s="444">
        <f t="shared" si="12"/>
        <v>1.4939412774237833E-2</v>
      </c>
    </row>
    <row r="38" spans="1:22" ht="15">
      <c r="A38" s="18">
        <v>2010</v>
      </c>
      <c r="B38" s="384">
        <f>'Table T5'!G42</f>
        <v>3412.7950000000001</v>
      </c>
      <c r="C38" s="54">
        <f>(RawData!AM68/1000)/'Table T9'!B38</f>
        <v>0.128075375169033</v>
      </c>
      <c r="D38" s="54">
        <f>(RawData!AK68/1000)/'Table T9'!B38</f>
        <v>0.31909505258886045</v>
      </c>
      <c r="E38" s="54">
        <f>((RawData!AO68+RawData!AP68+RawData!AQ68+RawData!AR68+RawData!AS68+RawData!AT68)/1000)/'Table T9'!B38</f>
        <v>0.31936228223494229</v>
      </c>
      <c r="F38" s="54">
        <f>((RawData!AN68+RawData!AL68)/1000)/'Table T9'!B38</f>
        <v>0.1005457403682319</v>
      </c>
      <c r="G38" s="54">
        <f>((RawData!AU68+RawData!AX68)/1000)/'Table T9'!B38</f>
        <v>0.1220993350025419</v>
      </c>
      <c r="H38" s="54">
        <f t="shared" si="13"/>
        <v>1.0822214636390534E-2</v>
      </c>
      <c r="I38" s="434">
        <f>'Table T5'!O42</f>
        <v>1218.123</v>
      </c>
      <c r="J38" s="59">
        <f>(RawData!BB68/1000)/'Table T9'!$I38</f>
        <v>0.17442655626730635</v>
      </c>
      <c r="K38" s="59">
        <f>(RawData!AZ68/1000)/'Table T9'!$I38</f>
        <v>0.21908378710524304</v>
      </c>
      <c r="L38" s="54">
        <f>((RawData!BD68+RawData!BE68+RawData!BF68+RawData!BG68+RawData!BH68+RawData!BI68)/1000)/'Table T9'!I38</f>
        <v>0.38339888500586555</v>
      </c>
      <c r="M38" s="54">
        <f>((RawData!BA68+RawData!BC68)/1000)/'Table T9'!I38</f>
        <v>0.10111704647231848</v>
      </c>
      <c r="N38" s="54">
        <f>((RawData!BJ68+RawData!BM68)/1000)/'Table T9'!I38</f>
        <v>0.11901014922138403</v>
      </c>
      <c r="O38" s="54">
        <f t="shared" si="14"/>
        <v>2.9635759278825169E-3</v>
      </c>
      <c r="P38" s="434">
        <f t="shared" si="5"/>
        <v>2194.672</v>
      </c>
      <c r="Q38" s="59">
        <f t="shared" si="7"/>
        <v>0.10234877922532386</v>
      </c>
      <c r="R38" s="59">
        <f t="shared" si="8"/>
        <v>0.37460495235734548</v>
      </c>
      <c r="S38" s="54">
        <f t="shared" si="9"/>
        <v>0.2838196322730685</v>
      </c>
      <c r="T38" s="54">
        <f t="shared" si="10"/>
        <v>0.10022864464484897</v>
      </c>
      <c r="U38" s="54">
        <f t="shared" si="11"/>
        <v>0.12381394577412934</v>
      </c>
      <c r="V38" s="437">
        <f t="shared" si="12"/>
        <v>1.5184045725283958E-2</v>
      </c>
    </row>
    <row r="39" spans="1:22" ht="15">
      <c r="A39" s="18">
        <v>2011</v>
      </c>
      <c r="B39" s="384">
        <f>'Table T5'!G43</f>
        <v>3574.9929999999999</v>
      </c>
      <c r="C39" s="54">
        <f>(RawData!AM69/1000)/'Table T9'!B39</f>
        <v>0.13202823054478707</v>
      </c>
      <c r="D39" s="54">
        <f>(RawData!AK69/1000)/'Table T9'!B39</f>
        <v>0.33146918049909468</v>
      </c>
      <c r="E39" s="54">
        <f>((RawData!AO69+RawData!AP69+RawData!AQ69+RawData!AR69+RawData!AS69+RawData!AT69)/1000)/'Table T9'!B39</f>
        <v>0.30925934680151818</v>
      </c>
      <c r="F39" s="54">
        <f>((RawData!AN69+RawData!AL69)/1000)/'Table T9'!B39</f>
        <v>9.5215011609812938E-2</v>
      </c>
      <c r="G39" s="54">
        <f>((RawData!AU69+RawData!AX69)/1000)/'Table T9'!B39</f>
        <v>0.12055967662034583</v>
      </c>
      <c r="H39" s="54">
        <f t="shared" si="13"/>
        <v>1.1468553924441294E-2</v>
      </c>
      <c r="I39" s="434">
        <f>'Table T5'!O43</f>
        <v>1313</v>
      </c>
      <c r="J39" s="59">
        <f>(RawData!BB69/1000)/'Table T9'!$I39</f>
        <v>0.17212490479817213</v>
      </c>
      <c r="K39" s="59">
        <f>(RawData!AZ69/1000)/'Table T9'!$I39</f>
        <v>0.24067022086824066</v>
      </c>
      <c r="L39" s="54">
        <f>((RawData!BD69+RawData!BE69+RawData!BF69+RawData!BG69+RawData!BH69+RawData!BI69)/1000)/'Table T9'!I39</f>
        <v>0.36938309215536941</v>
      </c>
      <c r="M39" s="54">
        <f>((RawData!BA69+RawData!BC69)/1000)/'Table T9'!I39</f>
        <v>0.10053313023610053</v>
      </c>
      <c r="N39" s="54">
        <f>((RawData!BJ69+RawData!BM69)/1000)/'Table T9'!I39</f>
        <v>0.11424219345011424</v>
      </c>
      <c r="O39" s="54">
        <f t="shared" si="14"/>
        <v>3.0464584920030791E-3</v>
      </c>
      <c r="P39" s="434">
        <f t="shared" si="5"/>
        <v>2261.9929999999999</v>
      </c>
      <c r="Q39" s="59">
        <f t="shared" si="7"/>
        <v>0.10875365219963101</v>
      </c>
      <c r="R39" s="59">
        <f t="shared" si="8"/>
        <v>0.38417448683528199</v>
      </c>
      <c r="S39" s="54">
        <f t="shared" si="9"/>
        <v>0.2743598233946789</v>
      </c>
      <c r="T39" s="54">
        <f t="shared" si="10"/>
        <v>9.2128048141616695E-2</v>
      </c>
      <c r="U39" s="54">
        <f t="shared" si="11"/>
        <v>0.12422673279713951</v>
      </c>
      <c r="V39" s="437">
        <f t="shared" si="12"/>
        <v>1.6357256631651874E-2</v>
      </c>
    </row>
    <row r="40" spans="1:22" ht="16" thickBot="1">
      <c r="A40" s="34">
        <v>2012</v>
      </c>
      <c r="B40" s="386">
        <f>'Table T5'!G44</f>
        <v>3959.9929999999999</v>
      </c>
      <c r="C40" s="63">
        <f>(RawData!AM70/1000)/'Table T9'!B40</f>
        <v>0.13636387741089442</v>
      </c>
      <c r="D40" s="63">
        <f>(RawData!AK70/1000)/'Table T9'!B40</f>
        <v>0.30328336438978554</v>
      </c>
      <c r="E40" s="63">
        <f>((RawData!AO70+RawData!AP70+RawData!AQ70+RawData!AR70+RawData!AS70+RawData!AT70)/1000)/'Table T9'!B40</f>
        <v>0.32146521471123812</v>
      </c>
      <c r="F40" s="63">
        <f>((RawData!AN70+RawData!AL70)/1000)/'Table T9'!B40</f>
        <v>0.10085699646438769</v>
      </c>
      <c r="G40" s="63">
        <f>((RawData!AU70+RawData!AX70)/1000)/'Table T9'!B40</f>
        <v>0.12575779805671375</v>
      </c>
      <c r="H40" s="63">
        <f t="shared" si="13"/>
        <v>1.2272748966980523E-2</v>
      </c>
      <c r="I40" s="435">
        <f>'Table T5'!O44</f>
        <v>1490</v>
      </c>
      <c r="J40" s="65">
        <f>(RawData!BB70/1000)/'Table T9'!$I40</f>
        <v>0.17651006711409395</v>
      </c>
      <c r="K40" s="65">
        <f>(RawData!AZ70/1000)/'Table T9'!$I40</f>
        <v>0.21073825503355706</v>
      </c>
      <c r="L40" s="63">
        <f>((RawData!BD70+RawData!BE70+RawData!BF70+RawData!BG70+RawData!BH70+RawData!BI70)/1000)/'Table T9'!I40</f>
        <v>0.41073825503355704</v>
      </c>
      <c r="M40" s="63">
        <f>((RawData!BA70+RawData!BC70)/1000)/'Table T9'!I40</f>
        <v>9.4630872483221481E-2</v>
      </c>
      <c r="N40" s="63">
        <f>((RawData!BJ70+RawData!BM70)/1000)/'Table T9'!I40</f>
        <v>0.10268456375838926</v>
      </c>
      <c r="O40" s="63">
        <f t="shared" si="14"/>
        <v>4.6979865771811791E-3</v>
      </c>
      <c r="P40" s="435">
        <f t="shared" si="5"/>
        <v>2469.9929999999999</v>
      </c>
      <c r="Q40" s="65">
        <f t="shared" si="7"/>
        <v>0.11214606681071566</v>
      </c>
      <c r="R40" s="65">
        <f t="shared" si="8"/>
        <v>0.35911032946247218</v>
      </c>
      <c r="S40" s="63">
        <f t="shared" si="9"/>
        <v>0.26761209444723122</v>
      </c>
      <c r="T40" s="63">
        <f t="shared" si="10"/>
        <v>0.10461284708094314</v>
      </c>
      <c r="U40" s="63">
        <f t="shared" si="11"/>
        <v>0.13967650920468197</v>
      </c>
      <c r="V40" s="438">
        <f t="shared" si="12"/>
        <v>1.6842152993955913E-2</v>
      </c>
    </row>
    <row r="41" spans="1:22" ht="13" thickTop="1"/>
  </sheetData>
  <mergeCells count="25">
    <mergeCell ref="A3:V3"/>
    <mergeCell ref="B7:B8"/>
    <mergeCell ref="B6:H6"/>
    <mergeCell ref="I6:O6"/>
    <mergeCell ref="I7:I8"/>
    <mergeCell ref="N7:N8"/>
    <mergeCell ref="O7:O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M7:M8"/>
    <mergeCell ref="P6:V6"/>
    <mergeCell ref="P7:P8"/>
    <mergeCell ref="Q7:Q8"/>
    <mergeCell ref="R7:R8"/>
    <mergeCell ref="S7:S8"/>
    <mergeCell ref="T7:T8"/>
    <mergeCell ref="U7:U8"/>
    <mergeCell ref="V7:V8"/>
  </mergeCells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Graphiques</vt:lpstr>
      </vt:variant>
      <vt:variant>
        <vt:i4>6</vt:i4>
      </vt:variant>
    </vt:vector>
  </HeadingPairs>
  <TitlesOfParts>
    <vt:vector size="18" baseType="lpstr">
      <vt:lpstr>Table T1</vt:lpstr>
      <vt:lpstr>Table T2</vt:lpstr>
      <vt:lpstr>Table T3</vt:lpstr>
      <vt:lpstr>Table T4</vt:lpstr>
      <vt:lpstr>Table T5</vt:lpstr>
      <vt:lpstr>Table T6</vt:lpstr>
      <vt:lpstr>Table T7</vt:lpstr>
      <vt:lpstr>Table T8</vt:lpstr>
      <vt:lpstr>Table T9</vt:lpstr>
      <vt:lpstr>Table T10</vt:lpstr>
      <vt:lpstr>Table T11</vt:lpstr>
      <vt:lpstr>RawData</vt:lpstr>
      <vt:lpstr>Figure T1</vt:lpstr>
      <vt:lpstr>Figure T2</vt:lpstr>
      <vt:lpstr>Figure T3</vt:lpstr>
      <vt:lpstr>Figure T4</vt:lpstr>
      <vt:lpstr>Figure T5</vt:lpstr>
      <vt:lpstr>Figure 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Zucman</dc:creator>
  <cp:lastModifiedBy>Gabriel Zucman</cp:lastModifiedBy>
  <cp:lastPrinted>2013-07-07T16:07:57Z</cp:lastPrinted>
  <dcterms:created xsi:type="dcterms:W3CDTF">2010-12-09T11:06:22Z</dcterms:created>
  <dcterms:modified xsi:type="dcterms:W3CDTF">2013-11-24T11:30:12Z</dcterms:modified>
</cp:coreProperties>
</file>