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2.xml" ContentType="application/vnd.openxmlformats-officedocument.spreadsheetml.chartsheet+xml"/>
  <Override PartName="/xl/worksheets/sheet8.xml" ContentType="application/vnd.openxmlformats-officedocument.spreadsheetml.worksheet+xml"/>
  <Override PartName="/xl/chartsheets/sheet3.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4.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comments1.xml" ContentType="application/vnd.openxmlformats-officedocument.spreadsheetml.comment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913"/>
  <workbookPr showInkAnnotation="0" autoCompressPictures="0"/>
  <bookViews>
    <workbookView xWindow="0" yWindow="0" windowWidth="25600" windowHeight="14520" tabRatio="817"/>
  </bookViews>
  <sheets>
    <sheet name="Graphique 1" sheetId="7" r:id="rId1"/>
    <sheet name="Données-G1" sheetId="6" r:id="rId2"/>
    <sheet name="Tableau 1" sheetId="12" r:id="rId3"/>
    <sheet name="Données-T1" sheetId="9" r:id="rId4"/>
    <sheet name="Tableau 2" sheetId="11" r:id="rId5"/>
    <sheet name="Données-T2" sheetId="10" r:id="rId6"/>
    <sheet name="Tableau 3" sheetId="20" r:id="rId7"/>
    <sheet name="Données-T3" sheetId="16" r:id="rId8"/>
    <sheet name="Graphique 2" sheetId="13" r:id="rId9"/>
    <sheet name="Données-G2" sheetId="14" r:id="rId10"/>
    <sheet name="Graphique 3" sheetId="17" r:id="rId11"/>
    <sheet name="Données-G3" sheetId="18" r:id="rId12"/>
    <sheet name="Tableau 4" sheetId="22" r:id="rId13"/>
    <sheet name="Graphique 4" sheetId="2" r:id="rId14"/>
    <sheet name="Données-G4" sheetId="1" r:id="rId15"/>
    <sheet name="Tableau 5" sheetId="21" r:id="rId16"/>
  </sheets>
  <definedNames>
    <definedName name="B_SEULS_NOVIEUX" localSheetId="6">#REF!</definedName>
    <definedName name="B_SEULS_NOVIEUX" localSheetId="15">#REF!</definedName>
    <definedName name="B_SEULS_NOVIEUX">#REF!</definedName>
    <definedName name="column_head" localSheetId="6">#REF!</definedName>
    <definedName name="column_head" localSheetId="15">#REF!</definedName>
    <definedName name="column_head">#REF!</definedName>
    <definedName name="column_headings" localSheetId="11">#REF!</definedName>
    <definedName name="column_headings" localSheetId="6">#REF!</definedName>
    <definedName name="column_headings" localSheetId="15">#REF!</definedName>
    <definedName name="column_headings">#REF!</definedName>
    <definedName name="column_numbers" localSheetId="11">#REF!</definedName>
    <definedName name="column_numbers" localSheetId="6">#REF!</definedName>
    <definedName name="column_numbers" localSheetId="15">#REF!</definedName>
    <definedName name="column_numbers">#REF!</definedName>
    <definedName name="d" localSheetId="11">#REF!</definedName>
    <definedName name="data" localSheetId="11">#REF!</definedName>
    <definedName name="data" localSheetId="6">#REF!</definedName>
    <definedName name="data" localSheetId="15">#REF!</definedName>
    <definedName name="data">#REF!</definedName>
    <definedName name="data2" localSheetId="6">#REF!</definedName>
    <definedName name="data2" localSheetId="15">#REF!</definedName>
    <definedName name="data2">#REF!</definedName>
    <definedName name="e" localSheetId="11">#REF!</definedName>
    <definedName name="ea_flux" localSheetId="11">#REF!</definedName>
    <definedName name="ea_flux" localSheetId="6">#REF!</definedName>
    <definedName name="ea_flux" localSheetId="15">#REF!</definedName>
    <definedName name="ea_flux">#REF!</definedName>
    <definedName name="Equilibre" localSheetId="11">#REF!</definedName>
    <definedName name="Equilibre" localSheetId="6">#REF!</definedName>
    <definedName name="Equilibre" localSheetId="15">#REF!</definedName>
    <definedName name="Equilibre">#REF!</definedName>
    <definedName name="f" localSheetId="11">#REF!</definedName>
    <definedName name="fig4b" localSheetId="6">#REF!</definedName>
    <definedName name="fig4b" localSheetId="15">#REF!</definedName>
    <definedName name="fig4b">#REF!</definedName>
    <definedName name="footnotes" localSheetId="11">#REF!</definedName>
    <definedName name="footnotes" localSheetId="2">#REF!</definedName>
    <definedName name="footnotes" localSheetId="6">#REF!</definedName>
    <definedName name="footnotes" localSheetId="15">#REF!</definedName>
    <definedName name="footnotes">#REF!</definedName>
    <definedName name="footnotes2" localSheetId="2">#REF!</definedName>
    <definedName name="footnotes2" localSheetId="6">#REF!</definedName>
    <definedName name="footnotes2" localSheetId="15">#REF!</definedName>
    <definedName name="footnotes2">#REF!</definedName>
    <definedName name="gg" localSheetId="11">#REF!</definedName>
    <definedName name="head" localSheetId="11">#REF!</definedName>
    <definedName name="name" localSheetId="11">#REF!</definedName>
    <definedName name="name2" localSheetId="11">#REF!</definedName>
    <definedName name="name3" localSheetId="11">#REF!</definedName>
    <definedName name="name4" localSheetId="11">#REF!</definedName>
    <definedName name="nb" localSheetId="11">#REF!</definedName>
    <definedName name="PIB" localSheetId="11">#REF!</definedName>
    <definedName name="PIB" localSheetId="6">#REF!</definedName>
    <definedName name="PIB" localSheetId="15">#REF!</definedName>
    <definedName name="PIB">#REF!</definedName>
    <definedName name="ressources" localSheetId="11">#REF!</definedName>
    <definedName name="ressources" localSheetId="6">#REF!</definedName>
    <definedName name="ressources" localSheetId="15">#REF!</definedName>
    <definedName name="ressources">#REF!</definedName>
    <definedName name="rpflux" localSheetId="11">#REF!</definedName>
    <definedName name="rpflux" localSheetId="6">#REF!</definedName>
    <definedName name="rpflux" localSheetId="15">#REF!</definedName>
    <definedName name="rpflux">#REF!</definedName>
    <definedName name="rptof" localSheetId="11">#REF!</definedName>
    <definedName name="rptof" localSheetId="6">#REF!</definedName>
    <definedName name="rptof" localSheetId="15">#REF!</definedName>
    <definedName name="rptof">#REF!</definedName>
    <definedName name="spanners_level1" localSheetId="11">#REF!</definedName>
    <definedName name="spanners_level1" localSheetId="2">#REF!</definedName>
    <definedName name="spanners_level1" localSheetId="6">#REF!</definedName>
    <definedName name="spanners_level1" localSheetId="15">#REF!</definedName>
    <definedName name="spanners_level1">#REF!</definedName>
    <definedName name="spanners_level2" localSheetId="11">#REF!</definedName>
    <definedName name="spanners_level2" localSheetId="2">#REF!</definedName>
    <definedName name="spanners_level2" localSheetId="6">#REF!</definedName>
    <definedName name="spanners_level2" localSheetId="15">#REF!</definedName>
    <definedName name="spanners_level2">#REF!</definedName>
    <definedName name="spanners_level3" localSheetId="11">#REF!</definedName>
    <definedName name="spanners_level3" localSheetId="2">#REF!</definedName>
    <definedName name="spanners_level3" localSheetId="6">#REF!</definedName>
    <definedName name="spanners_level3" localSheetId="15">#REF!</definedName>
    <definedName name="spanners_level3">#REF!</definedName>
    <definedName name="spanners_level4" localSheetId="11">#REF!</definedName>
    <definedName name="spanners_level4" localSheetId="2">#REF!</definedName>
    <definedName name="spanners_level4" localSheetId="6">#REF!</definedName>
    <definedName name="spanners_level4" localSheetId="15">#REF!</definedName>
    <definedName name="spanners_level4">#REF!</definedName>
    <definedName name="spanners_level5" localSheetId="11">#REF!</definedName>
    <definedName name="spanners_level5" localSheetId="2">#REF!</definedName>
    <definedName name="spanners_level5" localSheetId="6">#REF!</definedName>
    <definedName name="spanners_level5" localSheetId="15">#REF!</definedName>
    <definedName name="spanners_level5">#REF!</definedName>
    <definedName name="spanners_levelV" localSheetId="2">#REF!</definedName>
    <definedName name="spanners_levelV" localSheetId="6">#REF!</definedName>
    <definedName name="spanners_levelV" localSheetId="15">#REF!</definedName>
    <definedName name="spanners_levelV">#REF!</definedName>
    <definedName name="spanners_levelX" localSheetId="2">#REF!</definedName>
    <definedName name="spanners_levelX" localSheetId="6">#REF!</definedName>
    <definedName name="spanners_levelX" localSheetId="15">#REF!</definedName>
    <definedName name="spanners_levelX">#REF!</definedName>
    <definedName name="spanners_levelY" localSheetId="2">#REF!</definedName>
    <definedName name="spanners_levelY" localSheetId="6">#REF!</definedName>
    <definedName name="spanners_levelY" localSheetId="15">#REF!</definedName>
    <definedName name="spanners_levelY">#REF!</definedName>
    <definedName name="spanners_levelZ" localSheetId="2">#REF!</definedName>
    <definedName name="spanners_levelZ" localSheetId="6">#REF!</definedName>
    <definedName name="spanners_levelZ" localSheetId="15">#REF!</definedName>
    <definedName name="spanners_levelZ">#REF!</definedName>
    <definedName name="stub_lines" localSheetId="11">#REF!</definedName>
    <definedName name="stub_lines" localSheetId="6">#REF!</definedName>
    <definedName name="stub_lines" localSheetId="15">#REF!</definedName>
    <definedName name="stub_lines">#REF!</definedName>
    <definedName name="temp" localSheetId="2">#REF!</definedName>
    <definedName name="temp" localSheetId="6">#REF!</definedName>
    <definedName name="temp" localSheetId="15">#REF!</definedName>
    <definedName name="temp">#REF!</definedName>
    <definedName name="titles" localSheetId="11">#REF!</definedName>
    <definedName name="titles" localSheetId="6">#REF!</definedName>
    <definedName name="titles" localSheetId="15">#REF!</definedName>
    <definedName name="titles">#REF!</definedName>
    <definedName name="totals" localSheetId="11">#REF!</definedName>
    <definedName name="totals" localSheetId="6">#REF!</definedName>
    <definedName name="totals" localSheetId="15">#REF!</definedName>
    <definedName name="totals">#REF!</definedName>
    <definedName name="xxx" localSheetId="2">#REF!</definedName>
    <definedName name="xxx" localSheetId="6">#REF!</definedName>
    <definedName name="xxx" localSheetId="15">#REF!</definedName>
    <definedName name="xxx">#REF!</definedName>
    <definedName name="_xlnm.Print_Area" localSheetId="2">'Tableau 1'!$C$2:$G$44</definedName>
    <definedName name="_xlnm.Print_Area" localSheetId="4">'Tableau 2'!$B$3:$F$34</definedName>
    <definedName name="_xlnm.Print_Area" localSheetId="6">'Tableau 3'!$B$3:$H$43</definedName>
    <definedName name="_xlnm.Print_Area" localSheetId="15">'Tableau 5'!$B$3:$F$36</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L11" i="22" l="1"/>
  <c r="L9" i="22"/>
  <c r="L8" i="22"/>
  <c r="D12" i="22"/>
  <c r="D11" i="22"/>
  <c r="D10" i="22"/>
  <c r="D8" i="22"/>
  <c r="D9" i="22"/>
  <c r="B4" i="9"/>
  <c r="B5" i="16"/>
  <c r="F5" i="16"/>
  <c r="L15" i="6"/>
  <c r="F6" i="9"/>
  <c r="F4" i="9"/>
  <c r="B6" i="9"/>
  <c r="B7" i="16"/>
  <c r="B24" i="16"/>
  <c r="C7" i="16"/>
  <c r="C5" i="16"/>
  <c r="E7" i="16"/>
  <c r="D7" i="16"/>
  <c r="F7" i="16"/>
  <c r="I7" i="16"/>
  <c r="T48" i="14"/>
  <c r="S48" i="14"/>
  <c r="S6" i="14"/>
  <c r="T6" i="14"/>
  <c r="Y6" i="14"/>
  <c r="W6" i="14"/>
  <c r="V6" i="14"/>
  <c r="Z6" i="14"/>
  <c r="AA6" i="14"/>
  <c r="S7" i="14"/>
  <c r="T7" i="14"/>
  <c r="Y7" i="14"/>
  <c r="W7" i="14"/>
  <c r="V7" i="14"/>
  <c r="Z7" i="14"/>
  <c r="AA7" i="14"/>
  <c r="S8" i="14"/>
  <c r="T8" i="14"/>
  <c r="Y8" i="14"/>
  <c r="W8" i="14"/>
  <c r="V8" i="14"/>
  <c r="Z8" i="14"/>
  <c r="AA8" i="14"/>
  <c r="S9" i="14"/>
  <c r="T9" i="14"/>
  <c r="Y9" i="14"/>
  <c r="W9" i="14"/>
  <c r="V9" i="14"/>
  <c r="Z9" i="14"/>
  <c r="AA9" i="14"/>
  <c r="S10" i="14"/>
  <c r="T10" i="14"/>
  <c r="Y10" i="14"/>
  <c r="W10" i="14"/>
  <c r="V10" i="14"/>
  <c r="Z10" i="14"/>
  <c r="AA10" i="14"/>
  <c r="S11" i="14"/>
  <c r="T11" i="14"/>
  <c r="Y11" i="14"/>
  <c r="W11" i="14"/>
  <c r="V11" i="14"/>
  <c r="Z11" i="14"/>
  <c r="AA11" i="14"/>
  <c r="S12" i="14"/>
  <c r="T12" i="14"/>
  <c r="Y12" i="14"/>
  <c r="W12" i="14"/>
  <c r="V12" i="14"/>
  <c r="Z12" i="14"/>
  <c r="AA12" i="14"/>
  <c r="S13" i="14"/>
  <c r="T13" i="14"/>
  <c r="Y13" i="14"/>
  <c r="W13" i="14"/>
  <c r="V13" i="14"/>
  <c r="Z13" i="14"/>
  <c r="AA13" i="14"/>
  <c r="S14" i="14"/>
  <c r="T14" i="14"/>
  <c r="Y14" i="14"/>
  <c r="W14" i="14"/>
  <c r="V14" i="14"/>
  <c r="Z14" i="14"/>
  <c r="AA14" i="14"/>
  <c r="AB3" i="14"/>
  <c r="AB5" i="14"/>
  <c r="AB6" i="14"/>
  <c r="AB7" i="14"/>
  <c r="AB8" i="14"/>
  <c r="AB9" i="14"/>
  <c r="AB10" i="14"/>
  <c r="AB11" i="14"/>
  <c r="AB12" i="14"/>
  <c r="AB13" i="14"/>
  <c r="AB14" i="14"/>
  <c r="S15" i="14"/>
  <c r="T15" i="14"/>
  <c r="Y15" i="14"/>
  <c r="W15" i="14"/>
  <c r="V15" i="14"/>
  <c r="Z15" i="14"/>
  <c r="AB15" i="14"/>
  <c r="S16" i="14"/>
  <c r="T16" i="14"/>
  <c r="Y16" i="14"/>
  <c r="W16" i="14"/>
  <c r="V16" i="14"/>
  <c r="Z16" i="14"/>
  <c r="AB16" i="14"/>
  <c r="S17" i="14"/>
  <c r="T17" i="14"/>
  <c r="Y17" i="14"/>
  <c r="W17" i="14"/>
  <c r="V17" i="14"/>
  <c r="Z17" i="14"/>
  <c r="AB17" i="14"/>
  <c r="S18" i="14"/>
  <c r="T18" i="14"/>
  <c r="Y18" i="14"/>
  <c r="W18" i="14"/>
  <c r="V18" i="14"/>
  <c r="Z18" i="14"/>
  <c r="AB18" i="14"/>
  <c r="S19" i="14"/>
  <c r="T19" i="14"/>
  <c r="Y19" i="14"/>
  <c r="W19" i="14"/>
  <c r="V19" i="14"/>
  <c r="Z19" i="14"/>
  <c r="AB19" i="14"/>
  <c r="S20" i="14"/>
  <c r="T20" i="14"/>
  <c r="Y20" i="14"/>
  <c r="W20" i="14"/>
  <c r="V20" i="14"/>
  <c r="Z20" i="14"/>
  <c r="AB20" i="14"/>
  <c r="S21" i="14"/>
  <c r="T21" i="14"/>
  <c r="Y21" i="14"/>
  <c r="W21" i="14"/>
  <c r="V21" i="14"/>
  <c r="Z21" i="14"/>
  <c r="AB21" i="14"/>
  <c r="S22" i="14"/>
  <c r="T22" i="14"/>
  <c r="Y22" i="14"/>
  <c r="W22" i="14"/>
  <c r="V22" i="14"/>
  <c r="Z22" i="14"/>
  <c r="AB22" i="14"/>
  <c r="S23" i="14"/>
  <c r="T23" i="14"/>
  <c r="Y23" i="14"/>
  <c r="W23" i="14"/>
  <c r="V23" i="14"/>
  <c r="Z23" i="14"/>
  <c r="AB23" i="14"/>
  <c r="S24" i="14"/>
  <c r="T24" i="14"/>
  <c r="Y24" i="14"/>
  <c r="W24" i="14"/>
  <c r="V24" i="14"/>
  <c r="Z24" i="14"/>
  <c r="AB24" i="14"/>
  <c r="S25" i="14"/>
  <c r="T25" i="14"/>
  <c r="Y25" i="14"/>
  <c r="W25" i="14"/>
  <c r="V25" i="14"/>
  <c r="Z25" i="14"/>
  <c r="AB25" i="14"/>
  <c r="S26" i="14"/>
  <c r="T26" i="14"/>
  <c r="Y26" i="14"/>
  <c r="W26" i="14"/>
  <c r="V26" i="14"/>
  <c r="Z26" i="14"/>
  <c r="AB26" i="14"/>
  <c r="S27" i="14"/>
  <c r="T27" i="14"/>
  <c r="Y27" i="14"/>
  <c r="W27" i="14"/>
  <c r="V27" i="14"/>
  <c r="Z27" i="14"/>
  <c r="AB27" i="14"/>
  <c r="S28" i="14"/>
  <c r="T28" i="14"/>
  <c r="Y28" i="14"/>
  <c r="W28" i="14"/>
  <c r="V28" i="14"/>
  <c r="Z28" i="14"/>
  <c r="AB28" i="14"/>
  <c r="S29" i="14"/>
  <c r="T29" i="14"/>
  <c r="Y29" i="14"/>
  <c r="W29" i="14"/>
  <c r="V29" i="14"/>
  <c r="Z29" i="14"/>
  <c r="AB29" i="14"/>
  <c r="S30" i="14"/>
  <c r="T30" i="14"/>
  <c r="Y30" i="14"/>
  <c r="W30" i="14"/>
  <c r="V30" i="14"/>
  <c r="Z30" i="14"/>
  <c r="AB30" i="14"/>
  <c r="S31" i="14"/>
  <c r="T31" i="14"/>
  <c r="Y31" i="14"/>
  <c r="W31" i="14"/>
  <c r="V31" i="14"/>
  <c r="Z31" i="14"/>
  <c r="AB31" i="14"/>
  <c r="S32" i="14"/>
  <c r="T32" i="14"/>
  <c r="Y32" i="14"/>
  <c r="W32" i="14"/>
  <c r="V32" i="14"/>
  <c r="Z32" i="14"/>
  <c r="AB32" i="14"/>
  <c r="S33" i="14"/>
  <c r="T33" i="14"/>
  <c r="Y33" i="14"/>
  <c r="W33" i="14"/>
  <c r="V33" i="14"/>
  <c r="Z33" i="14"/>
  <c r="AB33" i="14"/>
  <c r="S34" i="14"/>
  <c r="T34" i="14"/>
  <c r="Y34" i="14"/>
  <c r="W34" i="14"/>
  <c r="V34" i="14"/>
  <c r="Z34" i="14"/>
  <c r="AB34" i="14"/>
  <c r="S35" i="14"/>
  <c r="T35" i="14"/>
  <c r="Y35" i="14"/>
  <c r="W35" i="14"/>
  <c r="V35" i="14"/>
  <c r="Z35" i="14"/>
  <c r="AB35" i="14"/>
  <c r="S36" i="14"/>
  <c r="T36" i="14"/>
  <c r="Y36" i="14"/>
  <c r="W36" i="14"/>
  <c r="V36" i="14"/>
  <c r="Z36" i="14"/>
  <c r="AB36" i="14"/>
  <c r="S37" i="14"/>
  <c r="T37" i="14"/>
  <c r="Y37" i="14"/>
  <c r="W37" i="14"/>
  <c r="V37" i="14"/>
  <c r="Z37" i="14"/>
  <c r="AB37" i="14"/>
  <c r="S38" i="14"/>
  <c r="T38" i="14"/>
  <c r="Y38" i="14"/>
  <c r="W38" i="14"/>
  <c r="V38" i="14"/>
  <c r="Z38" i="14"/>
  <c r="AB38" i="14"/>
  <c r="S39" i="14"/>
  <c r="T39" i="14"/>
  <c r="Y39" i="14"/>
  <c r="W39" i="14"/>
  <c r="V39" i="14"/>
  <c r="Z39" i="14"/>
  <c r="AB39" i="14"/>
  <c r="S40" i="14"/>
  <c r="T40" i="14"/>
  <c r="Y40" i="14"/>
  <c r="W40" i="14"/>
  <c r="V40" i="14"/>
  <c r="Z40" i="14"/>
  <c r="AB40" i="14"/>
  <c r="S41" i="14"/>
  <c r="T41" i="14"/>
  <c r="Y41" i="14"/>
  <c r="W41" i="14"/>
  <c r="V41" i="14"/>
  <c r="Z41" i="14"/>
  <c r="AB41" i="14"/>
  <c r="S42" i="14"/>
  <c r="T42" i="14"/>
  <c r="Y42" i="14"/>
  <c r="W42" i="14"/>
  <c r="V42" i="14"/>
  <c r="Z42" i="14"/>
  <c r="AB42" i="14"/>
  <c r="S43" i="14"/>
  <c r="T43" i="14"/>
  <c r="Y43" i="14"/>
  <c r="W43" i="14"/>
  <c r="V43" i="14"/>
  <c r="Z43" i="14"/>
  <c r="AB43" i="14"/>
  <c r="S44" i="14"/>
  <c r="T44" i="14"/>
  <c r="Y44" i="14"/>
  <c r="W44" i="14"/>
  <c r="V44" i="14"/>
  <c r="Z44" i="14"/>
  <c r="AB44" i="14"/>
  <c r="S45" i="14"/>
  <c r="T45" i="14"/>
  <c r="Y45" i="14"/>
  <c r="W45" i="14"/>
  <c r="V45" i="14"/>
  <c r="Z45" i="14"/>
  <c r="AB45" i="14"/>
  <c r="S46" i="14"/>
  <c r="T46" i="14"/>
  <c r="Y46" i="14"/>
  <c r="W46" i="14"/>
  <c r="V46" i="14"/>
  <c r="Z46" i="14"/>
  <c r="AB46" i="14"/>
  <c r="S47" i="14"/>
  <c r="T47" i="14"/>
  <c r="Y47" i="14"/>
  <c r="W47" i="14"/>
  <c r="V47" i="14"/>
  <c r="Z47" i="14"/>
  <c r="AB47" i="14"/>
  <c r="Y48" i="14"/>
  <c r="W48" i="14"/>
  <c r="V48" i="14"/>
  <c r="Z48" i="14"/>
  <c r="AB48" i="14"/>
  <c r="AD48" i="14"/>
  <c r="AE49" i="14"/>
  <c r="AD24" i="14"/>
  <c r="AE24" i="14"/>
  <c r="AF24" i="14"/>
  <c r="AD25" i="14"/>
  <c r="AE25" i="14"/>
  <c r="AF25" i="14"/>
  <c r="AD26" i="14"/>
  <c r="AE26" i="14"/>
  <c r="AF26" i="14"/>
  <c r="AD27" i="14"/>
  <c r="AE27" i="14"/>
  <c r="AF27" i="14"/>
  <c r="AD28" i="14"/>
  <c r="AE28" i="14"/>
  <c r="AF28" i="14"/>
  <c r="AD29" i="14"/>
  <c r="AE29" i="14"/>
  <c r="AF29" i="14"/>
  <c r="AD30" i="14"/>
  <c r="AE30" i="14"/>
  <c r="AF30" i="14"/>
  <c r="AD31" i="14"/>
  <c r="AE31" i="14"/>
  <c r="AF31" i="14"/>
  <c r="AD32" i="14"/>
  <c r="AE32" i="14"/>
  <c r="AF32" i="14"/>
  <c r="AD33" i="14"/>
  <c r="AE33" i="14"/>
  <c r="AF33" i="14"/>
  <c r="AD34" i="14"/>
  <c r="AE34" i="14"/>
  <c r="AF34" i="14"/>
  <c r="AD35" i="14"/>
  <c r="AE35" i="14"/>
  <c r="AF35" i="14"/>
  <c r="AD36" i="14"/>
  <c r="AE36" i="14"/>
  <c r="AF36" i="14"/>
  <c r="AD37" i="14"/>
  <c r="AE37" i="14"/>
  <c r="AF37" i="14"/>
  <c r="AD38" i="14"/>
  <c r="AE38" i="14"/>
  <c r="AF38" i="14"/>
  <c r="AD39" i="14"/>
  <c r="AE39" i="14"/>
  <c r="AF39" i="14"/>
  <c r="AD40" i="14"/>
  <c r="AE40" i="14"/>
  <c r="AF40" i="14"/>
  <c r="AD41" i="14"/>
  <c r="AE41" i="14"/>
  <c r="AF41" i="14"/>
  <c r="AD42" i="14"/>
  <c r="AE42" i="14"/>
  <c r="AF42" i="14"/>
  <c r="AD43" i="14"/>
  <c r="AE43" i="14"/>
  <c r="AF43" i="14"/>
  <c r="AD44" i="14"/>
  <c r="AE44" i="14"/>
  <c r="AF44" i="14"/>
  <c r="AD45" i="14"/>
  <c r="AE45" i="14"/>
  <c r="AF45" i="14"/>
  <c r="AD46" i="14"/>
  <c r="AE46" i="14"/>
  <c r="AF46" i="14"/>
  <c r="AD47" i="14"/>
  <c r="AE47" i="14"/>
  <c r="AF47" i="14"/>
  <c r="AE48" i="14"/>
  <c r="AF48" i="14"/>
  <c r="AD23" i="14"/>
  <c r="AE23" i="14"/>
  <c r="AF23" i="14"/>
  <c r="F5" i="9"/>
  <c r="B5" i="9"/>
  <c r="B6" i="16"/>
  <c r="D5" i="9"/>
  <c r="D6" i="9"/>
  <c r="F7" i="9"/>
  <c r="B7" i="9"/>
  <c r="B8" i="16"/>
  <c r="D7" i="9"/>
  <c r="F8" i="9"/>
  <c r="B8" i="9"/>
  <c r="B9" i="16"/>
  <c r="D8" i="9"/>
  <c r="F9" i="9"/>
  <c r="B9" i="9"/>
  <c r="B10" i="16"/>
  <c r="D9" i="9"/>
  <c r="F10" i="9"/>
  <c r="B10" i="9"/>
  <c r="B11" i="16"/>
  <c r="D10" i="9"/>
  <c r="F11" i="9"/>
  <c r="B11" i="9"/>
  <c r="B12" i="16"/>
  <c r="D11" i="9"/>
  <c r="F12" i="9"/>
  <c r="B12" i="9"/>
  <c r="B13" i="16"/>
  <c r="D12" i="9"/>
  <c r="F13" i="9"/>
  <c r="B13" i="9"/>
  <c r="B14" i="16"/>
  <c r="D13" i="9"/>
  <c r="F14" i="9"/>
  <c r="B14" i="9"/>
  <c r="B15" i="16"/>
  <c r="D14" i="9"/>
  <c r="F15" i="9"/>
  <c r="B15" i="9"/>
  <c r="B16" i="16"/>
  <c r="D15" i="9"/>
  <c r="G16" i="9"/>
  <c r="H16" i="9"/>
  <c r="I16" i="9"/>
  <c r="J16" i="9"/>
  <c r="K16" i="9"/>
  <c r="F16" i="9"/>
  <c r="B16" i="9"/>
  <c r="B17" i="16"/>
  <c r="D16" i="9"/>
  <c r="D4" i="9"/>
  <c r="B17" i="9"/>
  <c r="B18" i="16"/>
  <c r="D17" i="9"/>
  <c r="C18" i="9"/>
  <c r="B18" i="9"/>
  <c r="B19" i="16"/>
  <c r="D18" i="9"/>
  <c r="B19" i="9"/>
  <c r="B20" i="16"/>
  <c r="D19" i="9"/>
  <c r="B20" i="9"/>
  <c r="B21" i="16"/>
  <c r="D20" i="9"/>
  <c r="B21" i="9"/>
  <c r="B22" i="16"/>
  <c r="D21" i="9"/>
  <c r="B22" i="9"/>
  <c r="B23" i="16"/>
  <c r="D22" i="9"/>
  <c r="D23" i="9"/>
  <c r="B36" i="18"/>
  <c r="B35" i="18"/>
  <c r="C36" i="18"/>
  <c r="C37" i="18"/>
  <c r="C38" i="18"/>
  <c r="C35" i="18"/>
  <c r="AB50" i="14"/>
  <c r="G53" i="14"/>
  <c r="G51" i="14"/>
  <c r="C18" i="16"/>
  <c r="E18" i="16"/>
  <c r="D18" i="16"/>
  <c r="F18" i="16"/>
  <c r="I18" i="16"/>
  <c r="O18" i="16"/>
  <c r="F19" i="16"/>
  <c r="I19" i="16"/>
  <c r="O19" i="16"/>
  <c r="C20" i="16"/>
  <c r="E20" i="16"/>
  <c r="D20" i="16"/>
  <c r="F20" i="16"/>
  <c r="I20" i="16"/>
  <c r="O20" i="16"/>
  <c r="C21" i="16"/>
  <c r="E21" i="16"/>
  <c r="D21" i="16"/>
  <c r="F21" i="16"/>
  <c r="I21" i="16"/>
  <c r="O21" i="16"/>
  <c r="F22" i="16"/>
  <c r="I22" i="16"/>
  <c r="O22" i="16"/>
  <c r="C23" i="16"/>
  <c r="E23" i="16"/>
  <c r="D23" i="16"/>
  <c r="F23" i="16"/>
  <c r="I23" i="16"/>
  <c r="O23" i="16"/>
  <c r="C6" i="16"/>
  <c r="E6" i="16"/>
  <c r="D6" i="16"/>
  <c r="F6" i="16"/>
  <c r="I6" i="16"/>
  <c r="O6" i="16"/>
  <c r="O7" i="16"/>
  <c r="C8" i="16"/>
  <c r="E8" i="16"/>
  <c r="D8" i="16"/>
  <c r="F8" i="16"/>
  <c r="I8" i="16"/>
  <c r="O8" i="16"/>
  <c r="C9" i="16"/>
  <c r="E9" i="16"/>
  <c r="D9" i="16"/>
  <c r="F9" i="16"/>
  <c r="I9" i="16"/>
  <c r="O9" i="16"/>
  <c r="C10" i="16"/>
  <c r="E10" i="16"/>
  <c r="D10" i="16"/>
  <c r="F10" i="16"/>
  <c r="I10" i="16"/>
  <c r="O10" i="16"/>
  <c r="C11" i="16"/>
  <c r="E11" i="16"/>
  <c r="D11" i="16"/>
  <c r="F11" i="16"/>
  <c r="I11" i="16"/>
  <c r="O11" i="16"/>
  <c r="C12" i="16"/>
  <c r="E12" i="16"/>
  <c r="D12" i="16"/>
  <c r="F12" i="16"/>
  <c r="I12" i="16"/>
  <c r="O12" i="16"/>
  <c r="C13" i="16"/>
  <c r="E13" i="16"/>
  <c r="D13" i="16"/>
  <c r="F13" i="16"/>
  <c r="I13" i="16"/>
  <c r="O13" i="16"/>
  <c r="C14" i="16"/>
  <c r="E14" i="16"/>
  <c r="D14" i="16"/>
  <c r="F14" i="16"/>
  <c r="I14" i="16"/>
  <c r="O14" i="16"/>
  <c r="C15" i="16"/>
  <c r="E15" i="16"/>
  <c r="D15" i="16"/>
  <c r="F15" i="16"/>
  <c r="I15" i="16"/>
  <c r="O15" i="16"/>
  <c r="C16" i="16"/>
  <c r="E16" i="16"/>
  <c r="D16" i="16"/>
  <c r="F16" i="16"/>
  <c r="I16" i="16"/>
  <c r="O16" i="16"/>
  <c r="C17" i="16"/>
  <c r="E17" i="16"/>
  <c r="D17" i="16"/>
  <c r="F17" i="16"/>
  <c r="I17" i="16"/>
  <c r="O17" i="16"/>
  <c r="O5" i="16"/>
  <c r="O24" i="16"/>
  <c r="I5" i="16"/>
  <c r="I24" i="16"/>
  <c r="O26" i="16"/>
  <c r="L7" i="16"/>
  <c r="S5" i="14"/>
  <c r="T5" i="14"/>
  <c r="J48" i="14"/>
  <c r="Y5" i="14"/>
  <c r="W5" i="14"/>
  <c r="U5" i="14"/>
  <c r="L5" i="14"/>
  <c r="V5" i="14"/>
  <c r="Z5" i="14"/>
  <c r="AA5" i="14"/>
  <c r="U48" i="14"/>
  <c r="U6" i="14"/>
  <c r="L6" i="14"/>
  <c r="U7" i="14"/>
  <c r="L7" i="14"/>
  <c r="U8" i="14"/>
  <c r="L8" i="14"/>
  <c r="U9" i="14"/>
  <c r="L9" i="14"/>
  <c r="U10" i="14"/>
  <c r="L10" i="14"/>
  <c r="U11" i="14"/>
  <c r="L11" i="14"/>
  <c r="U12" i="14"/>
  <c r="L12" i="14"/>
  <c r="U13" i="14"/>
  <c r="L13" i="14"/>
  <c r="U14" i="14"/>
  <c r="L14" i="14"/>
  <c r="I13" i="14"/>
  <c r="I6" i="14"/>
  <c r="I7" i="14"/>
  <c r="I8" i="14"/>
  <c r="I9" i="14"/>
  <c r="I10" i="14"/>
  <c r="I11" i="14"/>
  <c r="I12" i="14"/>
  <c r="AD13" i="14"/>
  <c r="AE13" i="14"/>
  <c r="I14" i="14"/>
  <c r="AD14" i="14"/>
  <c r="AE14" i="14"/>
  <c r="I15" i="14"/>
  <c r="U15" i="14"/>
  <c r="L15" i="14"/>
  <c r="AD15" i="14"/>
  <c r="AE15" i="14"/>
  <c r="I16" i="14"/>
  <c r="U16" i="14"/>
  <c r="L16" i="14"/>
  <c r="AD16" i="14"/>
  <c r="AE16" i="14"/>
  <c r="I17" i="14"/>
  <c r="U17" i="14"/>
  <c r="L17" i="14"/>
  <c r="AD17" i="14"/>
  <c r="AE17" i="14"/>
  <c r="I18" i="14"/>
  <c r="U18" i="14"/>
  <c r="L18" i="14"/>
  <c r="AD18" i="14"/>
  <c r="AE18" i="14"/>
  <c r="I19" i="14"/>
  <c r="U19" i="14"/>
  <c r="L19" i="14"/>
  <c r="AD19" i="14"/>
  <c r="AE19" i="14"/>
  <c r="I20" i="14"/>
  <c r="U20" i="14"/>
  <c r="L20" i="14"/>
  <c r="AD20" i="14"/>
  <c r="AE20" i="14"/>
  <c r="I21" i="14"/>
  <c r="U21" i="14"/>
  <c r="L21" i="14"/>
  <c r="AD21" i="14"/>
  <c r="AE21" i="14"/>
  <c r="I22" i="14"/>
  <c r="U22" i="14"/>
  <c r="L22" i="14"/>
  <c r="AD22" i="14"/>
  <c r="AE22" i="14"/>
  <c r="I23" i="14"/>
  <c r="U23" i="14"/>
  <c r="L23" i="14"/>
  <c r="I24" i="14"/>
  <c r="U24" i="14"/>
  <c r="L24" i="14"/>
  <c r="I25" i="14"/>
  <c r="U25" i="14"/>
  <c r="L25" i="14"/>
  <c r="I26" i="14"/>
  <c r="U26" i="14"/>
  <c r="L26" i="14"/>
  <c r="I27" i="14"/>
  <c r="U27" i="14"/>
  <c r="L27" i="14"/>
  <c r="I28" i="14"/>
  <c r="U28" i="14"/>
  <c r="L28" i="14"/>
  <c r="I29" i="14"/>
  <c r="U29" i="14"/>
  <c r="L29" i="14"/>
  <c r="I30" i="14"/>
  <c r="U30" i="14"/>
  <c r="L30" i="14"/>
  <c r="I31" i="14"/>
  <c r="U31" i="14"/>
  <c r="L31" i="14"/>
  <c r="I32" i="14"/>
  <c r="U32" i="14"/>
  <c r="L32" i="14"/>
  <c r="I33" i="14"/>
  <c r="U33" i="14"/>
  <c r="L33" i="14"/>
  <c r="I34" i="14"/>
  <c r="U34" i="14"/>
  <c r="L34" i="14"/>
  <c r="I35" i="14"/>
  <c r="U35" i="14"/>
  <c r="I36" i="14"/>
  <c r="U36" i="14"/>
  <c r="I37" i="14"/>
  <c r="U37" i="14"/>
  <c r="I38" i="14"/>
  <c r="U38" i="14"/>
  <c r="I39" i="14"/>
  <c r="U39" i="14"/>
  <c r="I40" i="14"/>
  <c r="U40" i="14"/>
  <c r="I41" i="14"/>
  <c r="U41" i="14"/>
  <c r="I42" i="14"/>
  <c r="U42" i="14"/>
  <c r="I43" i="14"/>
  <c r="U43" i="14"/>
  <c r="I44" i="14"/>
  <c r="X44" i="14"/>
  <c r="U44" i="14"/>
  <c r="I45" i="14"/>
  <c r="X45" i="14"/>
  <c r="U45" i="14"/>
  <c r="I46" i="14"/>
  <c r="X46" i="14"/>
  <c r="U46" i="14"/>
  <c r="I47" i="14"/>
  <c r="X47" i="14"/>
  <c r="U47" i="14"/>
  <c r="B48" i="14"/>
  <c r="C48" i="14"/>
  <c r="I48" i="14"/>
  <c r="X48" i="14"/>
  <c r="G48" i="14"/>
  <c r="H46" i="14"/>
  <c r="H47" i="14"/>
  <c r="E48" i="14"/>
  <c r="H48" i="14"/>
  <c r="F46" i="14"/>
  <c r="F47"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Q31" i="14"/>
  <c r="Q32" i="14"/>
  <c r="Q30" i="14"/>
  <c r="AC5" i="14"/>
  <c r="F24" i="16"/>
  <c r="H24" i="16"/>
  <c r="N6" i="16"/>
  <c r="P6" i="16"/>
  <c r="Q6" i="16"/>
  <c r="R6" i="16"/>
  <c r="P7" i="16"/>
  <c r="N7" i="16"/>
  <c r="Q7" i="16"/>
  <c r="R7" i="16"/>
  <c r="N8" i="16"/>
  <c r="P8" i="16"/>
  <c r="Q8" i="16"/>
  <c r="R8" i="16"/>
  <c r="N9" i="16"/>
  <c r="P9" i="16"/>
  <c r="Q9" i="16"/>
  <c r="R9" i="16"/>
  <c r="N10" i="16"/>
  <c r="P10" i="16"/>
  <c r="Q10" i="16"/>
  <c r="R10" i="16"/>
  <c r="N11" i="16"/>
  <c r="P11" i="16"/>
  <c r="Q11" i="16"/>
  <c r="R11" i="16"/>
  <c r="N12" i="16"/>
  <c r="P12" i="16"/>
  <c r="Q12" i="16"/>
  <c r="R12" i="16"/>
  <c r="N13" i="16"/>
  <c r="P13" i="16"/>
  <c r="Q13" i="16"/>
  <c r="R13" i="16"/>
  <c r="N14" i="16"/>
  <c r="P14" i="16"/>
  <c r="Q14" i="16"/>
  <c r="R14" i="16"/>
  <c r="N15" i="16"/>
  <c r="P15" i="16"/>
  <c r="Q15" i="16"/>
  <c r="R15" i="16"/>
  <c r="P16" i="16"/>
  <c r="N16" i="16"/>
  <c r="Q16" i="16"/>
  <c r="R16" i="16"/>
  <c r="N17" i="16"/>
  <c r="P17" i="16"/>
  <c r="Q17" i="16"/>
  <c r="R17" i="16"/>
  <c r="N19" i="16"/>
  <c r="P19" i="16"/>
  <c r="Q19" i="16"/>
  <c r="R19" i="16"/>
  <c r="N20" i="16"/>
  <c r="P20" i="16"/>
  <c r="Q20" i="16"/>
  <c r="R20" i="16"/>
  <c r="N21" i="16"/>
  <c r="P21" i="16"/>
  <c r="Q21" i="16"/>
  <c r="R21" i="16"/>
  <c r="N22" i="16"/>
  <c r="P22" i="16"/>
  <c r="Q22" i="16"/>
  <c r="R22" i="16"/>
  <c r="N23" i="16"/>
  <c r="P23" i="16"/>
  <c r="Q23" i="16"/>
  <c r="R23" i="16"/>
  <c r="P5" i="16"/>
  <c r="P18" i="16"/>
  <c r="P24" i="16"/>
  <c r="N18" i="16"/>
  <c r="N5" i="16"/>
  <c r="N24" i="16"/>
  <c r="Q24" i="16"/>
  <c r="R24" i="16"/>
  <c r="Q5" i="16"/>
  <c r="R5" i="16"/>
  <c r="Q18" i="16"/>
  <c r="M6" i="16"/>
  <c r="M7" i="16"/>
  <c r="M8" i="16"/>
  <c r="M9" i="16"/>
  <c r="M10" i="16"/>
  <c r="M11" i="16"/>
  <c r="M12" i="16"/>
  <c r="M13" i="16"/>
  <c r="M14" i="16"/>
  <c r="M15" i="16"/>
  <c r="M16" i="16"/>
  <c r="J17" i="16"/>
  <c r="M17" i="16"/>
  <c r="M18" i="16"/>
  <c r="D19" i="16"/>
  <c r="M19" i="16"/>
  <c r="M20" i="16"/>
  <c r="M21" i="16"/>
  <c r="D22" i="16"/>
  <c r="M22" i="16"/>
  <c r="M23" i="16"/>
  <c r="M24" i="16"/>
  <c r="M5" i="16"/>
  <c r="D5" i="16"/>
  <c r="G6" i="16"/>
  <c r="G7" i="16"/>
  <c r="G8" i="16"/>
  <c r="G9" i="16"/>
  <c r="G10" i="16"/>
  <c r="G11" i="16"/>
  <c r="G12" i="16"/>
  <c r="G13" i="16"/>
  <c r="G14" i="16"/>
  <c r="G15" i="16"/>
  <c r="G16" i="16"/>
  <c r="G17" i="16"/>
  <c r="G18" i="16"/>
  <c r="G19" i="16"/>
  <c r="G20" i="16"/>
  <c r="G21" i="16"/>
  <c r="G22" i="16"/>
  <c r="G23" i="16"/>
  <c r="G24" i="16"/>
  <c r="G5" i="16"/>
  <c r="E24" i="16"/>
  <c r="C19" i="16"/>
  <c r="C22" i="16"/>
  <c r="C24" i="16"/>
  <c r="F5" i="14"/>
  <c r="H5" i="14"/>
  <c r="I5" i="14"/>
  <c r="K5" i="14"/>
  <c r="F6" i="14"/>
  <c r="H6" i="14"/>
  <c r="K6" i="14"/>
  <c r="AC6" i="14"/>
  <c r="F7" i="14"/>
  <c r="H7" i="14"/>
  <c r="K7" i="14"/>
  <c r="AC7" i="14"/>
  <c r="F8" i="14"/>
  <c r="H8" i="14"/>
  <c r="K8" i="14"/>
  <c r="AC8" i="14"/>
  <c r="F9" i="14"/>
  <c r="H9" i="14"/>
  <c r="K9" i="14"/>
  <c r="AC9" i="14"/>
  <c r="F10" i="14"/>
  <c r="H10" i="14"/>
  <c r="K10" i="14"/>
  <c r="AC10" i="14"/>
  <c r="F11" i="14"/>
  <c r="H11" i="14"/>
  <c r="K11" i="14"/>
  <c r="AC11" i="14"/>
  <c r="F12" i="14"/>
  <c r="H12" i="14"/>
  <c r="K12" i="14"/>
  <c r="AC12" i="14"/>
  <c r="D13" i="14"/>
  <c r="F13" i="14"/>
  <c r="H13" i="14"/>
  <c r="K13" i="14"/>
  <c r="AC13" i="14"/>
  <c r="F14" i="14"/>
  <c r="H14" i="14"/>
  <c r="K14" i="14"/>
  <c r="AC14" i="14"/>
  <c r="F15" i="14"/>
  <c r="H15" i="14"/>
  <c r="K15" i="14"/>
  <c r="AA15" i="14"/>
  <c r="AC15" i="14"/>
  <c r="F16" i="14"/>
  <c r="H16" i="14"/>
  <c r="K16" i="14"/>
  <c r="AA16" i="14"/>
  <c r="AC16" i="14"/>
  <c r="F17" i="14"/>
  <c r="H17" i="14"/>
  <c r="K17" i="14"/>
  <c r="AA17" i="14"/>
  <c r="AC17" i="14"/>
  <c r="F18" i="14"/>
  <c r="H18" i="14"/>
  <c r="K18" i="14"/>
  <c r="AA18" i="14"/>
  <c r="AC18" i="14"/>
  <c r="F19" i="14"/>
  <c r="H19" i="14"/>
  <c r="K19" i="14"/>
  <c r="AA19" i="14"/>
  <c r="AC19" i="14"/>
  <c r="F20" i="14"/>
  <c r="H20" i="14"/>
  <c r="K20" i="14"/>
  <c r="AA20" i="14"/>
  <c r="AC20" i="14"/>
  <c r="F21" i="14"/>
  <c r="H21" i="14"/>
  <c r="K21" i="14"/>
  <c r="AA21" i="14"/>
  <c r="AC21" i="14"/>
  <c r="F22" i="14"/>
  <c r="H22" i="14"/>
  <c r="K22" i="14"/>
  <c r="AA22" i="14"/>
  <c r="AC22" i="14"/>
  <c r="F23" i="14"/>
  <c r="H23" i="14"/>
  <c r="K23" i="14"/>
  <c r="AA23" i="14"/>
  <c r="AC23" i="14"/>
  <c r="F24" i="14"/>
  <c r="H24" i="14"/>
  <c r="K24" i="14"/>
  <c r="AA24" i="14"/>
  <c r="AC24" i="14"/>
  <c r="F25" i="14"/>
  <c r="H25" i="14"/>
  <c r="K25" i="14"/>
  <c r="AA25" i="14"/>
  <c r="AC25" i="14"/>
  <c r="F26" i="14"/>
  <c r="H26" i="14"/>
  <c r="K26" i="14"/>
  <c r="AA26" i="14"/>
  <c r="AC26" i="14"/>
  <c r="F27" i="14"/>
  <c r="H27" i="14"/>
  <c r="K27" i="14"/>
  <c r="AA27" i="14"/>
  <c r="AC27" i="14"/>
  <c r="F28" i="14"/>
  <c r="H28" i="14"/>
  <c r="K28" i="14"/>
  <c r="AA28" i="14"/>
  <c r="AC28" i="14"/>
  <c r="F29" i="14"/>
  <c r="H29" i="14"/>
  <c r="K29" i="14"/>
  <c r="AA29" i="14"/>
  <c r="AC29" i="14"/>
  <c r="F30" i="14"/>
  <c r="H30" i="14"/>
  <c r="K30" i="14"/>
  <c r="AA30" i="14"/>
  <c r="AC30" i="14"/>
  <c r="F31" i="14"/>
  <c r="H31" i="14"/>
  <c r="K31" i="14"/>
  <c r="AA31" i="14"/>
  <c r="AC31" i="14"/>
  <c r="F32" i="14"/>
  <c r="H32" i="14"/>
  <c r="K32" i="14"/>
  <c r="AA32" i="14"/>
  <c r="AC32" i="14"/>
  <c r="F33" i="14"/>
  <c r="H33" i="14"/>
  <c r="K33" i="14"/>
  <c r="AA33" i="14"/>
  <c r="AC33" i="14"/>
  <c r="F34" i="14"/>
  <c r="H34" i="14"/>
  <c r="K34" i="14"/>
  <c r="AA34" i="14"/>
  <c r="AC34" i="14"/>
  <c r="F35" i="14"/>
  <c r="H35" i="14"/>
  <c r="K35" i="14"/>
  <c r="AA35" i="14"/>
  <c r="AC35" i="14"/>
  <c r="F36" i="14"/>
  <c r="H36" i="14"/>
  <c r="K36" i="14"/>
  <c r="AA36" i="14"/>
  <c r="AC36" i="14"/>
  <c r="F37" i="14"/>
  <c r="H37" i="14"/>
  <c r="K37" i="14"/>
  <c r="AA37" i="14"/>
  <c r="AC37" i="14"/>
  <c r="F38" i="14"/>
  <c r="H38" i="14"/>
  <c r="K38" i="14"/>
  <c r="AA38" i="14"/>
  <c r="AC38" i="14"/>
  <c r="F39" i="14"/>
  <c r="H39" i="14"/>
  <c r="K39" i="14"/>
  <c r="AA39" i="14"/>
  <c r="AC39" i="14"/>
  <c r="F40" i="14"/>
  <c r="H40" i="14"/>
  <c r="K40" i="14"/>
  <c r="AA40" i="14"/>
  <c r="AC40" i="14"/>
  <c r="F41" i="14"/>
  <c r="H41" i="14"/>
  <c r="K41" i="14"/>
  <c r="AA41" i="14"/>
  <c r="AC41" i="14"/>
  <c r="F42" i="14"/>
  <c r="H42" i="14"/>
  <c r="K42" i="14"/>
  <c r="AA42" i="14"/>
  <c r="AC42" i="14"/>
  <c r="F43" i="14"/>
  <c r="H43" i="14"/>
  <c r="K43" i="14"/>
  <c r="AA43" i="14"/>
  <c r="AC43" i="14"/>
  <c r="F44" i="14"/>
  <c r="H44" i="14"/>
  <c r="K44" i="14"/>
  <c r="AA44" i="14"/>
  <c r="AC44" i="14"/>
  <c r="F45" i="14"/>
  <c r="H45" i="14"/>
  <c r="K45" i="14"/>
  <c r="AA45" i="14"/>
  <c r="AC45" i="14"/>
  <c r="K46" i="14"/>
  <c r="AA46" i="14"/>
  <c r="AC46" i="14"/>
  <c r="K47" i="14"/>
  <c r="AA47" i="14"/>
  <c r="AC47" i="14"/>
  <c r="K48" i="14"/>
  <c r="AA48" i="14"/>
  <c r="AC48" i="14"/>
  <c r="C15" i="6"/>
  <c r="D15" i="6"/>
  <c r="E15" i="6"/>
  <c r="G15" i="6"/>
  <c r="H14" i="6"/>
  <c r="H15" i="6"/>
  <c r="J14" i="6"/>
  <c r="J15" i="6"/>
  <c r="M15" i="6"/>
  <c r="P14" i="6"/>
  <c r="P15" i="6"/>
  <c r="B15" i="6"/>
  <c r="H3" i="10"/>
  <c r="H4" i="10"/>
  <c r="F4" i="10"/>
  <c r="F5" i="10"/>
  <c r="H5" i="10"/>
  <c r="F6" i="10"/>
  <c r="H6" i="10"/>
  <c r="H7" i="10"/>
  <c r="F7" i="10"/>
  <c r="F10" i="10"/>
  <c r="H10" i="10"/>
  <c r="F9" i="10"/>
  <c r="H9" i="10"/>
  <c r="G10" i="10"/>
  <c r="F3" i="10"/>
  <c r="G4" i="10"/>
  <c r="G6" i="10"/>
  <c r="B24" i="9"/>
  <c r="C23" i="9"/>
  <c r="C16" i="9"/>
  <c r="C15" i="9"/>
  <c r="C14" i="9"/>
  <c r="C13" i="9"/>
  <c r="C12" i="9"/>
  <c r="C11" i="9"/>
  <c r="C10" i="9"/>
  <c r="C9" i="9"/>
  <c r="C8" i="9"/>
  <c r="C7" i="9"/>
  <c r="C6" i="9"/>
  <c r="C5" i="9"/>
  <c r="F14" i="6"/>
  <c r="F10" i="6"/>
  <c r="M9" i="6"/>
  <c r="M8" i="6"/>
  <c r="M7" i="6"/>
  <c r="M6" i="6"/>
  <c r="M5" i="6"/>
  <c r="M4" i="6"/>
  <c r="M3" i="6"/>
  <c r="P3" i="6"/>
  <c r="H3" i="6"/>
  <c r="J3" i="6"/>
  <c r="K3" i="6"/>
  <c r="F12" i="6"/>
  <c r="P9" i="6"/>
  <c r="F9" i="6"/>
  <c r="P10" i="6"/>
  <c r="P11" i="6"/>
  <c r="P12" i="6"/>
  <c r="H12" i="6"/>
  <c r="J12" i="6"/>
  <c r="K12" i="6"/>
  <c r="P13" i="6"/>
  <c r="K14" i="6"/>
  <c r="P4" i="6"/>
  <c r="P5" i="6"/>
  <c r="P6" i="6"/>
  <c r="P7" i="6"/>
  <c r="F7" i="6"/>
  <c r="P8" i="6"/>
  <c r="F8" i="6"/>
  <c r="L3" i="6"/>
  <c r="H8" i="6"/>
  <c r="J8" i="6"/>
  <c r="K8" i="6"/>
  <c r="L8" i="6"/>
  <c r="H7" i="6"/>
  <c r="J7" i="6"/>
  <c r="K7" i="6"/>
  <c r="L7" i="6"/>
  <c r="H6" i="6"/>
  <c r="J6" i="6"/>
  <c r="K6" i="6"/>
  <c r="L6" i="6"/>
  <c r="H5" i="6"/>
  <c r="J5" i="6"/>
  <c r="K5" i="6"/>
  <c r="L5" i="6"/>
  <c r="H4" i="6"/>
  <c r="J4" i="6"/>
  <c r="K4" i="6"/>
  <c r="L4" i="6"/>
  <c r="H11" i="6"/>
  <c r="J11" i="6"/>
  <c r="K11" i="6"/>
  <c r="H10" i="6"/>
  <c r="J10" i="6"/>
  <c r="K10" i="6"/>
  <c r="H9" i="6"/>
  <c r="J9" i="6"/>
  <c r="K9" i="6"/>
  <c r="L9" i="6"/>
  <c r="L10" i="6"/>
  <c r="L11" i="6"/>
  <c r="L12" i="6"/>
  <c r="L13" i="6"/>
  <c r="F13" i="6"/>
  <c r="H13" i="6"/>
  <c r="J13" i="6"/>
  <c r="K13" i="6"/>
</calcChain>
</file>

<file path=xl/comments1.xml><?xml version="1.0" encoding="utf-8"?>
<comments xmlns="http://schemas.openxmlformats.org/spreadsheetml/2006/main">
  <authors>
    <author>Gabriel Zucman</author>
  </authors>
  <commentList>
    <comment ref="G4" authorId="0">
      <text>
        <r>
          <rPr>
            <b/>
            <sz val="9"/>
            <color indexed="81"/>
            <rFont val="Arial"/>
            <family val="2"/>
          </rPr>
          <t>Gabriel Zucman:</t>
        </r>
        <r>
          <rPr>
            <sz val="9"/>
            <color indexed="81"/>
            <rFont val="Arial"/>
            <family val="2"/>
          </rPr>
          <t xml:space="preserve">
Slightly too large from a Maastricht perspective because probably includes a little bit of interest paid on non-Maastricht debt</t>
        </r>
      </text>
    </comment>
    <comment ref="M4" authorId="0">
      <text>
        <r>
          <rPr>
            <b/>
            <sz val="9"/>
            <color indexed="81"/>
            <rFont val="Calibri"/>
            <family val="2"/>
          </rPr>
          <t>Gabriel Zucman:</t>
        </r>
        <r>
          <rPr>
            <sz val="9"/>
            <color indexed="81"/>
            <rFont val="Calibri"/>
            <family val="2"/>
          </rPr>
          <t xml:space="preserve">
Source Piketty Saez 2012, ne prend pas en compte la CSG déductible</t>
        </r>
      </text>
    </comment>
  </commentList>
</comments>
</file>

<file path=xl/sharedStrings.xml><?xml version="1.0" encoding="utf-8"?>
<sst xmlns="http://schemas.openxmlformats.org/spreadsheetml/2006/main" count="214" uniqueCount="192">
  <si>
    <t>Share belonging to Europeans</t>
  </si>
  <si>
    <t>Fraction of Europe's financial wealth held in Switzerland</t>
  </si>
  <si>
    <t>Fiduciary deposits</t>
  </si>
  <si>
    <t>Of which: foreign securities belonging to foreigners</t>
  </si>
  <si>
    <t>Of which: Swiss securities belonging to foreigners, undeclared</t>
  </si>
  <si>
    <t>Of which: foreign securities wrongly attributed to Switzerland</t>
  </si>
  <si>
    <t>Total offshore wealth in Switzerland</t>
  </si>
  <si>
    <t>Securities in custody in Swiss banks</t>
  </si>
  <si>
    <t>Memo: Europe national income</t>
  </si>
  <si>
    <t>Europe's wealth in all tax havens</t>
  </si>
  <si>
    <t>Fraction of securities in custody in Switzerland held offshore by foreigners</t>
  </si>
  <si>
    <t>European fortunes in Switzerland</t>
  </si>
  <si>
    <t>(Memo: UK + France + Germany national income)</t>
  </si>
  <si>
    <t>Memo: Europe net financial wealth/national income</t>
  </si>
  <si>
    <t>Memo: Europe's net financial wealth</t>
  </si>
  <si>
    <t>Africa</t>
  </si>
  <si>
    <t>Europe</t>
  </si>
  <si>
    <t>Pays du Golfe</t>
  </si>
  <si>
    <t xml:space="preserve">     Allemagne</t>
  </si>
  <si>
    <t xml:space="preserve">     France</t>
  </si>
  <si>
    <t xml:space="preserve">     Royaume-Uni</t>
  </si>
  <si>
    <t xml:space="preserve">     Italie</t>
  </si>
  <si>
    <t xml:space="preserve">     Espagne</t>
  </si>
  <si>
    <t xml:space="preserve">     Grèce</t>
  </si>
  <si>
    <t xml:space="preserve">     Portugal</t>
  </si>
  <si>
    <t xml:space="preserve">     Belgique</t>
  </si>
  <si>
    <t xml:space="preserve">     Suède</t>
  </si>
  <si>
    <t xml:space="preserve">     Norvège</t>
  </si>
  <si>
    <t>Total</t>
  </si>
  <si>
    <t xml:space="preserve">     Dont à travers des sociétés écran</t>
  </si>
  <si>
    <t>Milliards d'€</t>
  </si>
  <si>
    <t xml:space="preserve">     Pologne</t>
  </si>
  <si>
    <t>Russie</t>
  </si>
  <si>
    <t>Amérique latine</t>
  </si>
  <si>
    <t>Afrique</t>
  </si>
  <si>
    <t xml:space="preserve">     Autres</t>
  </si>
  <si>
    <t>Asie</t>
  </si>
  <si>
    <t>Russia (3%) is isolated from Asia (which thus decreases from 13 to 10%)</t>
  </si>
  <si>
    <t>2008-2012</t>
  </si>
  <si>
    <t>UK deposits are divided by 4 to account for sham corporations; this is very uncertain</t>
  </si>
  <si>
    <t>Non-oil Middle East countries (about 2%) are merged with Africa (which thus increases from 5% to 7%)</t>
  </si>
  <si>
    <t>Latin America is lowered by 2 percentage point and Gulf countries increased by 2 to account for recent evolution</t>
  </si>
  <si>
    <t>Within Europe, shares are obtained from 2008-2012 average shares of individual European countries in European-owned fiduciary deposits</t>
  </si>
  <si>
    <t>Fiduciary deposits official SNB data "Banks in Switzerland" 2012</t>
  </si>
  <si>
    <t>% du total</t>
  </si>
  <si>
    <t>Richesse financière du monde:</t>
  </si>
  <si>
    <t>milliards d'euros</t>
  </si>
  <si>
    <t>Dont détenue dans les paradis fiscaux</t>
  </si>
  <si>
    <t>Dont en Suisse</t>
  </si>
  <si>
    <t>milliards de dollars</t>
  </si>
  <si>
    <t>1 euros =</t>
  </si>
  <si>
    <t>dollars</t>
  </si>
  <si>
    <t>Revenu mondial</t>
  </si>
  <si>
    <t>Dont ailleurs qu'en Suisse</t>
  </si>
  <si>
    <t>Richesse financière des Européens</t>
  </si>
  <si>
    <t>Richesse offshore détenues par les Européens</t>
  </si>
  <si>
    <t>La richesse financière dans les paradis fiscaux (2013)</t>
  </si>
  <si>
    <r>
      <t xml:space="preserve">Environ 30%  des fortunes </t>
    </r>
    <r>
      <rPr>
        <i/>
        <sz val="14"/>
        <rFont val="Arial"/>
      </rPr>
      <t xml:space="preserve">offshore </t>
    </r>
    <r>
      <rPr>
        <sz val="14"/>
        <rFont val="Arial"/>
        <family val="2"/>
      </rPr>
      <t xml:space="preserve">sont en Suisse :                                                              </t>
    </r>
    <r>
      <rPr>
        <b/>
        <sz val="14"/>
        <rFont val="Arial"/>
        <family val="2"/>
      </rPr>
      <t xml:space="preserve"> 1 800  milliards €</t>
    </r>
  </si>
  <si>
    <r>
      <t xml:space="preserve">70 % sont dans les paradis fiscaux autres que la Suisse (Singapour, îles Caïmans…) :                          </t>
    </r>
    <r>
      <rPr>
        <b/>
        <sz val="14"/>
        <rFont val="Arial"/>
        <family val="2"/>
      </rPr>
      <t>4 000 milliards €</t>
    </r>
  </si>
  <si>
    <r>
      <rPr>
        <sz val="15.7"/>
        <rFont val="Arial"/>
      </rPr>
      <t>Patrimoine financier mondial</t>
    </r>
    <r>
      <rPr>
        <b/>
        <sz val="15.7"/>
        <rFont val="Arial"/>
      </rPr>
      <t xml:space="preserve"> :                                 73 000                  milliards €                         </t>
    </r>
    <r>
      <rPr>
        <sz val="15.7"/>
        <rFont val="Arial"/>
      </rPr>
      <t>(100%)</t>
    </r>
  </si>
  <si>
    <t>2013 (euros)</t>
  </si>
  <si>
    <r>
      <t xml:space="preserve">Détenu </t>
    </r>
    <r>
      <rPr>
        <i/>
        <sz val="14"/>
        <rFont val="Arial"/>
      </rPr>
      <t>offshore (</t>
    </r>
    <r>
      <rPr>
        <sz val="14"/>
        <rFont val="Arial"/>
        <family val="2"/>
      </rPr>
      <t xml:space="preserve">dans les paradis fiscaux du monde entier) :                       </t>
    </r>
    <r>
      <rPr>
        <b/>
        <sz val="14"/>
        <rFont val="Arial"/>
        <family val="2"/>
      </rPr>
      <t xml:space="preserve"> 5 800                     milliards €             </t>
    </r>
    <r>
      <rPr>
        <sz val="14"/>
        <rFont val="Arial"/>
        <family val="2"/>
      </rPr>
      <t>(8%)</t>
    </r>
  </si>
  <si>
    <r>
      <t xml:space="preserve">Détenu </t>
    </r>
    <r>
      <rPr>
        <i/>
        <sz val="14"/>
        <rFont val="Arial"/>
      </rPr>
      <t>onshore</t>
    </r>
    <r>
      <rPr>
        <sz val="14"/>
        <rFont val="Arial"/>
        <family val="2"/>
      </rPr>
      <t xml:space="preserve"> (aux États-Unis, au Japon en France…) :              </t>
    </r>
    <r>
      <rPr>
        <b/>
        <sz val="14"/>
        <rFont val="Arial"/>
        <family val="2"/>
      </rPr>
      <t xml:space="preserve">67 200                  milliards €               </t>
    </r>
    <r>
      <rPr>
        <sz val="14"/>
        <rFont val="Arial"/>
        <family val="2"/>
      </rPr>
      <t>(92 %)</t>
    </r>
  </si>
  <si>
    <r>
      <rPr>
        <sz val="14"/>
        <rFont val="Arial"/>
        <family val="2"/>
      </rPr>
      <t>Pays du Golfe :                     180 milliards €</t>
    </r>
  </si>
  <si>
    <t>Les détenteurs de comptes en Suisse</t>
  </si>
  <si>
    <t>Les placements réalisés</t>
  </si>
  <si>
    <r>
      <rPr>
        <sz val="14"/>
        <rFont val="Arial"/>
        <family val="2"/>
      </rPr>
      <t>Russie: 50 milliards €</t>
    </r>
  </si>
  <si>
    <r>
      <rPr>
        <sz val="14"/>
        <rFont val="Arial"/>
        <family val="2"/>
      </rPr>
      <t>Afrique: 120 milliards €</t>
    </r>
  </si>
  <si>
    <r>
      <rPr>
        <sz val="14"/>
        <rFont val="Arial"/>
        <family val="2"/>
      </rPr>
      <t>Amérique latine: 170 milliards €</t>
    </r>
  </si>
  <si>
    <r>
      <rPr>
        <sz val="14"/>
        <rFont val="Arial"/>
        <family val="2"/>
      </rPr>
      <t>Asie : 180 milliards €</t>
    </r>
  </si>
  <si>
    <r>
      <t>Total des fortunes gérées en Suisse :             </t>
    </r>
    <r>
      <rPr>
        <b/>
        <sz val="18"/>
        <rFont val="Arial"/>
      </rPr>
      <t>1 800 milliards €</t>
    </r>
  </si>
  <si>
    <t>Fonds d'investissements irlandais : 150 milliards €</t>
  </si>
  <si>
    <t>Obligations internationales (allemandes, etc.) :                                450 milliards €</t>
  </si>
  <si>
    <t>Autres (dépôts à terme, autres fonds…) :              200 milliards €</t>
  </si>
  <si>
    <t>Fonds d'investissements luxembourgeois :           600 milliards €</t>
  </si>
  <si>
    <t>Actions internationales (américaines, etc.) :                                         400 milliards €</t>
  </si>
  <si>
    <t>GDP</t>
  </si>
  <si>
    <t xml:space="preserve">En 2013, les banques situées sur le territoire suisse gèrent 1 800 milliards d'euros appartenant à des non-résidents. Au sein de ce total, 1 000 milliards appartiennent à des Européens. 40 % des fortunes gérées en Suisse sont placées dans des fonds d'investissements, principalement luxembourgeois. </t>
  </si>
  <si>
    <t>% of GDP</t>
  </si>
  <si>
    <t>Cumulated evaded taxes including interest incurred on extra public debt</t>
  </si>
  <si>
    <t>Evaded taxes, % of GDP</t>
  </si>
  <si>
    <t>Debt Maastricht % GDP without offshore tax evasion</t>
  </si>
  <si>
    <t>Net financial wealth households % GDP</t>
  </si>
  <si>
    <t>Primary deficit</t>
  </si>
  <si>
    <t>Deficit Maastricht % GDP</t>
  </si>
  <si>
    <t>Deficit Maastricht</t>
  </si>
  <si>
    <t>Debt Maastricht % GDP</t>
  </si>
  <si>
    <t>Public debt Maastricht (year end)</t>
  </si>
  <si>
    <t>Fortunes en Suisse</t>
  </si>
  <si>
    <t>(% du total des fortunes en Suisse)</t>
  </si>
  <si>
    <t>Fortunes dans les autres paradis fiscaux</t>
  </si>
  <si>
    <t>(% du total des fortunes dans les autres paradis fiscaux)</t>
  </si>
  <si>
    <t>Fortunes dans tous les paradis fiscaux</t>
  </si>
  <si>
    <t>(% du total des fortunes offshore)</t>
  </si>
  <si>
    <t>Taux d'imposition des revenus (dividendes, OCDE)</t>
  </si>
  <si>
    <t>Taux d'imposition des plus grandes successions</t>
  </si>
  <si>
    <t>Pertes de recettes totales</t>
  </si>
  <si>
    <t>Pertes IR</t>
  </si>
  <si>
    <t>Pertes IS</t>
  </si>
  <si>
    <t>Pertes IK</t>
  </si>
  <si>
    <t>% déclarées</t>
  </si>
  <si>
    <t>Fortunes offshore non déclarées</t>
  </si>
  <si>
    <t>Amérique du Nord</t>
  </si>
  <si>
    <r>
      <rPr>
        <sz val="14"/>
        <rFont val="Arial"/>
        <family val="2"/>
      </rPr>
      <t>Amér. du N.: 90 milliards €</t>
    </r>
  </si>
  <si>
    <t>m x mu</t>
  </si>
  <si>
    <t>Pertes IR+IK</t>
  </si>
  <si>
    <t>Pertes IR + IK (% revenu non déclaré)</t>
  </si>
  <si>
    <t>Le coût mondial du secret bancaire (2013)</t>
  </si>
  <si>
    <t>Taux d'imposition moyen des fortunes</t>
  </si>
  <si>
    <t>r (nominal)</t>
  </si>
  <si>
    <t>Evaded ISF</t>
  </si>
  <si>
    <t>Top tax rate on inheritances (Piketty Saez 2012, Fig. 1)</t>
  </si>
  <si>
    <t>Memo: top marginal income tax rate (IR + CSG)</t>
  </si>
  <si>
    <t>Evaded taxes, total, current bn €</t>
  </si>
  <si>
    <t>Net financial wealth of households (beginning of year)</t>
  </si>
  <si>
    <t>Memo: corporate tax (approx.)</t>
  </si>
  <si>
    <t>Average ISF tax rate for €15 million net wealth</t>
  </si>
  <si>
    <t>Memo: Top tax rate on wealth (ISF)</t>
  </si>
  <si>
    <t>Top tax rate on dividends (OECD since 2000, my computations before)</t>
  </si>
  <si>
    <t>Evaded income tax</t>
  </si>
  <si>
    <t>Share undeclared total net fin wealth held in tax havens</t>
  </si>
  <si>
    <t>Undeclared offshore wealth in current bn euros</t>
  </si>
  <si>
    <t>Memo: mu x m factor (Piketty 2011 Table A3)</t>
  </si>
  <si>
    <t>Evaded inheritance tax</t>
  </si>
  <si>
    <t>Interest rate paid on public debt</t>
  </si>
  <si>
    <t>1970 r=</t>
  </si>
  <si>
    <t>2013 r=</t>
  </si>
  <si>
    <t>Assumption nominal return</t>
  </si>
  <si>
    <t>Initial 1970 =</t>
  </si>
  <si>
    <t>1970 offshore =</t>
  </si>
  <si>
    <t>Assumptions</t>
  </si>
  <si>
    <t>Debt Maastricht without evaded taxes</t>
  </si>
  <si>
    <t>Losses due to bank-secrecy related tax evasion in France (income tax, inheritance tax, and wealth tax)</t>
  </si>
  <si>
    <t>Gross interest paid on public debt</t>
  </si>
  <si>
    <t>Tax havens</t>
  </si>
  <si>
    <t>Middle East</t>
  </si>
  <si>
    <t>Latin and South America</t>
  </si>
  <si>
    <t>Asia</t>
  </si>
  <si>
    <t>North America</t>
  </si>
  <si>
    <t>(Memo: Caribbean)</t>
  </si>
  <si>
    <t>Source: Zucman (2013, Appendix Table A25) through to 2008; 2009-2012: update based on SNB's Banks in Switzerland yearly data</t>
  </si>
  <si>
    <t>Pertes de recettes fiscales</t>
  </si>
  <si>
    <r>
      <t xml:space="preserve">Cost of </t>
    </r>
    <r>
      <rPr>
        <sz val="12"/>
        <color theme="1"/>
        <rFont val="Arial"/>
        <family val="2"/>
      </rPr>
      <t>offshore tax evasion</t>
    </r>
    <r>
      <rPr>
        <sz val="12"/>
        <color theme="1"/>
        <rFont val="Arial"/>
        <family val="2"/>
      </rPr>
      <t xml:space="preserve"> (pt GDP)</t>
    </r>
  </si>
  <si>
    <r>
      <rPr>
        <sz val="15.7"/>
        <rFont val="Arial"/>
      </rPr>
      <t xml:space="preserve">Patrimoine financier mondial détenu dans les paradis fiscaux :                                                                                         </t>
    </r>
    <r>
      <rPr>
        <b/>
        <sz val="15.7"/>
        <rFont val="Arial"/>
      </rPr>
      <t xml:space="preserve">5 800 milliards €  </t>
    </r>
    <r>
      <rPr>
        <sz val="15.7"/>
        <rFont val="Arial"/>
      </rPr>
      <t xml:space="preserve">                                                                                                                                   (100%)</t>
    </r>
  </si>
  <si>
    <r>
      <t xml:space="preserve">Dont fraude à l'impôt sur le revenu (intérêts et dividendes) :             </t>
    </r>
    <r>
      <rPr>
        <b/>
        <sz val="15.7"/>
        <rFont val="Arial"/>
      </rPr>
      <t>80 milliards €</t>
    </r>
  </si>
  <si>
    <r>
      <t xml:space="preserve">Dont fraude à l'impôt sur les successions :      </t>
    </r>
    <r>
      <rPr>
        <b/>
        <sz val="15.7"/>
        <rFont val="Arial"/>
      </rPr>
      <t>45 milliards €</t>
    </r>
  </si>
  <si>
    <r>
      <t xml:space="preserve">Dont fraude à l'impôt sur la fortune :                </t>
    </r>
    <r>
      <rPr>
        <b/>
        <sz val="15.7"/>
        <rFont val="Arial"/>
      </rPr>
      <t>5 milliards €</t>
    </r>
  </si>
  <si>
    <r>
      <t xml:space="preserve">Pertes annuelles de recettes fiscales totales                                 dues au secret bancaire :                                                                                             </t>
    </r>
    <r>
      <rPr>
        <b/>
        <sz val="15.7"/>
        <rFont val="Arial"/>
      </rPr>
      <t xml:space="preserve"> 130 milliards €    </t>
    </r>
    <r>
      <rPr>
        <sz val="15.7"/>
        <rFont val="Arial"/>
      </rPr>
      <t xml:space="preserve">                                                                                                                                                                 </t>
    </r>
  </si>
  <si>
    <t>Fonds monétaire international      (FMI)</t>
  </si>
  <si>
    <t>Les coalitions pour faire plier les paradis fiscaux</t>
  </si>
  <si>
    <t>Coalition optimale</t>
  </si>
  <si>
    <t>Suisse</t>
  </si>
  <si>
    <t>Hong-Kong</t>
  </si>
  <si>
    <t>Singapour</t>
  </si>
  <si>
    <t>Luxembourg</t>
  </si>
  <si>
    <t>Tarifs douaniers à instaurer</t>
  </si>
  <si>
    <t>France, Allemagne, Italie</t>
  </si>
  <si>
    <t>Bénéfices tirés du secret bancaire (% du PIB)</t>
  </si>
  <si>
    <t>PIB (Mds euros)</t>
  </si>
  <si>
    <t>Bahamas et îles Caïmans</t>
  </si>
  <si>
    <t>http://www.tid.gov.hk/english/trade_relations/mainland/trade.html</t>
  </si>
  <si>
    <t>Source trade</t>
  </si>
  <si>
    <t>Cost</t>
  </si>
  <si>
    <t>Exports to coalitoin country (% total exports)</t>
  </si>
  <si>
    <t>Exports in GDP (excl. Reexports)</t>
  </si>
  <si>
    <t>http://www.statistiques.public.lu/stat/ReportFolders/ReportFolder.aspx?IF_Language=fra&amp;MainTheme=5&amp;FldrName=4&amp;RFPath=113</t>
  </si>
  <si>
    <t>France, Allemagne, Belgique</t>
  </si>
  <si>
    <t xml:space="preserve">Etats-Unis, Canada </t>
  </si>
  <si>
    <t>Fortunes offshore (ordre de grandeur, Mds €)</t>
  </si>
  <si>
    <t>Etats-Unis, Allemagne, Royaume-Uni, France</t>
  </si>
  <si>
    <t>Pour un cadastre financier du monde</t>
  </si>
  <si>
    <t xml:space="preserve">Autres dépositaires &amp; autres sources  </t>
  </si>
  <si>
    <t xml:space="preserve">Autres administrations fiscales </t>
  </si>
  <si>
    <t>Notes: Continental shares are from Zucman (2013, Table A26, line for 2004, the last year which is note contaminated by the saving directive), with the following changes:</t>
  </si>
  <si>
    <r>
      <t xml:space="preserve">Dont déclaré :              </t>
    </r>
    <r>
      <rPr>
        <b/>
        <sz val="15.7"/>
        <rFont val="Arial"/>
      </rPr>
      <t xml:space="preserve">1 100  milliards € </t>
    </r>
    <r>
      <rPr>
        <sz val="15.7"/>
        <rFont val="Arial"/>
      </rPr>
      <t xml:space="preserve">              (20%)</t>
    </r>
  </si>
  <si>
    <r>
      <t xml:space="preserve">Dont non déclaré :                                                                                              </t>
    </r>
    <r>
      <rPr>
        <b/>
        <sz val="15.7"/>
        <rFont val="Arial"/>
      </rPr>
      <t xml:space="preserve">4 700 milliards €    </t>
    </r>
    <r>
      <rPr>
        <sz val="15.7"/>
        <rFont val="Arial"/>
      </rPr>
      <t xml:space="preserve">                                                                                        (80%)                                                                          </t>
    </r>
  </si>
  <si>
    <t>Fisc américain</t>
  </si>
  <si>
    <t>Fisc anglais</t>
  </si>
  <si>
    <t>Fisc français</t>
  </si>
  <si>
    <t>Clearstream (Luxembourg)</t>
  </si>
  <si>
    <t>Euroclear France (France)</t>
  </si>
  <si>
    <t>Despository Trust Corporation     (USA)</t>
  </si>
  <si>
    <t>Les sociétés Clearstream, Euroclear, etc. alimentent le registre financier mondial géré par le FMI. Les administrations fiscales peuvent vérifier que les contribuables déclarent bien tous les titres financiers inscrits dans le cadastre.</t>
  </si>
  <si>
    <t>Raw SNB data (which exclude Liechtenstein)</t>
  </si>
  <si>
    <t>Finance</t>
  </si>
  <si>
    <t>Industrie</t>
  </si>
  <si>
    <t>Sources : voir annexe sur Luxembourg</t>
  </si>
  <si>
    <r>
      <t xml:space="preserve">Europe :                                      </t>
    </r>
    <r>
      <rPr>
        <b/>
        <sz val="14"/>
        <rFont val="Arial"/>
        <family val="2"/>
      </rPr>
      <t>1 000 milliards €</t>
    </r>
    <r>
      <rPr>
        <sz val="14"/>
        <rFont val="Arial"/>
        <family val="2"/>
      </rPr>
      <t>.             Dont:                     Allemagne: 200 Mds €          France: 180 Mds €            Italie: 120 Mds €                  Royaume-Uni: 110 Mds €         Espagne: 80 Mds €          Grèce: 60 Mds €         Belgique: 60 Mds €           Portugal: 30 Mds €          Autres: 160 Mds €</t>
    </r>
  </si>
  <si>
    <t>En 2013, la fraude permise par le secret bancaire a coûté 130 milliards d'euros aux États du monde entier.</t>
  </si>
  <si>
    <t>Les comptes en Suisse (automne 2013)</t>
  </si>
  <si>
    <t>En 2013, les ménages placent en moyenne à l'échelle mondiale 8 % de leur patrimoine financier dans les paradis fiscaux, dont un tiers en Suisse</t>
  </si>
  <si>
    <r>
      <rPr>
        <b/>
        <u/>
        <sz val="12"/>
        <color theme="1"/>
        <rFont val="Arial"/>
      </rPr>
      <t>Notes</t>
    </r>
    <r>
      <rPr>
        <b/>
        <sz val="12"/>
        <color theme="1"/>
        <rFont val="Arial"/>
        <family val="2"/>
      </rPr>
      <t xml:space="preserve">: </t>
    </r>
    <r>
      <rPr>
        <sz val="12"/>
        <color theme="1"/>
        <rFont val="Arial"/>
        <family val="2"/>
      </rPr>
      <t>All figures in current billion US$. 1910 is the average of 1910-1919, 1920 the average of 1920-1929... and 2012 the average of 2010-12. Swiss data for 2013 are as at the end of May, and based on the July 2013 Monthly bulletin of economic statistic</t>
    </r>
    <r>
      <rPr>
        <b/>
        <sz val="12"/>
        <color theme="1"/>
        <rFont val="Arial"/>
        <family val="2"/>
      </rPr>
      <t xml:space="preserve">. </t>
    </r>
    <r>
      <rPr>
        <b/>
        <u/>
        <sz val="12"/>
        <color theme="1"/>
        <rFont val="Arial"/>
      </rPr>
      <t>Sources</t>
    </r>
    <r>
      <rPr>
        <b/>
        <sz val="12"/>
        <color theme="1"/>
        <rFont val="Arial"/>
        <family val="2"/>
      </rPr>
      <t xml:space="preserve">: </t>
    </r>
    <r>
      <rPr>
        <sz val="12"/>
        <color theme="1"/>
        <rFont val="Arial"/>
        <family val="2"/>
      </rPr>
      <t>Securities in custody in Swiss banks and fiduciary deposits: See detailed computations &amp; explanations in "SwissBanks20c.xlsx" and the Appendix of the book</t>
    </r>
    <r>
      <rPr>
        <b/>
        <sz val="12"/>
        <color theme="1"/>
        <rFont val="Arial"/>
        <family val="2"/>
      </rPr>
      <t xml:space="preserve">. </t>
    </r>
    <r>
      <rPr>
        <sz val="12"/>
        <color theme="1"/>
        <rFont val="Arial"/>
        <family val="2"/>
      </rPr>
      <t>Europe net financial wealth / national income 1910: 30% of the average 1910-1919 private wealth-national income ratio of the UK, Germany and France, as reported in Piketty-Zucman (2013, Table A5). 1920-1980: 40% of the European private wealth-income ratio in Piketty-Zucman (2013, Table A8) . 1990-2013: Eurostat (EU 27 data. Series start in 1995 and I assume the same yearly growth rate over 1990-1995 as in 1995-1996, consistent with UK, French and German data). Europe's national income 1980-2012: Eurostat data (EU27. Converted to US$ using year-average exchange rates); 2013: 2012 national income in euros times 1.3 (memo: euro/dollar exchange rate as of May 2013: 1.304); 1910-1970: based on the evolution of French, UK and German national incomes in current US dollars, as reported in Piketty-Zucman (2013, Table A153)</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</si>
</sst>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0.00\ &quot;€&quot;;[Red]\-#,##0.00\ &quot;€&quot;"/>
    <numFmt numFmtId="164" formatCode="0.0%"/>
    <numFmt numFmtId="165" formatCode="\$#,##0\ ;\(\$#,##0\)"/>
    <numFmt numFmtId="166" formatCode="#,##0.0"/>
    <numFmt numFmtId="167" formatCode="0.0"/>
    <numFmt numFmtId="168" formatCode="0.0000%"/>
  </numFmts>
  <fonts count="57" x14ac:knownFonts="1">
    <font>
      <sz val="12"/>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Calibri"/>
      <family val="2"/>
      <scheme val="minor"/>
    </font>
    <font>
      <sz val="12"/>
      <color theme="1"/>
      <name val="Arial"/>
      <family val="2"/>
    </font>
    <font>
      <sz val="12"/>
      <color theme="1"/>
      <name val="Arial"/>
      <family val="2"/>
    </font>
    <font>
      <sz val="12"/>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Calibri"/>
      <family val="2"/>
      <scheme val="minor"/>
    </font>
    <font>
      <sz val="12"/>
      <color indexed="24"/>
      <name val="Arial"/>
    </font>
    <font>
      <b/>
      <sz val="8"/>
      <color indexed="24"/>
      <name val="Times New Roman"/>
    </font>
    <font>
      <sz val="8"/>
      <color indexed="24"/>
      <name val="Times New Roman"/>
    </font>
    <font>
      <sz val="10"/>
      <name val="Verdana"/>
    </font>
    <font>
      <sz val="10"/>
      <name val="Arial"/>
    </font>
    <font>
      <sz val="7"/>
      <name val="Helvetica"/>
    </font>
    <font>
      <u/>
      <sz val="12"/>
      <color theme="10"/>
      <name val="Calibri"/>
      <family val="2"/>
      <scheme val="minor"/>
    </font>
    <font>
      <u/>
      <sz val="12"/>
      <color theme="11"/>
      <name val="Calibri"/>
      <family val="2"/>
      <scheme val="minor"/>
    </font>
    <font>
      <b/>
      <sz val="12"/>
      <color theme="1"/>
      <name val="Arial"/>
      <family val="2"/>
    </font>
    <font>
      <i/>
      <sz val="12"/>
      <color theme="1"/>
      <name val="Arial"/>
    </font>
    <font>
      <b/>
      <u/>
      <sz val="12"/>
      <color theme="1"/>
      <name val="Arial"/>
    </font>
    <font>
      <sz val="12"/>
      <color theme="1"/>
      <name val="Arial Narrow"/>
    </font>
    <font>
      <b/>
      <sz val="20"/>
      <name val="Arial"/>
      <family val="2"/>
    </font>
    <font>
      <b/>
      <sz val="16"/>
      <name val="Arial"/>
      <family val="2"/>
    </font>
    <font>
      <b/>
      <sz val="14"/>
      <name val="Arial"/>
      <family val="2"/>
    </font>
    <font>
      <sz val="14"/>
      <name val="Arial"/>
      <family val="2"/>
    </font>
    <font>
      <sz val="11"/>
      <name val="Arial"/>
    </font>
    <font>
      <sz val="11"/>
      <color indexed="8"/>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4"/>
      <name val="Arial"/>
    </font>
    <font>
      <sz val="15"/>
      <name val="Arial"/>
    </font>
    <font>
      <b/>
      <sz val="15"/>
      <name val="Arial"/>
    </font>
    <font>
      <sz val="15.7"/>
      <name val="Arial"/>
    </font>
    <font>
      <b/>
      <sz val="15.7"/>
      <name val="Arial"/>
    </font>
    <font>
      <sz val="18"/>
      <name val="Arial"/>
    </font>
    <font>
      <b/>
      <sz val="18"/>
      <name val="Arial"/>
    </font>
    <font>
      <sz val="12"/>
      <color rgb="FFFF0000"/>
      <name val="Arial"/>
      <family val="2"/>
    </font>
    <font>
      <b/>
      <sz val="9"/>
      <color indexed="81"/>
      <name val="Arial"/>
      <family val="2"/>
    </font>
    <font>
      <sz val="9"/>
      <color indexed="81"/>
      <name val="Arial"/>
      <family val="2"/>
    </font>
    <font>
      <sz val="9"/>
      <color indexed="81"/>
      <name val="Calibri"/>
      <family val="2"/>
    </font>
    <font>
      <b/>
      <sz val="9"/>
      <color indexed="81"/>
      <name val="Calibri"/>
      <family val="2"/>
    </font>
    <font>
      <u/>
      <sz val="12"/>
      <color theme="10"/>
      <name val="Arial"/>
    </font>
    <font>
      <i/>
      <u/>
      <sz val="12"/>
      <color theme="10"/>
      <name val="Arial"/>
    </font>
    <font>
      <u/>
      <sz val="12"/>
      <color theme="10"/>
      <name val="Arial Narrow"/>
    </font>
    <font>
      <sz val="15"/>
      <color theme="1"/>
      <name val="Arial"/>
    </font>
    <font>
      <sz val="11"/>
      <color theme="1"/>
      <name val="Arial"/>
    </font>
    <font>
      <sz val="8"/>
      <name val="Calibri"/>
      <family val="2"/>
      <scheme val="minor"/>
    </font>
  </fonts>
  <fills count="6">
    <fill>
      <patternFill patternType="none"/>
    </fill>
    <fill>
      <patternFill patternType="gray125"/>
    </fill>
    <fill>
      <patternFill patternType="solid">
        <fgColor indexed="26"/>
      </patternFill>
    </fill>
    <fill>
      <patternFill patternType="solid">
        <fgColor indexed="42"/>
      </patternFill>
    </fill>
    <fill>
      <patternFill patternType="solid">
        <fgColor indexed="55"/>
      </patternFill>
    </fill>
    <fill>
      <patternFill patternType="solid">
        <fgColor theme="0"/>
        <bgColor indexed="64"/>
      </patternFill>
    </fill>
  </fills>
  <borders count="37">
    <border>
      <left/>
      <right/>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double">
        <color auto="1"/>
      </bottom>
      <diagonal/>
    </border>
    <border>
      <left/>
      <right/>
      <top style="double">
        <color auto="1"/>
      </top>
      <bottom/>
      <diagonal/>
    </border>
    <border>
      <left/>
      <right/>
      <top/>
      <bottom style="thin">
        <color auto="1"/>
      </bottom>
      <diagonal/>
    </border>
    <border>
      <left/>
      <right/>
      <top style="thin">
        <color auto="1"/>
      </top>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309">
    <xf numFmtId="0" fontId="0" fillId="0" borderId="0"/>
    <xf numFmtId="9" fontId="14" fillId="0" borderId="0" applyFont="0" applyFill="0" applyBorder="0" applyAlignment="0" applyProtection="0"/>
    <xf numFmtId="0" fontId="15"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3" fontId="15" fillId="0" borderId="0" applyFont="0" applyFill="0" applyBorder="0" applyAlignment="0" applyProtection="0"/>
    <xf numFmtId="165" fontId="15" fillId="0" borderId="0" applyFont="0" applyFill="0" applyBorder="0" applyAlignment="0" applyProtection="0"/>
    <xf numFmtId="0" fontId="14" fillId="0" borderId="0"/>
    <xf numFmtId="0" fontId="18" fillId="0" borderId="0"/>
    <xf numFmtId="0" fontId="14" fillId="0" borderId="0"/>
    <xf numFmtId="0" fontId="14" fillId="0" borderId="0"/>
    <xf numFmtId="9" fontId="1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9" fillId="0" borderId="0"/>
    <xf numFmtId="0" fontId="20" fillId="0" borderId="1">
      <alignment horizontal="center"/>
    </xf>
    <xf numFmtId="2" fontId="15"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9" fillId="0" borderId="0"/>
    <xf numFmtId="0" fontId="32" fillId="2" borderId="16" applyNumberFormat="0" applyFont="0" applyAlignment="0" applyProtection="0"/>
    <xf numFmtId="0" fontId="33" fillId="3" borderId="0" applyNumberFormat="0" applyBorder="0" applyAlignment="0" applyProtection="0"/>
    <xf numFmtId="0" fontId="34" fillId="0" borderId="0" applyNumberFormat="0" applyFill="0" applyBorder="0" applyAlignment="0" applyProtection="0"/>
    <xf numFmtId="0" fontId="35" fillId="0" borderId="17" applyNumberFormat="0" applyFill="0" applyAlignment="0" applyProtection="0"/>
    <xf numFmtId="0" fontId="36" fillId="0" borderId="18" applyNumberFormat="0" applyFill="0" applyAlignment="0" applyProtection="0"/>
    <xf numFmtId="0" fontId="37" fillId="0" borderId="19" applyNumberFormat="0" applyFill="0" applyAlignment="0" applyProtection="0"/>
    <xf numFmtId="0" fontId="37" fillId="0" borderId="0" applyNumberFormat="0" applyFill="0" applyBorder="0" applyAlignment="0" applyProtection="0"/>
    <xf numFmtId="0" fontId="38" fillId="4" borderId="20"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0" borderId="0"/>
    <xf numFmtId="9" fontId="9"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9" fontId="5"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257">
    <xf numFmtId="0" fontId="0" fillId="0" borderId="0" xfId="0"/>
    <xf numFmtId="0" fontId="0" fillId="0" borderId="0" xfId="0" applyAlignment="1">
      <alignment wrapText="1"/>
    </xf>
    <xf numFmtId="9" fontId="0" fillId="0" borderId="0" xfId="1" applyFont="1"/>
    <xf numFmtId="0" fontId="13" fillId="0" borderId="0" xfId="0" applyFont="1" applyAlignment="1">
      <alignment horizontal="center" vertical="center" wrapText="1"/>
    </xf>
    <xf numFmtId="0" fontId="13" fillId="0" borderId="0" xfId="0" applyFont="1"/>
    <xf numFmtId="0" fontId="13" fillId="0" borderId="2" xfId="0" applyFont="1" applyBorder="1" applyAlignment="1">
      <alignment horizontal="center" vertical="center" wrapText="1"/>
    </xf>
    <xf numFmtId="0" fontId="13" fillId="0" borderId="5" xfId="0" applyFont="1" applyBorder="1" applyAlignment="1">
      <alignment horizontal="center"/>
    </xf>
    <xf numFmtId="0" fontId="13" fillId="0" borderId="7" xfId="0" applyNumberFormat="1" applyFont="1" applyBorder="1" applyAlignment="1">
      <alignment horizontal="center"/>
    </xf>
    <xf numFmtId="0" fontId="13"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26" fillId="0" borderId="11" xfId="0" applyFont="1" applyBorder="1" applyAlignment="1">
      <alignment horizontal="center" vertical="center" wrapText="1"/>
    </xf>
    <xf numFmtId="0" fontId="13" fillId="0" borderId="10" xfId="0" applyFont="1" applyBorder="1" applyAlignment="1">
      <alignment horizontal="center" vertical="center" wrapText="1"/>
    </xf>
    <xf numFmtId="166" fontId="13" fillId="0" borderId="0" xfId="0" applyNumberFormat="1" applyFont="1" applyBorder="1" applyAlignment="1">
      <alignment horizontal="center" vertical="center"/>
    </xf>
    <xf numFmtId="0" fontId="13" fillId="0" borderId="0" xfId="0" applyFont="1" applyBorder="1" applyAlignment="1">
      <alignment horizontal="center" vertical="center"/>
    </xf>
    <xf numFmtId="9" fontId="13" fillId="0" borderId="0" xfId="0" applyNumberFormat="1" applyFont="1" applyFill="1" applyBorder="1" applyAlignment="1">
      <alignment horizontal="center" vertical="center"/>
    </xf>
    <xf numFmtId="167" fontId="13" fillId="0" borderId="0" xfId="0" applyNumberFormat="1" applyFont="1" applyBorder="1" applyAlignment="1">
      <alignment horizontal="center" vertical="center"/>
    </xf>
    <xf numFmtId="9" fontId="13" fillId="0" borderId="0" xfId="0" applyNumberFormat="1" applyFont="1" applyBorder="1" applyAlignment="1">
      <alignment horizontal="center" vertical="center"/>
    </xf>
    <xf numFmtId="164" fontId="13" fillId="0" borderId="0" xfId="1" applyNumberFormat="1" applyFont="1" applyBorder="1" applyAlignment="1">
      <alignment horizontal="center" vertical="center"/>
    </xf>
    <xf numFmtId="164" fontId="13" fillId="0" borderId="6" xfId="0" applyNumberFormat="1" applyFont="1" applyBorder="1" applyAlignment="1">
      <alignment horizontal="center" vertical="center"/>
    </xf>
    <xf numFmtId="3" fontId="13" fillId="0" borderId="0" xfId="0" applyNumberFormat="1" applyFont="1" applyBorder="1" applyAlignment="1">
      <alignment horizontal="center" vertical="center"/>
    </xf>
    <xf numFmtId="9" fontId="13" fillId="0" borderId="0" xfId="1" applyFont="1" applyBorder="1" applyAlignment="1">
      <alignment horizontal="center" vertical="center"/>
    </xf>
    <xf numFmtId="167" fontId="13" fillId="0" borderId="6" xfId="0" applyNumberFormat="1" applyFont="1" applyBorder="1" applyAlignment="1">
      <alignment horizontal="center" vertical="center"/>
    </xf>
    <xf numFmtId="166" fontId="13" fillId="0" borderId="6" xfId="0" applyNumberFormat="1" applyFont="1" applyBorder="1" applyAlignment="1">
      <alignment horizontal="center" vertical="center"/>
    </xf>
    <xf numFmtId="3" fontId="13" fillId="0" borderId="6" xfId="0" applyNumberFormat="1" applyFont="1" applyBorder="1" applyAlignment="1">
      <alignment horizontal="center" vertical="center"/>
    </xf>
    <xf numFmtId="164" fontId="13" fillId="0" borderId="6" xfId="1" applyNumberFormat="1" applyFont="1" applyBorder="1" applyAlignment="1">
      <alignment horizontal="center" vertical="center"/>
    </xf>
    <xf numFmtId="3" fontId="24" fillId="0" borderId="0" xfId="0" applyNumberFormat="1" applyFont="1" applyBorder="1" applyAlignment="1">
      <alignment horizontal="center" vertical="center"/>
    </xf>
    <xf numFmtId="0" fontId="24" fillId="0" borderId="0" xfId="0" applyFont="1" applyBorder="1" applyAlignment="1">
      <alignment horizontal="center" vertical="center"/>
    </xf>
    <xf numFmtId="9" fontId="13" fillId="0" borderId="0" xfId="1" applyFont="1" applyFill="1" applyBorder="1" applyAlignment="1">
      <alignment horizontal="center" vertical="center"/>
    </xf>
    <xf numFmtId="3" fontId="24" fillId="0" borderId="0" xfId="0" applyNumberFormat="1" applyFont="1" applyFill="1" applyBorder="1" applyAlignment="1">
      <alignment horizontal="center" vertical="center"/>
    </xf>
    <xf numFmtId="3" fontId="13" fillId="0" borderId="8" xfId="0" applyNumberFormat="1" applyFont="1" applyBorder="1" applyAlignment="1">
      <alignment horizontal="center" vertical="center"/>
    </xf>
    <xf numFmtId="3" fontId="24" fillId="0" borderId="8" xfId="0" applyNumberFormat="1" applyFont="1" applyBorder="1" applyAlignment="1">
      <alignment horizontal="center" vertical="center"/>
    </xf>
    <xf numFmtId="3" fontId="24" fillId="0" borderId="8" xfId="0" applyNumberFormat="1" applyFont="1" applyFill="1" applyBorder="1" applyAlignment="1">
      <alignment horizontal="center" vertical="center"/>
    </xf>
    <xf numFmtId="9" fontId="13" fillId="0" borderId="8" xfId="1" applyFont="1" applyFill="1" applyBorder="1" applyAlignment="1">
      <alignment horizontal="center" vertical="center"/>
    </xf>
    <xf numFmtId="3" fontId="13" fillId="0" borderId="8" xfId="0" applyNumberFormat="1" applyFont="1" applyFill="1" applyBorder="1" applyAlignment="1">
      <alignment horizontal="center" vertical="center"/>
    </xf>
    <xf numFmtId="9" fontId="13" fillId="0" borderId="8" xfId="0" applyNumberFormat="1" applyFont="1" applyBorder="1" applyAlignment="1">
      <alignment horizontal="center" vertical="center"/>
    </xf>
    <xf numFmtId="164" fontId="13" fillId="0" borderId="8" xfId="1" applyNumberFormat="1" applyFont="1" applyBorder="1" applyAlignment="1">
      <alignment horizontal="center" vertical="center"/>
    </xf>
    <xf numFmtId="164" fontId="13" fillId="0" borderId="9" xfId="1" applyNumberFormat="1" applyFont="1" applyBorder="1" applyAlignment="1">
      <alignment horizontal="center" vertical="center"/>
    </xf>
    <xf numFmtId="0" fontId="13" fillId="0" borderId="8" xfId="0" applyFont="1" applyBorder="1" applyAlignment="1">
      <alignment horizontal="center" vertical="center"/>
    </xf>
    <xf numFmtId="9" fontId="13" fillId="0" borderId="8" xfId="1" applyFont="1" applyBorder="1" applyAlignment="1">
      <alignment horizontal="center" vertical="center"/>
    </xf>
    <xf numFmtId="3" fontId="13" fillId="0" borderId="9" xfId="0" applyNumberFormat="1" applyFont="1" applyBorder="1" applyAlignment="1">
      <alignment horizontal="center" vertical="center"/>
    </xf>
    <xf numFmtId="0" fontId="12" fillId="0" borderId="0" xfId="0" applyFont="1"/>
    <xf numFmtId="0" fontId="11" fillId="0" borderId="0" xfId="0" applyFont="1"/>
    <xf numFmtId="0" fontId="19" fillId="0" borderId="12" xfId="163" applyBorder="1"/>
    <xf numFmtId="0" fontId="19" fillId="0" borderId="0" xfId="163"/>
    <xf numFmtId="0" fontId="11" fillId="0" borderId="0" xfId="0" applyFont="1" applyAlignment="1">
      <alignment horizontal="center"/>
    </xf>
    <xf numFmtId="3" fontId="13" fillId="0" borderId="0" xfId="0" applyNumberFormat="1" applyFont="1" applyAlignment="1">
      <alignment horizontal="center"/>
    </xf>
    <xf numFmtId="0" fontId="10" fillId="0" borderId="0" xfId="0" applyFont="1"/>
    <xf numFmtId="0" fontId="9" fillId="0" borderId="0" xfId="224"/>
    <xf numFmtId="3" fontId="9" fillId="0" borderId="0" xfId="224" applyNumberFormat="1"/>
    <xf numFmtId="164" fontId="0" fillId="0" borderId="0" xfId="225" applyNumberFormat="1" applyFont="1" applyAlignment="1">
      <alignment horizontal="center"/>
    </xf>
    <xf numFmtId="3" fontId="46" fillId="0" borderId="0" xfId="224" applyNumberFormat="1" applyFont="1" applyAlignment="1">
      <alignment horizontal="center"/>
    </xf>
    <xf numFmtId="9" fontId="9" fillId="0" borderId="0" xfId="1" applyNumberFormat="1" applyFont="1"/>
    <xf numFmtId="0" fontId="7" fillId="0" borderId="0" xfId="224" applyFont="1"/>
    <xf numFmtId="164" fontId="46" fillId="0" borderId="0" xfId="225" applyNumberFormat="1" applyFont="1" applyAlignment="1">
      <alignment horizontal="center"/>
    </xf>
    <xf numFmtId="164" fontId="46" fillId="0" borderId="0" xfId="224" applyNumberFormat="1" applyFont="1" applyAlignment="1">
      <alignment horizontal="center"/>
    </xf>
    <xf numFmtId="0" fontId="7" fillId="0" borderId="0" xfId="224" applyFont="1" applyAlignment="1">
      <alignment horizontal="center" vertical="center" wrapText="1"/>
    </xf>
    <xf numFmtId="0" fontId="24" fillId="0" borderId="0" xfId="224" applyFont="1" applyAlignment="1">
      <alignment horizontal="center" vertical="center" wrapText="1"/>
    </xf>
    <xf numFmtId="0" fontId="26" fillId="0" borderId="0" xfId="224" applyFont="1" applyAlignment="1">
      <alignment horizontal="center" vertical="center" wrapText="1"/>
    </xf>
    <xf numFmtId="0" fontId="51" fillId="0" borderId="0" xfId="242" applyFont="1" applyAlignment="1">
      <alignment horizontal="center" vertical="center" wrapText="1"/>
    </xf>
    <xf numFmtId="0" fontId="52" fillId="0" borderId="0" xfId="242" applyFont="1" applyAlignment="1">
      <alignment horizontal="center" vertical="center" wrapText="1"/>
    </xf>
    <xf numFmtId="3" fontId="7" fillId="0" borderId="0" xfId="224" applyNumberFormat="1" applyFont="1" applyAlignment="1">
      <alignment horizontal="center"/>
    </xf>
    <xf numFmtId="9" fontId="7" fillId="0" borderId="0" xfId="225" applyFont="1" applyAlignment="1">
      <alignment horizontal="center"/>
    </xf>
    <xf numFmtId="164" fontId="7" fillId="0" borderId="0" xfId="0" applyNumberFormat="1" applyFont="1" applyAlignment="1">
      <alignment horizontal="center"/>
    </xf>
    <xf numFmtId="9" fontId="7" fillId="0" borderId="0" xfId="0" applyNumberFormat="1" applyFont="1" applyAlignment="1">
      <alignment horizontal="center"/>
    </xf>
    <xf numFmtId="164" fontId="7" fillId="0" borderId="0" xfId="225" applyNumberFormat="1" applyFont="1" applyAlignment="1">
      <alignment horizontal="center"/>
    </xf>
    <xf numFmtId="9" fontId="7" fillId="0" borderId="0" xfId="225" applyNumberFormat="1" applyFont="1" applyAlignment="1">
      <alignment horizontal="center"/>
    </xf>
    <xf numFmtId="164" fontId="7" fillId="0" borderId="0" xfId="225" applyNumberFormat="1" applyFont="1" applyFill="1" applyAlignment="1">
      <alignment horizontal="center"/>
    </xf>
    <xf numFmtId="9" fontId="46" fillId="0" borderId="0" xfId="225" applyNumberFormat="1" applyFont="1" applyAlignment="1">
      <alignment horizontal="center"/>
    </xf>
    <xf numFmtId="9" fontId="7" fillId="0" borderId="0" xfId="224" applyNumberFormat="1" applyFont="1" applyAlignment="1">
      <alignment horizontal="center"/>
    </xf>
    <xf numFmtId="0" fontId="7" fillId="0" borderId="0" xfId="224" applyFont="1" applyAlignment="1">
      <alignment horizontal="center"/>
    </xf>
    <xf numFmtId="3" fontId="8" fillId="0" borderId="0" xfId="224" applyNumberFormat="1" applyFont="1" applyAlignment="1">
      <alignment horizontal="center"/>
    </xf>
    <xf numFmtId="167" fontId="7" fillId="0" borderId="0" xfId="224" applyNumberFormat="1" applyFont="1" applyAlignment="1">
      <alignment horizontal="center"/>
    </xf>
    <xf numFmtId="0" fontId="23" fillId="0" borderId="0" xfId="224" applyFont="1" applyAlignment="1"/>
    <xf numFmtId="0" fontId="7" fillId="0" borderId="0" xfId="224" applyFont="1" applyBorder="1" applyAlignment="1">
      <alignment horizontal="right"/>
    </xf>
    <xf numFmtId="164" fontId="7" fillId="0" borderId="0" xfId="224" applyNumberFormat="1" applyFont="1" applyBorder="1" applyAlignment="1">
      <alignment horizontal="center"/>
    </xf>
    <xf numFmtId="9" fontId="7" fillId="0" borderId="0" xfId="224" applyNumberFormat="1" applyFont="1" applyBorder="1" applyAlignment="1">
      <alignment horizontal="center"/>
    </xf>
    <xf numFmtId="0" fontId="53" fillId="0" borderId="0" xfId="242" applyFont="1" applyAlignment="1">
      <alignment horizontal="center" vertical="center" wrapText="1"/>
    </xf>
    <xf numFmtId="164" fontId="8" fillId="0" borderId="0" xfId="225" applyNumberFormat="1" applyFont="1" applyAlignment="1">
      <alignment horizontal="center"/>
    </xf>
    <xf numFmtId="0" fontId="23" fillId="0" borderId="0" xfId="224" applyFont="1"/>
    <xf numFmtId="164" fontId="51" fillId="0" borderId="0" xfId="242" applyNumberFormat="1" applyFont="1" applyAlignment="1">
      <alignment horizontal="center"/>
    </xf>
    <xf numFmtId="9" fontId="6" fillId="0" borderId="0" xfId="1" applyFont="1" applyAlignment="1">
      <alignment horizontal="center"/>
    </xf>
    <xf numFmtId="3" fontId="6" fillId="0" borderId="0" xfId="0" applyNumberFormat="1" applyFont="1" applyAlignment="1">
      <alignment horizontal="center"/>
    </xf>
    <xf numFmtId="9" fontId="23" fillId="0" borderId="0" xfId="1" applyFont="1" applyAlignment="1">
      <alignment horizontal="center"/>
    </xf>
    <xf numFmtId="9" fontId="23" fillId="0" borderId="0" xfId="1" applyNumberFormat="1" applyFont="1" applyAlignment="1">
      <alignment horizontal="center"/>
    </xf>
    <xf numFmtId="3" fontId="23" fillId="0" borderId="0" xfId="0" applyNumberFormat="1" applyFont="1" applyAlignment="1">
      <alignment horizontal="center"/>
    </xf>
    <xf numFmtId="0" fontId="6" fillId="0" borderId="0" xfId="0" applyFont="1" applyAlignment="1">
      <alignment horizontal="center"/>
    </xf>
    <xf numFmtId="9" fontId="6" fillId="0" borderId="0" xfId="0" applyNumberFormat="1" applyFont="1" applyAlignment="1">
      <alignment horizontal="center"/>
    </xf>
    <xf numFmtId="0" fontId="6" fillId="0" borderId="0" xfId="0" applyFont="1" applyAlignment="1">
      <alignment horizontal="center" vertical="center" wrapText="1"/>
    </xf>
    <xf numFmtId="0" fontId="24" fillId="0" borderId="0" xfId="0" applyFont="1" applyAlignment="1">
      <alignment horizontal="center"/>
    </xf>
    <xf numFmtId="10" fontId="6" fillId="0" borderId="0" xfId="0" applyNumberFormat="1" applyFont="1" applyAlignment="1">
      <alignment horizontal="center"/>
    </xf>
    <xf numFmtId="0" fontId="24" fillId="0" borderId="0" xfId="0" applyFont="1" applyFill="1" applyAlignment="1">
      <alignment horizontal="center"/>
    </xf>
    <xf numFmtId="0" fontId="23" fillId="0" borderId="0" xfId="0" applyFont="1" applyAlignment="1">
      <alignment horizontal="center"/>
    </xf>
    <xf numFmtId="164" fontId="9" fillId="0" borderId="0" xfId="1" applyNumberFormat="1" applyFont="1"/>
    <xf numFmtId="4" fontId="9" fillId="0" borderId="0" xfId="224" applyNumberFormat="1"/>
    <xf numFmtId="9" fontId="6" fillId="0" borderId="0" xfId="1" applyNumberFormat="1" applyFont="1" applyAlignment="1">
      <alignment horizontal="center"/>
    </xf>
    <xf numFmtId="9" fontId="0" fillId="0" borderId="0" xfId="252" applyFont="1" applyAlignment="1">
      <alignment wrapText="1"/>
    </xf>
    <xf numFmtId="9" fontId="0" fillId="0" borderId="0" xfId="252" applyFont="1" applyAlignment="1">
      <alignment horizontal="center" wrapText="1"/>
    </xf>
    <xf numFmtId="9" fontId="0" fillId="0" borderId="0" xfId="0" applyNumberFormat="1" applyAlignment="1">
      <alignment wrapText="1"/>
    </xf>
    <xf numFmtId="168" fontId="0" fillId="0" borderId="0" xfId="0" applyNumberFormat="1" applyAlignment="1">
      <alignment wrapText="1"/>
    </xf>
    <xf numFmtId="9" fontId="0" fillId="0" borderId="0" xfId="1" applyFont="1" applyAlignment="1">
      <alignment horizontal="center"/>
    </xf>
    <xf numFmtId="9" fontId="0" fillId="0" borderId="0" xfId="0" applyNumberFormat="1"/>
    <xf numFmtId="0" fontId="4" fillId="0" borderId="0" xfId="224" applyFont="1" applyAlignment="1">
      <alignment horizontal="center" vertical="center" wrapText="1"/>
    </xf>
    <xf numFmtId="9" fontId="9" fillId="0" borderId="0" xfId="224" applyNumberFormat="1"/>
    <xf numFmtId="1" fontId="19" fillId="0" borderId="0" xfId="163" applyNumberFormat="1"/>
    <xf numFmtId="0" fontId="19" fillId="5" borderId="0" xfId="163" applyFill="1"/>
    <xf numFmtId="0" fontId="43" fillId="5" borderId="0" xfId="163" applyFont="1" applyFill="1" applyBorder="1" applyAlignment="1">
      <alignment horizontal="center" vertical="center" wrapText="1"/>
    </xf>
    <xf numFmtId="0" fontId="30" fillId="5" borderId="0" xfId="163" applyFont="1" applyFill="1" applyBorder="1" applyAlignment="1">
      <alignment horizontal="center" vertical="center" wrapText="1"/>
    </xf>
    <xf numFmtId="0" fontId="42" fillId="5" borderId="0" xfId="163" applyFont="1" applyFill="1" applyBorder="1" applyAlignment="1">
      <alignment horizontal="center" vertical="center" wrapText="1"/>
    </xf>
    <xf numFmtId="0" fontId="19" fillId="5" borderId="0" xfId="163" applyFill="1" applyBorder="1"/>
    <xf numFmtId="0" fontId="41" fillId="5" borderId="0" xfId="163" applyFont="1" applyFill="1" applyBorder="1" applyAlignment="1">
      <alignment horizontal="center" vertical="center" wrapText="1"/>
    </xf>
    <xf numFmtId="0" fontId="30" fillId="5" borderId="0" xfId="163" applyFont="1" applyFill="1" applyBorder="1" applyAlignment="1">
      <alignment vertical="center" wrapText="1"/>
    </xf>
    <xf numFmtId="0" fontId="43" fillId="5" borderId="0" xfId="163" applyFont="1" applyFill="1" applyBorder="1" applyAlignment="1">
      <alignment vertical="center" wrapText="1"/>
    </xf>
    <xf numFmtId="0" fontId="29" fillId="5" borderId="27" xfId="163" applyFont="1" applyFill="1" applyBorder="1" applyAlignment="1">
      <alignment horizontal="center" vertical="center" wrapText="1"/>
    </xf>
    <xf numFmtId="0" fontId="30" fillId="5" borderId="28" xfId="163" applyFont="1" applyFill="1" applyBorder="1" applyAlignment="1">
      <alignment vertical="center" wrapText="1"/>
    </xf>
    <xf numFmtId="0" fontId="28" fillId="5" borderId="0" xfId="163" applyFont="1" applyFill="1" applyBorder="1" applyAlignment="1">
      <alignment vertical="center" wrapText="1"/>
    </xf>
    <xf numFmtId="0" fontId="30" fillId="5" borderId="8" xfId="163" applyFont="1" applyFill="1" applyBorder="1" applyAlignment="1">
      <alignment vertical="center" wrapText="1"/>
    </xf>
    <xf numFmtId="0" fontId="42" fillId="5" borderId="0" xfId="163" applyFont="1" applyFill="1" applyBorder="1" applyAlignment="1">
      <alignment vertical="center" wrapText="1"/>
    </xf>
    <xf numFmtId="0" fontId="19" fillId="0" borderId="0" xfId="163" applyAlignment="1">
      <alignment vertical="center"/>
    </xf>
    <xf numFmtId="164" fontId="13" fillId="0" borderId="0" xfId="1" applyNumberFormat="1" applyFont="1" applyAlignment="1">
      <alignment horizontal="center"/>
    </xf>
    <xf numFmtId="0" fontId="40" fillId="5" borderId="0" xfId="163" applyFont="1" applyFill="1" applyBorder="1" applyAlignment="1">
      <alignment horizontal="center" vertical="center" wrapText="1"/>
    </xf>
    <xf numFmtId="9" fontId="54" fillId="5" borderId="0" xfId="1" applyFont="1" applyFill="1" applyAlignment="1">
      <alignment horizontal="center" vertical="center"/>
    </xf>
    <xf numFmtId="3" fontId="54" fillId="5" borderId="0" xfId="0" applyNumberFormat="1" applyFont="1" applyFill="1" applyAlignment="1">
      <alignment horizontal="center" vertical="center"/>
    </xf>
    <xf numFmtId="0" fontId="54" fillId="5" borderId="0" xfId="0" applyFont="1" applyFill="1" applyAlignment="1">
      <alignment horizontal="center" vertical="center"/>
    </xf>
    <xf numFmtId="9" fontId="54" fillId="5" borderId="0" xfId="0" applyNumberFormat="1" applyFont="1" applyFill="1" applyAlignment="1">
      <alignment horizontal="center" vertical="center"/>
    </xf>
    <xf numFmtId="0" fontId="54" fillId="5" borderId="0" xfId="0" applyFont="1" applyFill="1" applyAlignment="1">
      <alignment horizontal="center" vertical="center" wrapText="1"/>
    </xf>
    <xf numFmtId="0" fontId="55" fillId="5" borderId="0" xfId="0" applyFont="1" applyFill="1" applyBorder="1" applyAlignment="1">
      <alignment vertical="center"/>
    </xf>
    <xf numFmtId="0" fontId="30" fillId="5" borderId="12" xfId="163" applyFont="1" applyFill="1" applyBorder="1"/>
    <xf numFmtId="0" fontId="19" fillId="5" borderId="12" xfId="163" applyFill="1" applyBorder="1"/>
    <xf numFmtId="0" fontId="40" fillId="5" borderId="14" xfId="163" applyFont="1" applyFill="1" applyBorder="1" applyAlignment="1">
      <alignment horizontal="center" vertical="center" wrapText="1"/>
    </xf>
    <xf numFmtId="0" fontId="19" fillId="5" borderId="0" xfId="163" applyFill="1" applyAlignment="1">
      <alignment vertical="center"/>
    </xf>
    <xf numFmtId="0" fontId="30" fillId="5" borderId="0" xfId="163" applyFont="1" applyFill="1" applyBorder="1"/>
    <xf numFmtId="0" fontId="54" fillId="5" borderId="0" xfId="0" applyFont="1" applyFill="1" applyAlignment="1">
      <alignment horizontal="left" vertical="center"/>
    </xf>
    <xf numFmtId="0" fontId="54" fillId="5" borderId="12" xfId="0" applyFont="1" applyFill="1" applyBorder="1" applyAlignment="1">
      <alignment horizontal="left" vertical="center"/>
    </xf>
    <xf numFmtId="3" fontId="54" fillId="5" borderId="12" xfId="0" applyNumberFormat="1" applyFont="1" applyFill="1" applyBorder="1" applyAlignment="1">
      <alignment horizontal="center" vertical="center"/>
    </xf>
    <xf numFmtId="9" fontId="54" fillId="5" borderId="12" xfId="1" applyFont="1" applyFill="1" applyBorder="1" applyAlignment="1">
      <alignment horizontal="center" vertical="center"/>
    </xf>
    <xf numFmtId="0" fontId="54" fillId="5" borderId="12" xfId="0" applyFont="1" applyFill="1" applyBorder="1" applyAlignment="1">
      <alignment horizontal="center" vertical="center"/>
    </xf>
    <xf numFmtId="9" fontId="54" fillId="5" borderId="12" xfId="0" applyNumberFormat="1" applyFont="1" applyFill="1" applyBorder="1" applyAlignment="1">
      <alignment horizontal="center" vertical="center"/>
    </xf>
    <xf numFmtId="0" fontId="3" fillId="5" borderId="0" xfId="0" applyFont="1" applyFill="1" applyAlignment="1">
      <alignment horizontal="center"/>
    </xf>
    <xf numFmtId="0" fontId="3" fillId="0" borderId="0" xfId="0" applyFont="1"/>
    <xf numFmtId="0" fontId="3" fillId="0" borderId="0" xfId="0" applyFont="1" applyAlignment="1">
      <alignment horizontal="center"/>
    </xf>
    <xf numFmtId="0" fontId="3" fillId="5" borderId="12" xfId="0" applyFont="1" applyFill="1" applyBorder="1"/>
    <xf numFmtId="0" fontId="3" fillId="5" borderId="12" xfId="0" applyFont="1" applyFill="1" applyBorder="1" applyAlignment="1">
      <alignment horizontal="center"/>
    </xf>
    <xf numFmtId="0" fontId="3" fillId="0" borderId="0" xfId="0" applyFont="1" applyAlignment="1">
      <alignment wrapText="1"/>
    </xf>
    <xf numFmtId="9" fontId="3" fillId="0" borderId="0" xfId="0" applyNumberFormat="1" applyFont="1"/>
    <xf numFmtId="0" fontId="51" fillId="0" borderId="0" xfId="242" applyFont="1"/>
    <xf numFmtId="0" fontId="3" fillId="5" borderId="0" xfId="0" applyFont="1" applyFill="1" applyAlignment="1">
      <alignment horizontal="center" vertical="center"/>
    </xf>
    <xf numFmtId="3" fontId="3" fillId="0" borderId="0" xfId="0" applyNumberFormat="1" applyFont="1"/>
    <xf numFmtId="3" fontId="3" fillId="0" borderId="0" xfId="0" applyNumberFormat="1" applyFont="1" applyFill="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0" xfId="0" applyFont="1" applyBorder="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2" xfId="0" applyFont="1" applyBorder="1" applyAlignment="1">
      <alignment wrapText="1"/>
    </xf>
    <xf numFmtId="0" fontId="3" fillId="0" borderId="3" xfId="0" applyFont="1" applyBorder="1" applyAlignment="1">
      <alignment horizontal="center" wrapText="1"/>
    </xf>
    <xf numFmtId="0" fontId="3" fillId="0" borderId="4" xfId="0" applyFont="1" applyBorder="1" applyAlignment="1">
      <alignment horizontal="center" wrapText="1"/>
    </xf>
    <xf numFmtId="3" fontId="3" fillId="0" borderId="0" xfId="0" applyNumberFormat="1" applyFont="1" applyBorder="1" applyAlignment="1">
      <alignment horizontal="center"/>
    </xf>
    <xf numFmtId="9" fontId="3" fillId="0" borderId="0" xfId="1" applyFont="1" applyBorder="1" applyAlignment="1">
      <alignment horizontal="center"/>
    </xf>
    <xf numFmtId="166" fontId="24" fillId="0" borderId="6" xfId="0" applyNumberFormat="1" applyFont="1" applyBorder="1" applyAlignment="1">
      <alignment horizontal="center"/>
    </xf>
    <xf numFmtId="0" fontId="24" fillId="0" borderId="5" xfId="0" applyFont="1" applyBorder="1"/>
    <xf numFmtId="3" fontId="24" fillId="0" borderId="0" xfId="0" applyNumberFormat="1" applyFont="1" applyBorder="1" applyAlignment="1">
      <alignment horizontal="center"/>
    </xf>
    <xf numFmtId="9" fontId="24" fillId="0" borderId="0" xfId="1" applyFont="1" applyBorder="1" applyAlignment="1">
      <alignment horizontal="center"/>
    </xf>
    <xf numFmtId="0" fontId="24" fillId="0" borderId="5" xfId="0" applyFont="1" applyFill="1" applyBorder="1"/>
    <xf numFmtId="9" fontId="24" fillId="0" borderId="0" xfId="1" applyFont="1" applyFill="1" applyBorder="1" applyAlignment="1">
      <alignment horizontal="center"/>
    </xf>
    <xf numFmtId="9" fontId="3" fillId="0" borderId="0" xfId="1" applyNumberFormat="1" applyFont="1" applyBorder="1" applyAlignment="1">
      <alignment horizontal="center"/>
    </xf>
    <xf numFmtId="0" fontId="3" fillId="0" borderId="7" xfId="0" applyFont="1" applyBorder="1" applyAlignment="1">
      <alignment wrapText="1"/>
    </xf>
    <xf numFmtId="3" fontId="23" fillId="0" borderId="8" xfId="0" applyNumberFormat="1" applyFont="1" applyBorder="1" applyAlignment="1">
      <alignment horizontal="center"/>
    </xf>
    <xf numFmtId="9" fontId="23" fillId="0" borderId="8" xfId="1" applyFont="1" applyBorder="1" applyAlignment="1">
      <alignment horizontal="center"/>
    </xf>
    <xf numFmtId="9" fontId="23" fillId="0" borderId="9" xfId="1" applyFont="1" applyBorder="1" applyAlignment="1">
      <alignment horizontal="center"/>
    </xf>
    <xf numFmtId="0" fontId="11" fillId="0" borderId="29" xfId="0" applyFont="1" applyBorder="1"/>
    <xf numFmtId="0" fontId="11" fillId="0" borderId="30" xfId="0" applyFont="1" applyBorder="1"/>
    <xf numFmtId="0" fontId="11" fillId="0" borderId="30" xfId="0" applyFont="1" applyBorder="1" applyAlignment="1">
      <alignment wrapText="1"/>
    </xf>
    <xf numFmtId="0" fontId="11" fillId="0" borderId="31" xfId="0" applyFont="1" applyBorder="1" applyAlignment="1">
      <alignment wrapText="1"/>
    </xf>
    <xf numFmtId="0" fontId="11" fillId="0" borderId="32" xfId="0" applyFont="1" applyBorder="1"/>
    <xf numFmtId="0" fontId="11" fillId="0" borderId="0" xfId="0" applyFont="1" applyBorder="1"/>
    <xf numFmtId="3" fontId="11" fillId="0" borderId="0" xfId="0" applyNumberFormat="1" applyFont="1" applyBorder="1"/>
    <xf numFmtId="0" fontId="11" fillId="0" borderId="33" xfId="0" applyFont="1" applyBorder="1"/>
    <xf numFmtId="9" fontId="11" fillId="0" borderId="0" xfId="1" applyFont="1" applyBorder="1" applyAlignment="1">
      <alignment horizontal="center"/>
    </xf>
    <xf numFmtId="3" fontId="11" fillId="0" borderId="33" xfId="0" applyNumberFormat="1" applyFont="1" applyBorder="1"/>
    <xf numFmtId="164" fontId="11" fillId="0" borderId="0" xfId="1" applyNumberFormat="1" applyFont="1" applyBorder="1" applyAlignment="1">
      <alignment horizontal="center"/>
    </xf>
    <xf numFmtId="0" fontId="11" fillId="0" borderId="34" xfId="0" applyFont="1" applyBorder="1"/>
    <xf numFmtId="0" fontId="11" fillId="0" borderId="35" xfId="0" applyFont="1" applyBorder="1"/>
    <xf numFmtId="3" fontId="11" fillId="0" borderId="35" xfId="0" applyNumberFormat="1" applyFont="1" applyBorder="1"/>
    <xf numFmtId="9" fontId="11" fillId="0" borderId="35" xfId="1" applyFont="1" applyBorder="1" applyAlignment="1">
      <alignment horizontal="center"/>
    </xf>
    <xf numFmtId="3" fontId="11" fillId="0" borderId="36" xfId="0" applyNumberFormat="1" applyFont="1" applyBorder="1"/>
    <xf numFmtId="9" fontId="3" fillId="0" borderId="0" xfId="0" applyNumberFormat="1" applyFont="1" applyAlignment="1">
      <alignment horizontal="center"/>
    </xf>
    <xf numFmtId="9" fontId="46" fillId="0" borderId="0" xfId="0" applyNumberFormat="1" applyFont="1"/>
    <xf numFmtId="3" fontId="3" fillId="0" borderId="0" xfId="0" applyNumberFormat="1" applyFont="1" applyAlignment="1">
      <alignment horizontal="center"/>
    </xf>
    <xf numFmtId="0" fontId="2" fillId="0" borderId="2" xfId="0" applyFont="1" applyBorder="1" applyAlignment="1">
      <alignment vertical="top" wrapText="1"/>
    </xf>
    <xf numFmtId="0" fontId="13" fillId="0" borderId="3" xfId="0" applyFont="1" applyBorder="1" applyAlignment="1">
      <alignment vertical="top" wrapText="1"/>
    </xf>
    <xf numFmtId="0" fontId="13" fillId="0" borderId="4" xfId="0" applyFont="1" applyBorder="1" applyAlignment="1">
      <alignment vertical="top" wrapText="1"/>
    </xf>
    <xf numFmtId="0" fontId="13" fillId="0" borderId="5" xfId="0" applyFont="1" applyBorder="1" applyAlignment="1">
      <alignment vertical="top" wrapText="1"/>
    </xf>
    <xf numFmtId="0" fontId="13" fillId="0" borderId="0" xfId="0" applyFont="1" applyBorder="1" applyAlignment="1">
      <alignment vertical="top" wrapText="1"/>
    </xf>
    <xf numFmtId="0" fontId="13" fillId="0" borderId="6" xfId="0" applyFont="1" applyBorder="1" applyAlignment="1">
      <alignment vertical="top" wrapText="1"/>
    </xf>
    <xf numFmtId="0" fontId="13" fillId="0" borderId="7" xfId="0" applyFont="1" applyBorder="1" applyAlignment="1">
      <alignment vertical="top" wrapText="1"/>
    </xf>
    <xf numFmtId="0" fontId="13" fillId="0" borderId="8" xfId="0" applyFont="1" applyBorder="1" applyAlignment="1">
      <alignment vertical="top" wrapText="1"/>
    </xf>
    <xf numFmtId="0" fontId="13" fillId="0" borderId="9" xfId="0" applyFont="1" applyBorder="1" applyAlignment="1">
      <alignment vertical="top" wrapText="1"/>
    </xf>
    <xf numFmtId="0" fontId="27" fillId="5" borderId="13" xfId="163" applyFont="1" applyFill="1" applyBorder="1" applyAlignment="1">
      <alignment horizontal="center" vertical="center" wrapText="1"/>
    </xf>
    <xf numFmtId="0" fontId="27" fillId="5" borderId="0" xfId="163" applyFont="1" applyFill="1" applyBorder="1" applyAlignment="1">
      <alignment horizontal="center" vertical="center" wrapText="1"/>
    </xf>
    <xf numFmtId="0" fontId="27" fillId="5" borderId="14" xfId="163" applyFont="1" applyFill="1" applyBorder="1" applyAlignment="1">
      <alignment horizontal="center" vertical="center" wrapText="1"/>
    </xf>
    <xf numFmtId="0" fontId="30" fillId="5" borderId="15" xfId="163" applyFont="1" applyFill="1" applyBorder="1" applyAlignment="1">
      <alignment horizontal="left" vertical="center" wrapText="1"/>
    </xf>
    <xf numFmtId="0" fontId="30" fillId="5" borderId="0" xfId="163" applyFont="1" applyFill="1" applyBorder="1" applyAlignment="1">
      <alignment horizontal="left" vertical="center" wrapText="1"/>
    </xf>
    <xf numFmtId="0" fontId="30" fillId="5" borderId="14" xfId="163" applyFont="1" applyFill="1" applyBorder="1" applyAlignment="1">
      <alignment horizontal="left" vertical="center" wrapText="1"/>
    </xf>
    <xf numFmtId="0" fontId="30" fillId="5" borderId="24" xfId="163" applyFont="1" applyFill="1" applyBorder="1" applyAlignment="1">
      <alignment horizontal="center" vertical="center" wrapText="1"/>
    </xf>
    <xf numFmtId="0" fontId="30" fillId="5" borderId="25" xfId="163" applyFont="1" applyFill="1" applyBorder="1" applyAlignment="1">
      <alignment horizontal="center" vertical="center" wrapText="1"/>
    </xf>
    <xf numFmtId="0" fontId="30" fillId="5" borderId="26" xfId="163" applyFont="1" applyFill="1" applyBorder="1" applyAlignment="1">
      <alignment horizontal="center" vertical="center" wrapText="1"/>
    </xf>
    <xf numFmtId="0" fontId="44" fillId="5" borderId="21" xfId="163" applyFont="1" applyFill="1" applyBorder="1" applyAlignment="1">
      <alignment horizontal="center" vertical="center" wrapText="1"/>
    </xf>
    <xf numFmtId="0" fontId="44" fillId="5" borderId="22" xfId="163" applyFont="1" applyFill="1" applyBorder="1" applyAlignment="1">
      <alignment horizontal="center" vertical="center" wrapText="1"/>
    </xf>
    <xf numFmtId="0" fontId="44" fillId="5" borderId="23" xfId="163" applyFont="1" applyFill="1" applyBorder="1" applyAlignment="1">
      <alignment horizontal="center" vertical="center" wrapText="1"/>
    </xf>
    <xf numFmtId="0" fontId="31" fillId="5" borderId="13" xfId="163" applyFont="1" applyFill="1" applyBorder="1" applyAlignment="1">
      <alignment horizontal="justify" vertical="center" wrapText="1"/>
    </xf>
    <xf numFmtId="0" fontId="29" fillId="5" borderId="24" xfId="163" applyFont="1" applyFill="1" applyBorder="1" applyAlignment="1">
      <alignment horizontal="center" vertical="center" wrapText="1"/>
    </xf>
    <xf numFmtId="0" fontId="29" fillId="5" borderId="26" xfId="163" applyFont="1" applyFill="1" applyBorder="1" applyAlignment="1">
      <alignment horizontal="center" vertical="center" wrapText="1"/>
    </xf>
    <xf numFmtId="0" fontId="30" fillId="5" borderId="15" xfId="163" applyFont="1" applyFill="1" applyBorder="1" applyAlignment="1">
      <alignment horizontal="center" vertical="center" wrapText="1"/>
    </xf>
    <xf numFmtId="0" fontId="30" fillId="5" borderId="0" xfId="163" applyFont="1" applyFill="1" applyBorder="1" applyAlignment="1">
      <alignment horizontal="center" vertical="center" wrapText="1"/>
    </xf>
    <xf numFmtId="0" fontId="30" fillId="5" borderId="14" xfId="163" applyFont="1" applyFill="1" applyBorder="1" applyAlignment="1">
      <alignment horizontal="center" vertical="center" wrapText="1"/>
    </xf>
    <xf numFmtId="0" fontId="43" fillId="5" borderId="21" xfId="163" applyFont="1" applyFill="1" applyBorder="1" applyAlignment="1">
      <alignment horizontal="center" vertical="center" wrapText="1"/>
    </xf>
    <xf numFmtId="0" fontId="43" fillId="5" borderId="22" xfId="163" applyFont="1" applyFill="1" applyBorder="1" applyAlignment="1">
      <alignment horizontal="center" vertical="center" wrapText="1"/>
    </xf>
    <xf numFmtId="0" fontId="42" fillId="5" borderId="22" xfId="163" applyFont="1" applyFill="1" applyBorder="1" applyAlignment="1">
      <alignment horizontal="center" vertical="center" wrapText="1"/>
    </xf>
    <xf numFmtId="0" fontId="42" fillId="5" borderId="23" xfId="163" applyFont="1" applyFill="1" applyBorder="1" applyAlignment="1">
      <alignment horizontal="center" vertical="center" wrapText="1"/>
    </xf>
    <xf numFmtId="0" fontId="30" fillId="5" borderId="21" xfId="163" applyFont="1" applyFill="1" applyBorder="1" applyAlignment="1">
      <alignment horizontal="center" vertical="center" wrapText="1"/>
    </xf>
    <xf numFmtId="0" fontId="30" fillId="5" borderId="22" xfId="163" applyFont="1" applyFill="1" applyBorder="1" applyAlignment="1">
      <alignment horizontal="center" vertical="center" wrapText="1"/>
    </xf>
    <xf numFmtId="0" fontId="30" fillId="5" borderId="23" xfId="163" applyFont="1" applyFill="1" applyBorder="1" applyAlignment="1">
      <alignment horizontal="center" vertical="center" wrapText="1"/>
    </xf>
    <xf numFmtId="8" fontId="42" fillId="5" borderId="21" xfId="163" applyNumberFormat="1" applyFont="1" applyFill="1" applyBorder="1" applyAlignment="1">
      <alignment horizontal="center" vertical="center" wrapText="1"/>
    </xf>
    <xf numFmtId="8" fontId="42" fillId="5" borderId="22" xfId="163" applyNumberFormat="1" applyFont="1" applyFill="1" applyBorder="1" applyAlignment="1">
      <alignment horizontal="center" vertical="center" wrapText="1"/>
    </xf>
    <xf numFmtId="8" fontId="42" fillId="5" borderId="23" xfId="163" applyNumberFormat="1" applyFont="1" applyFill="1" applyBorder="1" applyAlignment="1">
      <alignment horizontal="center" vertical="center" wrapText="1"/>
    </xf>
    <xf numFmtId="0" fontId="43" fillId="5" borderId="2" xfId="163" applyFont="1" applyFill="1" applyBorder="1" applyAlignment="1">
      <alignment horizontal="center" vertical="center" wrapText="1"/>
    </xf>
    <xf numFmtId="0" fontId="43" fillId="5" borderId="3" xfId="163" applyFont="1" applyFill="1" applyBorder="1" applyAlignment="1">
      <alignment horizontal="center" vertical="center" wrapText="1"/>
    </xf>
    <xf numFmtId="0" fontId="43" fillId="5" borderId="4" xfId="163" applyFont="1" applyFill="1" applyBorder="1" applyAlignment="1">
      <alignment horizontal="center" vertical="center" wrapText="1"/>
    </xf>
    <xf numFmtId="0" fontId="43" fillId="5" borderId="5" xfId="163" applyFont="1" applyFill="1" applyBorder="1" applyAlignment="1">
      <alignment horizontal="center" vertical="center" wrapText="1"/>
    </xf>
    <xf numFmtId="0" fontId="43" fillId="5" borderId="0" xfId="163" applyFont="1" applyFill="1" applyBorder="1" applyAlignment="1">
      <alignment horizontal="center" vertical="center" wrapText="1"/>
    </xf>
    <xf numFmtId="0" fontId="43" fillId="5" borderId="6" xfId="163" applyFont="1" applyFill="1" applyBorder="1" applyAlignment="1">
      <alignment horizontal="center" vertical="center" wrapText="1"/>
    </xf>
    <xf numFmtId="0" fontId="43" fillId="5" borderId="7" xfId="163" applyFont="1" applyFill="1" applyBorder="1" applyAlignment="1">
      <alignment horizontal="center" vertical="center" wrapText="1"/>
    </xf>
    <xf numFmtId="0" fontId="43" fillId="5" borderId="8" xfId="163" applyFont="1" applyFill="1" applyBorder="1" applyAlignment="1">
      <alignment horizontal="center" vertical="center" wrapText="1"/>
    </xf>
    <xf numFmtId="0" fontId="43" fillId="5" borderId="9" xfId="163" applyFont="1" applyFill="1" applyBorder="1" applyAlignment="1">
      <alignment horizontal="center" vertical="center" wrapText="1"/>
    </xf>
    <xf numFmtId="0" fontId="40" fillId="5" borderId="15" xfId="163" applyFont="1" applyFill="1" applyBorder="1" applyAlignment="1">
      <alignment horizontal="center" vertical="center" wrapText="1"/>
    </xf>
    <xf numFmtId="0" fontId="40" fillId="5" borderId="0" xfId="163" applyFont="1" applyFill="1" applyBorder="1" applyAlignment="1">
      <alignment horizontal="center" vertical="center" wrapText="1"/>
    </xf>
    <xf numFmtId="0" fontId="40" fillId="5" borderId="14" xfId="163" applyFont="1" applyFill="1" applyBorder="1" applyAlignment="1">
      <alignment horizontal="center" vertical="center" wrapText="1"/>
    </xf>
    <xf numFmtId="0" fontId="42" fillId="5" borderId="21" xfId="163" applyFont="1" applyFill="1" applyBorder="1" applyAlignment="1">
      <alignment horizontal="center" vertical="center" wrapText="1"/>
    </xf>
    <xf numFmtId="0" fontId="43" fillId="5" borderId="23" xfId="163" applyFont="1" applyFill="1" applyBorder="1" applyAlignment="1">
      <alignment horizontal="center" vertical="center" wrapText="1"/>
    </xf>
    <xf numFmtId="0" fontId="42" fillId="5" borderId="2" xfId="163" applyFont="1" applyFill="1" applyBorder="1" applyAlignment="1">
      <alignment horizontal="center" vertical="center" wrapText="1"/>
    </xf>
    <xf numFmtId="0" fontId="42" fillId="5" borderId="3" xfId="163" applyFont="1" applyFill="1" applyBorder="1" applyAlignment="1">
      <alignment horizontal="center" vertical="center" wrapText="1"/>
    </xf>
    <xf numFmtId="0" fontId="42" fillId="5" borderId="4" xfId="163" applyFont="1" applyFill="1" applyBorder="1" applyAlignment="1">
      <alignment horizontal="center" vertical="center" wrapText="1"/>
    </xf>
    <xf numFmtId="0" fontId="42" fillId="5" borderId="5" xfId="163" applyFont="1" applyFill="1" applyBorder="1" applyAlignment="1">
      <alignment horizontal="center" vertical="center" wrapText="1"/>
    </xf>
    <xf numFmtId="0" fontId="42" fillId="5" borderId="0" xfId="163" applyFont="1" applyFill="1" applyBorder="1" applyAlignment="1">
      <alignment horizontal="center" vertical="center" wrapText="1"/>
    </xf>
    <xf numFmtId="0" fontId="42" fillId="5" borderId="6" xfId="163" applyFont="1" applyFill="1" applyBorder="1" applyAlignment="1">
      <alignment horizontal="center" vertical="center" wrapText="1"/>
    </xf>
    <xf numFmtId="0" fontId="42" fillId="5" borderId="7" xfId="163" applyFont="1" applyFill="1" applyBorder="1" applyAlignment="1">
      <alignment horizontal="center" vertical="center" wrapText="1"/>
    </xf>
    <xf numFmtId="0" fontId="42" fillId="5" borderId="8" xfId="163" applyFont="1" applyFill="1" applyBorder="1" applyAlignment="1">
      <alignment horizontal="center" vertical="center" wrapText="1"/>
    </xf>
    <xf numFmtId="0" fontId="42" fillId="5" borderId="9" xfId="163" applyFont="1" applyFill="1" applyBorder="1" applyAlignment="1">
      <alignment horizontal="center" vertical="center" wrapText="1"/>
    </xf>
    <xf numFmtId="0" fontId="7" fillId="0" borderId="0" xfId="224" applyFont="1" applyAlignment="1">
      <alignment horizontal="right" wrapText="1"/>
    </xf>
    <xf numFmtId="0" fontId="23" fillId="0" borderId="0" xfId="224" applyFont="1" applyAlignment="1">
      <alignment horizontal="center"/>
    </xf>
    <xf numFmtId="0" fontId="41" fillId="5" borderId="21" xfId="163" applyFont="1" applyFill="1" applyBorder="1" applyAlignment="1">
      <alignment horizontal="center" vertical="center" wrapText="1"/>
    </xf>
    <xf numFmtId="0" fontId="40" fillId="5" borderId="22" xfId="163" applyFont="1" applyFill="1" applyBorder="1" applyAlignment="1">
      <alignment horizontal="center" vertical="center" wrapText="1"/>
    </xf>
    <xf numFmtId="0" fontId="40" fillId="5" borderId="23" xfId="163" applyFont="1" applyFill="1" applyBorder="1" applyAlignment="1">
      <alignment horizontal="center" vertical="center" wrapText="1"/>
    </xf>
  </cellXfs>
  <cellStyles count="309">
    <cellStyle name="Commentaire" xfId="164"/>
    <cellStyle name="Date" xfId="2"/>
    <cellStyle name="En-tête 1" xfId="3"/>
    <cellStyle name="En-tête 2" xfId="4"/>
    <cellStyle name="Financier0" xfId="5"/>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72" builtinId="8" hidden="1"/>
    <cellStyle name="Lien hypertexte" xfId="174" builtinId="8" hidden="1"/>
    <cellStyle name="Lien hypertexte" xfId="176" builtinId="8" hidden="1"/>
    <cellStyle name="Lien hypertexte" xfId="178" builtinId="8" hidden="1"/>
    <cellStyle name="Lien hypertexte" xfId="180" builtinId="8" hidden="1"/>
    <cellStyle name="Lien hypertexte" xfId="182" builtinId="8" hidden="1"/>
    <cellStyle name="Lien hypertexte" xfId="184" builtinId="8" hidden="1"/>
    <cellStyle name="Lien hypertexte" xfId="186" builtinId="8" hidden="1"/>
    <cellStyle name="Lien hypertexte" xfId="188" builtinId="8" hidden="1"/>
    <cellStyle name="Lien hypertexte" xfId="190" builtinId="8" hidden="1"/>
    <cellStyle name="Lien hypertexte" xfId="192" builtinId="8" hidden="1"/>
    <cellStyle name="Lien hypertexte" xfId="194" builtinId="8" hidden="1"/>
    <cellStyle name="Lien hypertexte" xfId="196" builtinId="8" hidden="1"/>
    <cellStyle name="Lien hypertexte" xfId="198" builtinId="8" hidden="1"/>
    <cellStyle name="Lien hypertexte" xfId="200" builtinId="8" hidden="1"/>
    <cellStyle name="Lien hypertexte" xfId="202" builtinId="8" hidden="1"/>
    <cellStyle name="Lien hypertexte" xfId="204" builtinId="8" hidden="1"/>
    <cellStyle name="Lien hypertexte" xfId="206" builtinId="8" hidden="1"/>
    <cellStyle name="Lien hypertexte" xfId="208" builtinId="8" hidden="1"/>
    <cellStyle name="Lien hypertexte" xfId="210" builtinId="8" hidden="1"/>
    <cellStyle name="Lien hypertexte" xfId="212" builtinId="8" hidden="1"/>
    <cellStyle name="Lien hypertexte" xfId="214" builtinId="8" hidden="1"/>
    <cellStyle name="Lien hypertexte" xfId="216" builtinId="8" hidden="1"/>
    <cellStyle name="Lien hypertexte" xfId="218" builtinId="8" hidden="1"/>
    <cellStyle name="Lien hypertexte" xfId="220" builtinId="8" hidden="1"/>
    <cellStyle name="Lien hypertexte" xfId="222" builtinId="8" hidden="1"/>
    <cellStyle name="Lien hypertexte" xfId="226" builtinId="8" hidden="1"/>
    <cellStyle name="Lien hypertexte" xfId="228" builtinId="8" hidden="1"/>
    <cellStyle name="Lien hypertexte" xfId="230" builtinId="8" hidden="1"/>
    <cellStyle name="Lien hypertexte" xfId="232" builtinId="8" hidden="1"/>
    <cellStyle name="Lien hypertexte" xfId="234" builtinId="8" hidden="1"/>
    <cellStyle name="Lien hypertexte" xfId="236" builtinId="8" hidden="1"/>
    <cellStyle name="Lien hypertexte" xfId="238" builtinId="8" hidden="1"/>
    <cellStyle name="Lien hypertexte" xfId="240" builtinId="8" hidden="1"/>
    <cellStyle name="Lien hypertexte" xfId="242" builtinId="8"/>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73" builtinId="9" hidden="1"/>
    <cellStyle name="Lien hypertexte visité" xfId="175" builtinId="9" hidden="1"/>
    <cellStyle name="Lien hypertexte visité" xfId="177" builtinId="9" hidden="1"/>
    <cellStyle name="Lien hypertexte visité" xfId="179" builtinId="9" hidden="1"/>
    <cellStyle name="Lien hypertexte visité" xfId="181" builtinId="9" hidden="1"/>
    <cellStyle name="Lien hypertexte visité" xfId="183" builtinId="9" hidden="1"/>
    <cellStyle name="Lien hypertexte visité" xfId="185" builtinId="9" hidden="1"/>
    <cellStyle name="Lien hypertexte visité" xfId="187" builtinId="9" hidden="1"/>
    <cellStyle name="Lien hypertexte visité" xfId="189" builtinId="9" hidden="1"/>
    <cellStyle name="Lien hypertexte visité" xfId="191" builtinId="9" hidden="1"/>
    <cellStyle name="Lien hypertexte visité" xfId="193" builtinId="9" hidden="1"/>
    <cellStyle name="Lien hypertexte visité" xfId="195" builtinId="9" hidden="1"/>
    <cellStyle name="Lien hypertexte visité" xfId="197" builtinId="9" hidden="1"/>
    <cellStyle name="Lien hypertexte visité" xfId="199" builtinId="9" hidden="1"/>
    <cellStyle name="Lien hypertexte visité" xfId="201" builtinId="9" hidden="1"/>
    <cellStyle name="Lien hypertexte visité" xfId="203" builtinId="9" hidden="1"/>
    <cellStyle name="Lien hypertexte visité" xfId="205" builtinId="9" hidden="1"/>
    <cellStyle name="Lien hypertexte visité" xfId="207" builtinId="9" hidden="1"/>
    <cellStyle name="Lien hypertexte visité" xfId="209" builtinId="9" hidden="1"/>
    <cellStyle name="Lien hypertexte visité" xfId="211" builtinId="9" hidden="1"/>
    <cellStyle name="Lien hypertexte visité" xfId="213" builtinId="9" hidden="1"/>
    <cellStyle name="Lien hypertexte visité" xfId="215" builtinId="9" hidden="1"/>
    <cellStyle name="Lien hypertexte visité" xfId="217" builtinId="9" hidden="1"/>
    <cellStyle name="Lien hypertexte visité" xfId="219" builtinId="9" hidden="1"/>
    <cellStyle name="Lien hypertexte visité" xfId="221" builtinId="9" hidden="1"/>
    <cellStyle name="Lien hypertexte visité" xfId="223" builtinId="9" hidden="1"/>
    <cellStyle name="Lien hypertexte visité" xfId="227" builtinId="9" hidden="1"/>
    <cellStyle name="Lien hypertexte visité" xfId="229" builtinId="9" hidden="1"/>
    <cellStyle name="Lien hypertexte visité" xfId="231" builtinId="9" hidden="1"/>
    <cellStyle name="Lien hypertexte visité" xfId="233" builtinId="9" hidden="1"/>
    <cellStyle name="Lien hypertexte visité" xfId="235" builtinId="9" hidden="1"/>
    <cellStyle name="Lien hypertexte visité" xfId="237" builtinId="9" hidden="1"/>
    <cellStyle name="Lien hypertexte visité" xfId="239" builtinId="9" hidden="1"/>
    <cellStyle name="Lien hypertexte visité" xfId="241" builtinId="9" hidden="1"/>
    <cellStyle name="Lien hypertexte visité" xfId="243" builtinId="9" hidden="1"/>
    <cellStyle name="Lien hypertexte visité" xfId="244" builtinId="9" hidden="1"/>
    <cellStyle name="Lien hypertexte visité" xfId="245" builtinId="9" hidden="1"/>
    <cellStyle name="Lien hypertexte visité" xfId="246" builtinId="9" hidden="1"/>
    <cellStyle name="Lien hypertexte visité" xfId="247" builtinId="9" hidden="1"/>
    <cellStyle name="Lien hypertexte visité" xfId="248" builtinId="9" hidden="1"/>
    <cellStyle name="Lien hypertexte visité" xfId="249" builtinId="9" hidden="1"/>
    <cellStyle name="Lien hypertexte visité" xfId="250" builtinId="9" hidden="1"/>
    <cellStyle name="Lien hypertexte visité" xfId="251" builtinId="9" hidden="1"/>
    <cellStyle name="Lien hypertexte visité" xfId="253" builtinId="9" hidden="1"/>
    <cellStyle name="Lien hypertexte visité" xfId="254" builtinId="9" hidden="1"/>
    <cellStyle name="Lien hypertexte visité" xfId="255" builtinId="9" hidden="1"/>
    <cellStyle name="Lien hypertexte visité" xfId="256" builtinId="9" hidden="1"/>
    <cellStyle name="Lien hypertexte visité" xfId="257" builtinId="9" hidden="1"/>
    <cellStyle name="Lien hypertexte visité" xfId="258" builtinId="9" hidden="1"/>
    <cellStyle name="Lien hypertexte visité" xfId="259" builtinId="9" hidden="1"/>
    <cellStyle name="Lien hypertexte visité" xfId="260" builtinId="9" hidden="1"/>
    <cellStyle name="Lien hypertexte visité" xfId="261" builtinId="9" hidden="1"/>
    <cellStyle name="Lien hypertexte visité" xfId="262" builtinId="9" hidden="1"/>
    <cellStyle name="Lien hypertexte visité" xfId="263" builtinId="9" hidden="1"/>
    <cellStyle name="Lien hypertexte visité" xfId="264" builtinId="9" hidden="1"/>
    <cellStyle name="Lien hypertexte visité" xfId="265" builtinId="9" hidden="1"/>
    <cellStyle name="Lien hypertexte visité" xfId="266" builtinId="9" hidden="1"/>
    <cellStyle name="Lien hypertexte visité" xfId="267" builtinId="9" hidden="1"/>
    <cellStyle name="Lien hypertexte visité" xfId="268" builtinId="9" hidden="1"/>
    <cellStyle name="Lien hypertexte visité" xfId="269" builtinId="9" hidden="1"/>
    <cellStyle name="Lien hypertexte visité" xfId="270" builtinId="9" hidden="1"/>
    <cellStyle name="Lien hypertexte visité" xfId="271" builtinId="9" hidden="1"/>
    <cellStyle name="Lien hypertexte visité" xfId="272" builtinId="9" hidden="1"/>
    <cellStyle name="Lien hypertexte visité" xfId="273" builtinId="9" hidden="1"/>
    <cellStyle name="Lien hypertexte visité" xfId="274" builtinId="9" hidden="1"/>
    <cellStyle name="Lien hypertexte visité" xfId="275" builtinId="9" hidden="1"/>
    <cellStyle name="Lien hypertexte visité" xfId="276" builtinId="9" hidden="1"/>
    <cellStyle name="Lien hypertexte visité" xfId="277" builtinId="9" hidden="1"/>
    <cellStyle name="Lien hypertexte visité" xfId="278" builtinId="9" hidden="1"/>
    <cellStyle name="Lien hypertexte visité" xfId="279" builtinId="9" hidden="1"/>
    <cellStyle name="Lien hypertexte visité" xfId="280" builtinId="9" hidden="1"/>
    <cellStyle name="Lien hypertexte visité" xfId="281" builtinId="9" hidden="1"/>
    <cellStyle name="Lien hypertexte visité" xfId="282" builtinId="9" hidden="1"/>
    <cellStyle name="Lien hypertexte visité" xfId="283" builtinId="9" hidden="1"/>
    <cellStyle name="Lien hypertexte visité" xfId="284" builtinId="9" hidden="1"/>
    <cellStyle name="Lien hypertexte visité" xfId="285" builtinId="9" hidden="1"/>
    <cellStyle name="Lien hypertexte visité" xfId="286" builtinId="9" hidden="1"/>
    <cellStyle name="Lien hypertexte visité" xfId="287" builtinId="9" hidden="1"/>
    <cellStyle name="Lien hypertexte visité" xfId="288" builtinId="9" hidden="1"/>
    <cellStyle name="Lien hypertexte visité" xfId="289" builtinId="9" hidden="1"/>
    <cellStyle name="Lien hypertexte visité" xfId="290" builtinId="9" hidden="1"/>
    <cellStyle name="Lien hypertexte visité" xfId="291" builtinId="9" hidden="1"/>
    <cellStyle name="Lien hypertexte visité" xfId="292" builtinId="9" hidden="1"/>
    <cellStyle name="Lien hypertexte visité" xfId="293" builtinId="9" hidden="1"/>
    <cellStyle name="Lien hypertexte visité" xfId="294" builtinId="9" hidden="1"/>
    <cellStyle name="Lien hypertexte visité" xfId="295" builtinId="9" hidden="1"/>
    <cellStyle name="Lien hypertexte visité" xfId="296" builtinId="9" hidden="1"/>
    <cellStyle name="Lien hypertexte visité" xfId="297" builtinId="9" hidden="1"/>
    <cellStyle name="Lien hypertexte visité" xfId="298" builtinId="9" hidden="1"/>
    <cellStyle name="Lien hypertexte visité" xfId="299" builtinId="9" hidden="1"/>
    <cellStyle name="Lien hypertexte visité" xfId="300" builtinId="9" hidden="1"/>
    <cellStyle name="Lien hypertexte visité" xfId="301" builtinId="9" hidden="1"/>
    <cellStyle name="Lien hypertexte visité" xfId="302" builtinId="9" hidden="1"/>
    <cellStyle name="Lien hypertexte visité" xfId="303" builtinId="9" hidden="1"/>
    <cellStyle name="Lien hypertexte visité" xfId="304" builtinId="9" hidden="1"/>
    <cellStyle name="Lien hypertexte visité" xfId="305" builtinId="9" hidden="1"/>
    <cellStyle name="Lien hypertexte visité" xfId="306" builtinId="9" hidden="1"/>
    <cellStyle name="Lien hypertexte visité" xfId="307" builtinId="9" hidden="1"/>
    <cellStyle name="Lien hypertexte visité" xfId="308" builtinId="9" hidden="1"/>
    <cellStyle name="Monétaire0" xfId="6"/>
    <cellStyle name="Normal" xfId="0" builtinId="0"/>
    <cellStyle name="Normal 2" xfId="7"/>
    <cellStyle name="Normal 3" xfId="8"/>
    <cellStyle name="Normal 4" xfId="9"/>
    <cellStyle name="Normal 5" xfId="163"/>
    <cellStyle name="Normal 6" xfId="10"/>
    <cellStyle name="Normal 7" xfId="224"/>
    <cellStyle name="Pourcentage" xfId="1" builtinId="5"/>
    <cellStyle name="Pourcentage 2" xfId="11"/>
    <cellStyle name="Pourcentage 3" xfId="12"/>
    <cellStyle name="Pourcentage 3 2" xfId="13"/>
    <cellStyle name="Pourcentage 4" xfId="225"/>
    <cellStyle name="Pourcentage 5" xfId="252"/>
    <cellStyle name="Satisfaisant" xfId="165"/>
    <cellStyle name="Standard 11" xfId="14"/>
    <cellStyle name="style_col_headings" xfId="15"/>
    <cellStyle name="Titre" xfId="166"/>
    <cellStyle name="Titre 1" xfId="167"/>
    <cellStyle name="Titre 2" xfId="168"/>
    <cellStyle name="Titre 3" xfId="169"/>
    <cellStyle name="Titre 4" xfId="170"/>
    <cellStyle name="Vérification" xfId="171"/>
    <cellStyle name="Virgule fixe" xfId="16"/>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chartsheet" Target="chartsheets/sheet2.xml"/><Relationship Id="rId20" Type="http://schemas.openxmlformats.org/officeDocument/2006/relationships/calcChain" Target="calcChain.xml"/><Relationship Id="rId10" Type="http://schemas.openxmlformats.org/officeDocument/2006/relationships/worksheet" Target="worksheets/sheet8.xml"/><Relationship Id="rId11" Type="http://schemas.openxmlformats.org/officeDocument/2006/relationships/chartsheet" Target="chartsheets/sheet3.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chartsheet" Target="chartsheets/sheet4.xml"/><Relationship Id="rId15" Type="http://schemas.openxmlformats.org/officeDocument/2006/relationships/worksheet" Target="worksheets/sheet11.xml"/><Relationship Id="rId16" Type="http://schemas.openxmlformats.org/officeDocument/2006/relationships/worksheet" Target="worksheets/sheet12.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chartsheet" Target="chartsheets/sheet1.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sz="2200">
                <a:latin typeface="Arial"/>
                <a:cs typeface="Arial"/>
              </a:rPr>
              <a:t>La richesse des Européens dans les paradis fiscaux</a:t>
            </a:r>
          </a:p>
          <a:p>
            <a:pPr>
              <a:defRPr/>
            </a:pPr>
            <a:r>
              <a:rPr lang="fr-FR" sz="2200">
                <a:latin typeface="Arial"/>
                <a:cs typeface="Arial"/>
              </a:rPr>
              <a:t>(% du patrimoine financier européen)</a:t>
            </a:r>
          </a:p>
        </c:rich>
      </c:tx>
      <c:layout/>
      <c:overlay val="0"/>
    </c:title>
    <c:autoTitleDeleted val="0"/>
    <c:plotArea>
      <c:layout/>
      <c:lineChart>
        <c:grouping val="standard"/>
        <c:varyColors val="0"/>
        <c:ser>
          <c:idx val="1"/>
          <c:order val="0"/>
          <c:tx>
            <c:v>Dans tous les paradis fiscaux</c:v>
          </c:tx>
          <c:spPr>
            <a:ln>
              <a:solidFill>
                <a:schemeClr val="tx1"/>
              </a:solidFill>
            </a:ln>
            <a:effectLst/>
          </c:spPr>
          <c:marker>
            <c:symbol val="circle"/>
            <c:size val="12"/>
            <c:spPr>
              <a:solidFill>
                <a:schemeClr val="bg1"/>
              </a:solidFill>
              <a:ln>
                <a:solidFill>
                  <a:schemeClr val="tx1"/>
                </a:solidFill>
              </a:ln>
              <a:effectLst/>
            </c:spPr>
          </c:marker>
          <c:cat>
            <c:numRef>
              <c:f>'Données-G1'!$A$3:$A$14</c:f>
              <c:numCache>
                <c:formatCode>General</c:formatCode>
                <c:ptCount val="12"/>
                <c:pt idx="0">
                  <c:v>1910.0</c:v>
                </c:pt>
                <c:pt idx="1">
                  <c:v>1920.0</c:v>
                </c:pt>
                <c:pt idx="2">
                  <c:v>1930.0</c:v>
                </c:pt>
                <c:pt idx="3">
                  <c:v>1940.0</c:v>
                </c:pt>
                <c:pt idx="4">
                  <c:v>1950.0</c:v>
                </c:pt>
                <c:pt idx="5">
                  <c:v>1960.0</c:v>
                </c:pt>
                <c:pt idx="6">
                  <c:v>1970.0</c:v>
                </c:pt>
                <c:pt idx="7">
                  <c:v>1980.0</c:v>
                </c:pt>
                <c:pt idx="8">
                  <c:v>1990.0</c:v>
                </c:pt>
                <c:pt idx="9">
                  <c:v>2000.0</c:v>
                </c:pt>
                <c:pt idx="10">
                  <c:v>2010.0</c:v>
                </c:pt>
                <c:pt idx="11">
                  <c:v>2013.0</c:v>
                </c:pt>
              </c:numCache>
            </c:numRef>
          </c:cat>
          <c:val>
            <c:numRef>
              <c:f>'Données-G1'!$L$3:$L$14</c:f>
              <c:numCache>
                <c:formatCode>0.0%</c:formatCode>
                <c:ptCount val="12"/>
                <c:pt idx="0">
                  <c:v>0.00403712238827545</c:v>
                </c:pt>
                <c:pt idx="1">
                  <c:v>0.0137152823956428</c:v>
                </c:pt>
                <c:pt idx="2">
                  <c:v>0.0218730873462637</c:v>
                </c:pt>
                <c:pt idx="3">
                  <c:v>0.0164563263483926</c:v>
                </c:pt>
                <c:pt idx="4">
                  <c:v>0.0199079625285766</c:v>
                </c:pt>
                <c:pt idx="5">
                  <c:v>0.0317702142547079</c:v>
                </c:pt>
                <c:pt idx="6">
                  <c:v>0.0454711925314217</c:v>
                </c:pt>
                <c:pt idx="7">
                  <c:v>0.0603769540251373</c:v>
                </c:pt>
                <c:pt idx="8">
                  <c:v>0.075282715518853</c:v>
                </c:pt>
                <c:pt idx="9">
                  <c:v>0.0901884770125687</c:v>
                </c:pt>
                <c:pt idx="10">
                  <c:v>0.105094238506284</c:v>
                </c:pt>
                <c:pt idx="11">
                  <c:v>0.12</c:v>
                </c:pt>
              </c:numCache>
            </c:numRef>
          </c:val>
          <c:smooth val="0"/>
        </c:ser>
        <c:ser>
          <c:idx val="0"/>
          <c:order val="1"/>
          <c:tx>
            <c:v>En Suisse</c:v>
          </c:tx>
          <c:spPr>
            <a:ln>
              <a:solidFill>
                <a:schemeClr val="tx1"/>
              </a:solidFill>
            </a:ln>
            <a:effectLst/>
          </c:spPr>
          <c:marker>
            <c:symbol val="circle"/>
            <c:size val="12"/>
            <c:spPr>
              <a:solidFill>
                <a:schemeClr val="tx1"/>
              </a:solidFill>
              <a:ln>
                <a:solidFill>
                  <a:schemeClr val="tx1"/>
                </a:solidFill>
              </a:ln>
              <a:effectLst/>
            </c:spPr>
          </c:marker>
          <c:cat>
            <c:numRef>
              <c:f>'Données-G1'!$A$3:$A$14</c:f>
              <c:numCache>
                <c:formatCode>General</c:formatCode>
                <c:ptCount val="12"/>
                <c:pt idx="0">
                  <c:v>1910.0</c:v>
                </c:pt>
                <c:pt idx="1">
                  <c:v>1920.0</c:v>
                </c:pt>
                <c:pt idx="2">
                  <c:v>1930.0</c:v>
                </c:pt>
                <c:pt idx="3">
                  <c:v>1940.0</c:v>
                </c:pt>
                <c:pt idx="4">
                  <c:v>1950.0</c:v>
                </c:pt>
                <c:pt idx="5">
                  <c:v>1960.0</c:v>
                </c:pt>
                <c:pt idx="6">
                  <c:v>1970.0</c:v>
                </c:pt>
                <c:pt idx="7">
                  <c:v>1980.0</c:v>
                </c:pt>
                <c:pt idx="8">
                  <c:v>1990.0</c:v>
                </c:pt>
                <c:pt idx="9">
                  <c:v>2000.0</c:v>
                </c:pt>
                <c:pt idx="10">
                  <c:v>2010.0</c:v>
                </c:pt>
                <c:pt idx="11">
                  <c:v>2013.0</c:v>
                </c:pt>
              </c:numCache>
            </c:numRef>
          </c:cat>
          <c:val>
            <c:numRef>
              <c:f>'Données-G1'!$K$3:$K$14</c:f>
              <c:numCache>
                <c:formatCode>0.0%</c:formatCode>
                <c:ptCount val="12"/>
                <c:pt idx="0">
                  <c:v>0.00403712238827545</c:v>
                </c:pt>
                <c:pt idx="1">
                  <c:v>0.0137152823956428</c:v>
                </c:pt>
                <c:pt idx="2">
                  <c:v>0.0218730873462637</c:v>
                </c:pt>
                <c:pt idx="3">
                  <c:v>0.0164563263483926</c:v>
                </c:pt>
                <c:pt idx="4">
                  <c:v>0.0199079625285766</c:v>
                </c:pt>
                <c:pt idx="5">
                  <c:v>0.0317702142547079</c:v>
                </c:pt>
                <c:pt idx="6">
                  <c:v>0.0454711925314217</c:v>
                </c:pt>
                <c:pt idx="7">
                  <c:v>0.0553636738218822</c:v>
                </c:pt>
                <c:pt idx="8">
                  <c:v>0.054864763141778</c:v>
                </c:pt>
                <c:pt idx="9">
                  <c:v>0.0588072661891313</c:v>
                </c:pt>
                <c:pt idx="10">
                  <c:v>0.0569814030519214</c:v>
                </c:pt>
                <c:pt idx="11">
                  <c:v>0.0602998556454009</c:v>
                </c:pt>
              </c:numCache>
            </c:numRef>
          </c:val>
          <c:smooth val="0"/>
        </c:ser>
        <c:dLbls>
          <c:showLegendKey val="0"/>
          <c:showVal val="0"/>
          <c:showCatName val="0"/>
          <c:showSerName val="0"/>
          <c:showPercent val="0"/>
          <c:showBubbleSize val="0"/>
        </c:dLbls>
        <c:marker val="1"/>
        <c:smooth val="0"/>
        <c:axId val="2091344264"/>
        <c:axId val="2093395544"/>
      </c:lineChart>
      <c:catAx>
        <c:axId val="2091344264"/>
        <c:scaling>
          <c:orientation val="minMax"/>
        </c:scaling>
        <c:delete val="0"/>
        <c:axPos val="b"/>
        <c:numFmt formatCode="General" sourceLinked="1"/>
        <c:majorTickMark val="out"/>
        <c:minorTickMark val="none"/>
        <c:tickLblPos val="nextTo"/>
        <c:txPr>
          <a:bodyPr/>
          <a:lstStyle/>
          <a:p>
            <a:pPr>
              <a:defRPr sz="2000">
                <a:latin typeface="Arial"/>
                <a:cs typeface="Arial"/>
              </a:defRPr>
            </a:pPr>
            <a:endParaRPr lang="fr-FR"/>
          </a:p>
        </c:txPr>
        <c:crossAx val="2093395544"/>
        <c:crosses val="autoZero"/>
        <c:auto val="1"/>
        <c:lblAlgn val="ctr"/>
        <c:lblOffset val="100"/>
        <c:noMultiLvlLbl val="0"/>
      </c:catAx>
      <c:valAx>
        <c:axId val="2093395544"/>
        <c:scaling>
          <c:orientation val="minMax"/>
          <c:max val="0.12"/>
        </c:scaling>
        <c:delete val="0"/>
        <c:axPos val="l"/>
        <c:majorGridlines>
          <c:spPr>
            <a:ln>
              <a:noFill/>
            </a:ln>
          </c:spPr>
        </c:majorGridlines>
        <c:numFmt formatCode="0%" sourceLinked="0"/>
        <c:majorTickMark val="out"/>
        <c:minorTickMark val="none"/>
        <c:tickLblPos val="nextTo"/>
        <c:txPr>
          <a:bodyPr/>
          <a:lstStyle/>
          <a:p>
            <a:pPr>
              <a:defRPr sz="2000">
                <a:latin typeface="Arial"/>
                <a:cs typeface="Arial"/>
              </a:defRPr>
            </a:pPr>
            <a:endParaRPr lang="fr-FR"/>
          </a:p>
        </c:txPr>
        <c:crossAx val="2091344264"/>
        <c:crosses val="autoZero"/>
        <c:crossBetween val="midCat"/>
      </c:valAx>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sz="2000">
                <a:latin typeface="Arial"/>
                <a:cs typeface="Arial"/>
              </a:rPr>
              <a:t>Sans le secret bancaire, la dette publique française ne serait pas de 94 % du PIB mais de 70 % </a:t>
            </a:r>
          </a:p>
        </c:rich>
      </c:tx>
      <c:overlay val="0"/>
    </c:title>
    <c:autoTitleDeleted val="0"/>
    <c:plotArea>
      <c:layout>
        <c:manualLayout>
          <c:layoutTarget val="inner"/>
          <c:xMode val="edge"/>
          <c:yMode val="edge"/>
          <c:x val="0.0781840890578333"/>
          <c:y val="0.160633484162896"/>
          <c:w val="0.880467445017649"/>
          <c:h val="0.7523682616596"/>
        </c:manualLayout>
      </c:layout>
      <c:lineChart>
        <c:grouping val="standard"/>
        <c:varyColors val="0"/>
        <c:ser>
          <c:idx val="0"/>
          <c:order val="0"/>
          <c:tx>
            <c:v>Dette publique avec secret bancaire</c:v>
          </c:tx>
          <c:spPr>
            <a:ln w="25400">
              <a:solidFill>
                <a:schemeClr val="tx1"/>
              </a:solidFill>
            </a:ln>
            <a:effectLst/>
          </c:spPr>
          <c:marker>
            <c:symbol val="square"/>
            <c:size val="10"/>
            <c:spPr>
              <a:solidFill>
                <a:schemeClr val="tx1"/>
              </a:solidFill>
              <a:ln>
                <a:solidFill>
                  <a:schemeClr val="bg1"/>
                </a:solidFill>
              </a:ln>
              <a:effectLst/>
            </c:spPr>
          </c:marker>
          <c:cat>
            <c:numRef>
              <c:f>'Données-G2'!$A$23:$A$48</c:f>
              <c:numCache>
                <c:formatCode>General</c:formatCode>
                <c:ptCount val="26"/>
                <c:pt idx="0">
                  <c:v>1988.0</c:v>
                </c:pt>
                <c:pt idx="1">
                  <c:v>1989.0</c:v>
                </c:pt>
                <c:pt idx="2">
                  <c:v>1990.0</c:v>
                </c:pt>
                <c:pt idx="3">
                  <c:v>1991.0</c:v>
                </c:pt>
                <c:pt idx="4">
                  <c:v>1992.0</c:v>
                </c:pt>
                <c:pt idx="5">
                  <c:v>1993.0</c:v>
                </c:pt>
                <c:pt idx="6">
                  <c:v>1994.0</c:v>
                </c:pt>
                <c:pt idx="7">
                  <c:v>1995.0</c:v>
                </c:pt>
                <c:pt idx="8">
                  <c:v>1996.0</c:v>
                </c:pt>
                <c:pt idx="9">
                  <c:v>1997.0</c:v>
                </c:pt>
                <c:pt idx="10">
                  <c:v>1998.0</c:v>
                </c:pt>
                <c:pt idx="11">
                  <c:v>1999.0</c:v>
                </c:pt>
                <c:pt idx="12">
                  <c:v>2000.0</c:v>
                </c:pt>
                <c:pt idx="13">
                  <c:v>2001.0</c:v>
                </c:pt>
                <c:pt idx="14">
                  <c:v>2002.0</c:v>
                </c:pt>
                <c:pt idx="15">
                  <c:v>2003.0</c:v>
                </c:pt>
                <c:pt idx="16">
                  <c:v>2004.0</c:v>
                </c:pt>
                <c:pt idx="17">
                  <c:v>2005.0</c:v>
                </c:pt>
                <c:pt idx="18">
                  <c:v>2006.0</c:v>
                </c:pt>
                <c:pt idx="19">
                  <c:v>2007.0</c:v>
                </c:pt>
                <c:pt idx="20">
                  <c:v>2008.0</c:v>
                </c:pt>
                <c:pt idx="21">
                  <c:v>2009.0</c:v>
                </c:pt>
                <c:pt idx="22">
                  <c:v>2010.0</c:v>
                </c:pt>
                <c:pt idx="23">
                  <c:v>2011.0</c:v>
                </c:pt>
                <c:pt idx="24">
                  <c:v>2012.0</c:v>
                </c:pt>
                <c:pt idx="25">
                  <c:v>2013.0</c:v>
                </c:pt>
              </c:numCache>
            </c:numRef>
          </c:cat>
          <c:val>
            <c:numRef>
              <c:f>'Données-G2'!$D$23:$D$48</c:f>
              <c:numCache>
                <c:formatCode>0%</c:formatCode>
                <c:ptCount val="26"/>
                <c:pt idx="0">
                  <c:v>0.333057581894163</c:v>
                </c:pt>
                <c:pt idx="1">
                  <c:v>0.340304660989477</c:v>
                </c:pt>
                <c:pt idx="2">
                  <c:v>0.35205962627457</c:v>
                </c:pt>
                <c:pt idx="3">
                  <c:v>0.359512388800652</c:v>
                </c:pt>
                <c:pt idx="4">
                  <c:v>0.39720768682164</c:v>
                </c:pt>
                <c:pt idx="5">
                  <c:v>0.460247320872127</c:v>
                </c:pt>
                <c:pt idx="6">
                  <c:v>0.49227843994026</c:v>
                </c:pt>
                <c:pt idx="7">
                  <c:v>0.554682173802365</c:v>
                </c:pt>
                <c:pt idx="8">
                  <c:v>0.581033602281154</c:v>
                </c:pt>
                <c:pt idx="9">
                  <c:v>0.594935403850849</c:v>
                </c:pt>
                <c:pt idx="10">
                  <c:v>0.596016890425315</c:v>
                </c:pt>
                <c:pt idx="11">
                  <c:v>0.589537109857779</c:v>
                </c:pt>
                <c:pt idx="12">
                  <c:v>0.574672163180498</c:v>
                </c:pt>
                <c:pt idx="13">
                  <c:v>0.570557952586922</c:v>
                </c:pt>
                <c:pt idx="14">
                  <c:v>0.591083850105024</c:v>
                </c:pt>
                <c:pt idx="15">
                  <c:v>0.632847379933757</c:v>
                </c:pt>
                <c:pt idx="16">
                  <c:v>0.652040660760308</c:v>
                </c:pt>
                <c:pt idx="17">
                  <c:v>0.667967678652833</c:v>
                </c:pt>
                <c:pt idx="18">
                  <c:v>0.640781963548249</c:v>
                </c:pt>
                <c:pt idx="19">
                  <c:v>0.642148128249824</c:v>
                </c:pt>
                <c:pt idx="20">
                  <c:v>0.682083286993811</c:v>
                </c:pt>
                <c:pt idx="21">
                  <c:v>0.791934087157294</c:v>
                </c:pt>
                <c:pt idx="22">
                  <c:v>0.823557354702796</c:v>
                </c:pt>
                <c:pt idx="23">
                  <c:v>0.857850362596545</c:v>
                </c:pt>
                <c:pt idx="24">
                  <c:v>0.902328815312235</c:v>
                </c:pt>
                <c:pt idx="25">
                  <c:v>0.94</c:v>
                </c:pt>
              </c:numCache>
            </c:numRef>
          </c:val>
          <c:smooth val="0"/>
        </c:ser>
        <c:ser>
          <c:idx val="2"/>
          <c:order val="1"/>
          <c:tx>
            <c:v>Dette publique sans secret bancaire</c:v>
          </c:tx>
          <c:spPr>
            <a:ln w="25400" cmpd="sng">
              <a:solidFill>
                <a:schemeClr val="tx1"/>
              </a:solidFill>
              <a:prstDash val="solid"/>
            </a:ln>
            <a:effectLst/>
          </c:spPr>
          <c:marker>
            <c:symbol val="diamond"/>
            <c:size val="10"/>
            <c:spPr>
              <a:solidFill>
                <a:schemeClr val="bg1"/>
              </a:solidFill>
              <a:ln>
                <a:solidFill>
                  <a:schemeClr val="tx1"/>
                </a:solidFill>
              </a:ln>
              <a:effectLst/>
            </c:spPr>
          </c:marker>
          <c:cat>
            <c:numRef>
              <c:f>'Données-G2'!$A$23:$A$48</c:f>
              <c:numCache>
                <c:formatCode>General</c:formatCode>
                <c:ptCount val="26"/>
                <c:pt idx="0">
                  <c:v>1988.0</c:v>
                </c:pt>
                <c:pt idx="1">
                  <c:v>1989.0</c:v>
                </c:pt>
                <c:pt idx="2">
                  <c:v>1990.0</c:v>
                </c:pt>
                <c:pt idx="3">
                  <c:v>1991.0</c:v>
                </c:pt>
                <c:pt idx="4">
                  <c:v>1992.0</c:v>
                </c:pt>
                <c:pt idx="5">
                  <c:v>1993.0</c:v>
                </c:pt>
                <c:pt idx="6">
                  <c:v>1994.0</c:v>
                </c:pt>
                <c:pt idx="7">
                  <c:v>1995.0</c:v>
                </c:pt>
                <c:pt idx="8">
                  <c:v>1996.0</c:v>
                </c:pt>
                <c:pt idx="9">
                  <c:v>1997.0</c:v>
                </c:pt>
                <c:pt idx="10">
                  <c:v>1998.0</c:v>
                </c:pt>
                <c:pt idx="11">
                  <c:v>1999.0</c:v>
                </c:pt>
                <c:pt idx="12">
                  <c:v>2000.0</c:v>
                </c:pt>
                <c:pt idx="13">
                  <c:v>2001.0</c:v>
                </c:pt>
                <c:pt idx="14">
                  <c:v>2002.0</c:v>
                </c:pt>
                <c:pt idx="15">
                  <c:v>2003.0</c:v>
                </c:pt>
                <c:pt idx="16">
                  <c:v>2004.0</c:v>
                </c:pt>
                <c:pt idx="17">
                  <c:v>2005.0</c:v>
                </c:pt>
                <c:pt idx="18">
                  <c:v>2006.0</c:v>
                </c:pt>
                <c:pt idx="19">
                  <c:v>2007.0</c:v>
                </c:pt>
                <c:pt idx="20">
                  <c:v>2008.0</c:v>
                </c:pt>
                <c:pt idx="21">
                  <c:v>2009.0</c:v>
                </c:pt>
                <c:pt idx="22">
                  <c:v>2010.0</c:v>
                </c:pt>
                <c:pt idx="23">
                  <c:v>2011.0</c:v>
                </c:pt>
                <c:pt idx="24">
                  <c:v>2012.0</c:v>
                </c:pt>
                <c:pt idx="25">
                  <c:v>2013.0</c:v>
                </c:pt>
              </c:numCache>
            </c:numRef>
          </c:cat>
          <c:val>
            <c:numRef>
              <c:f>'Données-G2'!$AE$23:$AE$48</c:f>
              <c:numCache>
                <c:formatCode>0%</c:formatCode>
                <c:ptCount val="26"/>
                <c:pt idx="0">
                  <c:v>0.292089965221791</c:v>
                </c:pt>
                <c:pt idx="1">
                  <c:v>0.296355744670918</c:v>
                </c:pt>
                <c:pt idx="2">
                  <c:v>0.303437836111069</c:v>
                </c:pt>
                <c:pt idx="3">
                  <c:v>0.305407009938833</c:v>
                </c:pt>
                <c:pt idx="4">
                  <c:v>0.33727317099167</c:v>
                </c:pt>
                <c:pt idx="5">
                  <c:v>0.391995355407538</c:v>
                </c:pt>
                <c:pt idx="6">
                  <c:v>0.416743236140258</c:v>
                </c:pt>
                <c:pt idx="7">
                  <c:v>0.472189111069083</c:v>
                </c:pt>
                <c:pt idx="8">
                  <c:v>0.490600790575221</c:v>
                </c:pt>
                <c:pt idx="9">
                  <c:v>0.496662404207826</c:v>
                </c:pt>
                <c:pt idx="10">
                  <c:v>0.490442008145254</c:v>
                </c:pt>
                <c:pt idx="11">
                  <c:v>0.475439122753811</c:v>
                </c:pt>
                <c:pt idx="12">
                  <c:v>0.453507835010218</c:v>
                </c:pt>
                <c:pt idx="13">
                  <c:v>0.440388591517432</c:v>
                </c:pt>
                <c:pt idx="14">
                  <c:v>0.452044016705998</c:v>
                </c:pt>
                <c:pt idx="15">
                  <c:v>0.48546749145049</c:v>
                </c:pt>
                <c:pt idx="16">
                  <c:v>0.498766090572571</c:v>
                </c:pt>
                <c:pt idx="17">
                  <c:v>0.50782540951613</c:v>
                </c:pt>
                <c:pt idx="18">
                  <c:v>0.474898562658991</c:v>
                </c:pt>
                <c:pt idx="19">
                  <c:v>0.470345599011636</c:v>
                </c:pt>
                <c:pt idx="20">
                  <c:v>0.500327744188519</c:v>
                </c:pt>
                <c:pt idx="21">
                  <c:v>0.593378890928617</c:v>
                </c:pt>
                <c:pt idx="22">
                  <c:v>0.61756630810126</c:v>
                </c:pt>
                <c:pt idx="23">
                  <c:v>0.644552711404492</c:v>
                </c:pt>
                <c:pt idx="24">
                  <c:v>0.679948924697926</c:v>
                </c:pt>
                <c:pt idx="25">
                  <c:v>0.705327149752312</c:v>
                </c:pt>
              </c:numCache>
            </c:numRef>
          </c:val>
          <c:smooth val="0"/>
        </c:ser>
        <c:dLbls>
          <c:showLegendKey val="0"/>
          <c:showVal val="0"/>
          <c:showCatName val="0"/>
          <c:showSerName val="0"/>
          <c:showPercent val="0"/>
          <c:showBubbleSize val="0"/>
        </c:dLbls>
        <c:marker val="1"/>
        <c:smooth val="0"/>
        <c:axId val="2095170648"/>
        <c:axId val="2095100888"/>
      </c:lineChart>
      <c:catAx>
        <c:axId val="2095170648"/>
        <c:scaling>
          <c:orientation val="minMax"/>
        </c:scaling>
        <c:delete val="0"/>
        <c:axPos val="b"/>
        <c:majorGridlines>
          <c:spPr>
            <a:ln>
              <a:noFill/>
            </a:ln>
          </c:spPr>
        </c:majorGridlines>
        <c:numFmt formatCode="General" sourceLinked="1"/>
        <c:majorTickMark val="out"/>
        <c:minorTickMark val="none"/>
        <c:tickLblPos val="nextTo"/>
        <c:txPr>
          <a:bodyPr/>
          <a:lstStyle/>
          <a:p>
            <a:pPr>
              <a:defRPr sz="2000">
                <a:latin typeface="Arial"/>
                <a:cs typeface="Arial"/>
              </a:defRPr>
            </a:pPr>
            <a:endParaRPr lang="fr-FR"/>
          </a:p>
        </c:txPr>
        <c:crossAx val="2095100888"/>
        <c:crosses val="autoZero"/>
        <c:auto val="1"/>
        <c:lblAlgn val="ctr"/>
        <c:lblOffset val="100"/>
        <c:tickLblSkip val="5"/>
        <c:tickMarkSkip val="5"/>
        <c:noMultiLvlLbl val="0"/>
      </c:catAx>
      <c:valAx>
        <c:axId val="2095100888"/>
        <c:scaling>
          <c:orientation val="minMax"/>
          <c:max val="1.0"/>
          <c:min val="0.2"/>
        </c:scaling>
        <c:delete val="0"/>
        <c:axPos val="l"/>
        <c:majorGridlines>
          <c:spPr>
            <a:ln>
              <a:noFill/>
            </a:ln>
          </c:spPr>
        </c:majorGridlines>
        <c:numFmt formatCode="0%" sourceLinked="1"/>
        <c:majorTickMark val="out"/>
        <c:minorTickMark val="none"/>
        <c:tickLblPos val="nextTo"/>
        <c:txPr>
          <a:bodyPr/>
          <a:lstStyle/>
          <a:p>
            <a:pPr>
              <a:defRPr sz="2000">
                <a:latin typeface="Arial"/>
                <a:cs typeface="Arial"/>
              </a:defRPr>
            </a:pPr>
            <a:endParaRPr lang="fr-FR"/>
          </a:p>
        </c:txPr>
        <c:crossAx val="2095170648"/>
        <c:crossesAt val="-32766.0"/>
        <c:crossBetween val="between"/>
        <c:majorUnit val="0.1"/>
      </c:valAx>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2000">
                <a:latin typeface="Arial"/>
                <a:cs typeface="Arial"/>
              </a:rPr>
              <a:t>Qui détient les comptes en Suisse ? </a:t>
            </a:r>
          </a:p>
          <a:p>
            <a:pPr>
              <a:defRPr/>
            </a:pPr>
            <a:r>
              <a:rPr lang="fr-FR" sz="2000">
                <a:latin typeface="Arial"/>
                <a:cs typeface="Arial"/>
              </a:rPr>
              <a:t>L'effet</a:t>
            </a:r>
            <a:r>
              <a:rPr lang="fr-FR" sz="2000" baseline="0">
                <a:latin typeface="Arial"/>
                <a:cs typeface="Arial"/>
              </a:rPr>
              <a:t> de la directive épargne de 2005</a:t>
            </a:r>
            <a:endParaRPr lang="fr-FR" sz="2000">
              <a:latin typeface="Arial"/>
              <a:cs typeface="Arial"/>
            </a:endParaRPr>
          </a:p>
        </c:rich>
      </c:tx>
      <c:overlay val="0"/>
    </c:title>
    <c:autoTitleDeleted val="0"/>
    <c:plotArea>
      <c:layout>
        <c:manualLayout>
          <c:layoutTarget val="inner"/>
          <c:xMode val="edge"/>
          <c:yMode val="edge"/>
          <c:x val="0.114453217485745"/>
          <c:y val="0.115384615384615"/>
          <c:w val="0.846896551724138"/>
          <c:h val="0.791855203619909"/>
        </c:manualLayout>
      </c:layout>
      <c:lineChart>
        <c:grouping val="standard"/>
        <c:varyColors val="0"/>
        <c:ser>
          <c:idx val="6"/>
          <c:order val="0"/>
          <c:tx>
            <c:strRef>
              <c:f>'Données-G3'!$B$1</c:f>
              <c:strCache>
                <c:ptCount val="1"/>
                <c:pt idx="0">
                  <c:v>Tax havens</c:v>
                </c:pt>
              </c:strCache>
            </c:strRef>
          </c:tx>
          <c:spPr>
            <a:ln w="25400">
              <a:solidFill>
                <a:srgbClr val="000000"/>
              </a:solidFill>
              <a:prstDash val="solid"/>
            </a:ln>
          </c:spPr>
          <c:marker>
            <c:symbol val="square"/>
            <c:size val="10"/>
            <c:spPr>
              <a:solidFill>
                <a:srgbClr val="000000"/>
              </a:solidFill>
              <a:ln>
                <a:solidFill>
                  <a:srgbClr val="FFFFFF"/>
                </a:solidFill>
                <a:prstDash val="solid"/>
              </a:ln>
            </c:spPr>
          </c:marker>
          <c:cat>
            <c:numRef>
              <c:f>'Données-G3'!$A$8:$A$39</c:f>
              <c:numCache>
                <c:formatCode>General</c:formatCode>
                <c:ptCount val="32"/>
                <c:pt idx="0">
                  <c:v>1982.0</c:v>
                </c:pt>
                <c:pt idx="1">
                  <c:v>1983.0</c:v>
                </c:pt>
                <c:pt idx="2">
                  <c:v>1984.0</c:v>
                </c:pt>
                <c:pt idx="3">
                  <c:v>1985.0</c:v>
                </c:pt>
                <c:pt idx="4">
                  <c:v>1986.0</c:v>
                </c:pt>
                <c:pt idx="5">
                  <c:v>1987.0</c:v>
                </c:pt>
                <c:pt idx="6">
                  <c:v>1988.0</c:v>
                </c:pt>
                <c:pt idx="7">
                  <c:v>1989.0</c:v>
                </c:pt>
                <c:pt idx="8">
                  <c:v>1990.0</c:v>
                </c:pt>
                <c:pt idx="9">
                  <c:v>1991.0</c:v>
                </c:pt>
                <c:pt idx="10">
                  <c:v>1992.0</c:v>
                </c:pt>
                <c:pt idx="11">
                  <c:v>1993.0</c:v>
                </c:pt>
                <c:pt idx="12">
                  <c:v>1994.0</c:v>
                </c:pt>
                <c:pt idx="13">
                  <c:v>1995.0</c:v>
                </c:pt>
                <c:pt idx="14">
                  <c:v>1996.0</c:v>
                </c:pt>
                <c:pt idx="15">
                  <c:v>1997.0</c:v>
                </c:pt>
                <c:pt idx="16">
                  <c:v>1998.0</c:v>
                </c:pt>
                <c:pt idx="17">
                  <c:v>1999.0</c:v>
                </c:pt>
                <c:pt idx="18">
                  <c:v>2000.0</c:v>
                </c:pt>
                <c:pt idx="19">
                  <c:v>2001.0</c:v>
                </c:pt>
                <c:pt idx="20">
                  <c:v>2002.0</c:v>
                </c:pt>
                <c:pt idx="21">
                  <c:v>2003.0</c:v>
                </c:pt>
                <c:pt idx="22">
                  <c:v>2004.0</c:v>
                </c:pt>
                <c:pt idx="23">
                  <c:v>2005.0</c:v>
                </c:pt>
                <c:pt idx="24">
                  <c:v>2006.0</c:v>
                </c:pt>
                <c:pt idx="25">
                  <c:v>2007.0</c:v>
                </c:pt>
                <c:pt idx="26">
                  <c:v>2008.0</c:v>
                </c:pt>
                <c:pt idx="27">
                  <c:v>2009.0</c:v>
                </c:pt>
                <c:pt idx="28">
                  <c:v>2010.0</c:v>
                </c:pt>
                <c:pt idx="29">
                  <c:v>2011.0</c:v>
                </c:pt>
                <c:pt idx="30">
                  <c:v>2012.0</c:v>
                </c:pt>
                <c:pt idx="31">
                  <c:v>2013.0</c:v>
                </c:pt>
              </c:numCache>
            </c:numRef>
          </c:cat>
          <c:val>
            <c:numRef>
              <c:f>'Données-G3'!$B$8:$B$39</c:f>
              <c:numCache>
                <c:formatCode>0%</c:formatCode>
                <c:ptCount val="32"/>
                <c:pt idx="0">
                  <c:v>0.26838302126886</c:v>
                </c:pt>
                <c:pt idx="1">
                  <c:v>0.289965759516186</c:v>
                </c:pt>
                <c:pt idx="2">
                  <c:v>0.314502266764508</c:v>
                </c:pt>
                <c:pt idx="3">
                  <c:v>0.321125104654684</c:v>
                </c:pt>
                <c:pt idx="4">
                  <c:v>0.337618272377053</c:v>
                </c:pt>
                <c:pt idx="5">
                  <c:v>0.346666327620404</c:v>
                </c:pt>
                <c:pt idx="6">
                  <c:v>0.343531144052068</c:v>
                </c:pt>
                <c:pt idx="7">
                  <c:v>0.365119278529865</c:v>
                </c:pt>
                <c:pt idx="8">
                  <c:v>0.364324270559566</c:v>
                </c:pt>
                <c:pt idx="9">
                  <c:v>0.355635479339396</c:v>
                </c:pt>
                <c:pt idx="10">
                  <c:v>0.348324343954144</c:v>
                </c:pt>
                <c:pt idx="11">
                  <c:v>0.357830132107358</c:v>
                </c:pt>
                <c:pt idx="12">
                  <c:v>0.379166529429202</c:v>
                </c:pt>
                <c:pt idx="13">
                  <c:v>0.389209717144212</c:v>
                </c:pt>
                <c:pt idx="14">
                  <c:v>0.405460901756976</c:v>
                </c:pt>
                <c:pt idx="15">
                  <c:v>0.41668206579988</c:v>
                </c:pt>
                <c:pt idx="16">
                  <c:v>0.418726414928139</c:v>
                </c:pt>
                <c:pt idx="17">
                  <c:v>0.421736452745067</c:v>
                </c:pt>
                <c:pt idx="18">
                  <c:v>0.454028591660595</c:v>
                </c:pt>
                <c:pt idx="19">
                  <c:v>0.465288909374849</c:v>
                </c:pt>
                <c:pt idx="20">
                  <c:v>0.478496286088798</c:v>
                </c:pt>
                <c:pt idx="21">
                  <c:v>0.474924784449395</c:v>
                </c:pt>
                <c:pt idx="22">
                  <c:v>0.502299813724131</c:v>
                </c:pt>
                <c:pt idx="23">
                  <c:v>0.584847374503227</c:v>
                </c:pt>
                <c:pt idx="24">
                  <c:v>0.599017183636421</c:v>
                </c:pt>
                <c:pt idx="25">
                  <c:v>0.626326963906582</c:v>
                </c:pt>
                <c:pt idx="26">
                  <c:v>0.614015989683535</c:v>
                </c:pt>
                <c:pt idx="27">
                  <c:v>0.62286667061591</c:v>
                </c:pt>
                <c:pt idx="28">
                  <c:v>0.626185675965551</c:v>
                </c:pt>
                <c:pt idx="29">
                  <c:v>0.63</c:v>
                </c:pt>
                <c:pt idx="30">
                  <c:v>0.65</c:v>
                </c:pt>
              </c:numCache>
            </c:numRef>
          </c:val>
          <c:smooth val="0"/>
        </c:ser>
        <c:ser>
          <c:idx val="0"/>
          <c:order val="1"/>
          <c:tx>
            <c:strRef>
              <c:f>'Données-G3'!$C$1</c:f>
              <c:strCache>
                <c:ptCount val="1"/>
                <c:pt idx="0">
                  <c:v>Europe</c:v>
                </c:pt>
              </c:strCache>
            </c:strRef>
          </c:tx>
          <c:spPr>
            <a:ln w="25400">
              <a:solidFill>
                <a:srgbClr val="000000"/>
              </a:solidFill>
              <a:prstDash val="solid"/>
            </a:ln>
          </c:spPr>
          <c:marker>
            <c:symbol val="diamond"/>
            <c:size val="10"/>
            <c:spPr>
              <a:solidFill>
                <a:srgbClr val="FFFFFF"/>
              </a:solidFill>
              <a:ln>
                <a:solidFill>
                  <a:srgbClr val="000000"/>
                </a:solidFill>
                <a:prstDash val="solid"/>
              </a:ln>
            </c:spPr>
          </c:marker>
          <c:cat>
            <c:numRef>
              <c:f>'Données-G3'!$A$8:$A$39</c:f>
              <c:numCache>
                <c:formatCode>General</c:formatCode>
                <c:ptCount val="32"/>
                <c:pt idx="0">
                  <c:v>1982.0</c:v>
                </c:pt>
                <c:pt idx="1">
                  <c:v>1983.0</c:v>
                </c:pt>
                <c:pt idx="2">
                  <c:v>1984.0</c:v>
                </c:pt>
                <c:pt idx="3">
                  <c:v>1985.0</c:v>
                </c:pt>
                <c:pt idx="4">
                  <c:v>1986.0</c:v>
                </c:pt>
                <c:pt idx="5">
                  <c:v>1987.0</c:v>
                </c:pt>
                <c:pt idx="6">
                  <c:v>1988.0</c:v>
                </c:pt>
                <c:pt idx="7">
                  <c:v>1989.0</c:v>
                </c:pt>
                <c:pt idx="8">
                  <c:v>1990.0</c:v>
                </c:pt>
                <c:pt idx="9">
                  <c:v>1991.0</c:v>
                </c:pt>
                <c:pt idx="10">
                  <c:v>1992.0</c:v>
                </c:pt>
                <c:pt idx="11">
                  <c:v>1993.0</c:v>
                </c:pt>
                <c:pt idx="12">
                  <c:v>1994.0</c:v>
                </c:pt>
                <c:pt idx="13">
                  <c:v>1995.0</c:v>
                </c:pt>
                <c:pt idx="14">
                  <c:v>1996.0</c:v>
                </c:pt>
                <c:pt idx="15">
                  <c:v>1997.0</c:v>
                </c:pt>
                <c:pt idx="16">
                  <c:v>1998.0</c:v>
                </c:pt>
                <c:pt idx="17">
                  <c:v>1999.0</c:v>
                </c:pt>
                <c:pt idx="18">
                  <c:v>2000.0</c:v>
                </c:pt>
                <c:pt idx="19">
                  <c:v>2001.0</c:v>
                </c:pt>
                <c:pt idx="20">
                  <c:v>2002.0</c:v>
                </c:pt>
                <c:pt idx="21">
                  <c:v>2003.0</c:v>
                </c:pt>
                <c:pt idx="22">
                  <c:v>2004.0</c:v>
                </c:pt>
                <c:pt idx="23">
                  <c:v>2005.0</c:v>
                </c:pt>
                <c:pt idx="24">
                  <c:v>2006.0</c:v>
                </c:pt>
                <c:pt idx="25">
                  <c:v>2007.0</c:v>
                </c:pt>
                <c:pt idx="26">
                  <c:v>2008.0</c:v>
                </c:pt>
                <c:pt idx="27">
                  <c:v>2009.0</c:v>
                </c:pt>
                <c:pt idx="28">
                  <c:v>2010.0</c:v>
                </c:pt>
                <c:pt idx="29">
                  <c:v>2011.0</c:v>
                </c:pt>
                <c:pt idx="30">
                  <c:v>2012.0</c:v>
                </c:pt>
                <c:pt idx="31">
                  <c:v>2013.0</c:v>
                </c:pt>
              </c:numCache>
            </c:numRef>
          </c:cat>
          <c:val>
            <c:numRef>
              <c:f>'Données-G3'!$C$8:$C$39</c:f>
              <c:numCache>
                <c:formatCode>0%</c:formatCode>
                <c:ptCount val="32"/>
                <c:pt idx="0">
                  <c:v>0.392701327031449</c:v>
                </c:pt>
                <c:pt idx="1">
                  <c:v>0.355078263963002</c:v>
                </c:pt>
                <c:pt idx="2">
                  <c:v>0.307325016837386</c:v>
                </c:pt>
                <c:pt idx="3">
                  <c:v>0.303810321178545</c:v>
                </c:pt>
                <c:pt idx="4">
                  <c:v>0.305888231596254</c:v>
                </c:pt>
                <c:pt idx="5">
                  <c:v>0.31276382037329</c:v>
                </c:pt>
                <c:pt idx="6">
                  <c:v>0.316495087727981</c:v>
                </c:pt>
                <c:pt idx="7">
                  <c:v>0.319327521046212</c:v>
                </c:pt>
                <c:pt idx="8">
                  <c:v>0.332327208596819</c:v>
                </c:pt>
                <c:pt idx="9">
                  <c:v>0.335669398853347</c:v>
                </c:pt>
                <c:pt idx="10">
                  <c:v>0.348774156807237</c:v>
                </c:pt>
                <c:pt idx="11">
                  <c:v>0.342066289909324</c:v>
                </c:pt>
                <c:pt idx="12">
                  <c:v>0.326891406738908</c:v>
                </c:pt>
                <c:pt idx="13">
                  <c:v>0.322205479661613</c:v>
                </c:pt>
                <c:pt idx="14">
                  <c:v>0.304789811112901</c:v>
                </c:pt>
                <c:pt idx="15">
                  <c:v>0.289709436835219</c:v>
                </c:pt>
                <c:pt idx="16">
                  <c:v>0.290599796344776</c:v>
                </c:pt>
                <c:pt idx="17">
                  <c:v>0.280984499402682</c:v>
                </c:pt>
                <c:pt idx="18">
                  <c:v>0.257475463784923</c:v>
                </c:pt>
                <c:pt idx="19">
                  <c:v>0.263926057912588</c:v>
                </c:pt>
                <c:pt idx="20">
                  <c:v>0.250176452794676</c:v>
                </c:pt>
                <c:pt idx="21">
                  <c:v>0.251704549278806</c:v>
                </c:pt>
                <c:pt idx="22">
                  <c:v>0.246149394452717</c:v>
                </c:pt>
                <c:pt idx="23">
                  <c:v>0.146514839764368</c:v>
                </c:pt>
                <c:pt idx="24">
                  <c:v>0.144654650492079</c:v>
                </c:pt>
                <c:pt idx="25">
                  <c:v>0.147600498324297</c:v>
                </c:pt>
                <c:pt idx="26">
                  <c:v>0.15679435943921</c:v>
                </c:pt>
                <c:pt idx="27">
                  <c:v>0.13047121880343</c:v>
                </c:pt>
                <c:pt idx="28">
                  <c:v>0.128182250052493</c:v>
                </c:pt>
                <c:pt idx="29">
                  <c:v>0.13047121880343</c:v>
                </c:pt>
                <c:pt idx="30">
                  <c:v>0.107581531294056</c:v>
                </c:pt>
              </c:numCache>
            </c:numRef>
          </c:val>
          <c:smooth val="0"/>
        </c:ser>
        <c:dLbls>
          <c:showLegendKey val="0"/>
          <c:showVal val="0"/>
          <c:showCatName val="0"/>
          <c:showSerName val="0"/>
          <c:showPercent val="0"/>
          <c:showBubbleSize val="0"/>
        </c:dLbls>
        <c:marker val="1"/>
        <c:smooth val="0"/>
        <c:axId val="2088190408"/>
        <c:axId val="2040550312"/>
      </c:lineChart>
      <c:catAx>
        <c:axId val="20881904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Verdana"/>
                <a:cs typeface="Arial"/>
              </a:defRPr>
            </a:pPr>
            <a:endParaRPr lang="fr-FR"/>
          </a:p>
        </c:txPr>
        <c:crossAx val="2040550312"/>
        <c:crosses val="autoZero"/>
        <c:auto val="1"/>
        <c:lblAlgn val="ctr"/>
        <c:lblOffset val="100"/>
        <c:tickLblSkip val="4"/>
        <c:tickMarkSkip val="4"/>
        <c:noMultiLvlLbl val="0"/>
      </c:catAx>
      <c:valAx>
        <c:axId val="2040550312"/>
        <c:scaling>
          <c:orientation val="minMax"/>
        </c:scaling>
        <c:delete val="0"/>
        <c:axPos val="l"/>
        <c:title>
          <c:tx>
            <c:rich>
              <a:bodyPr rot="-5400000" vert="horz"/>
              <a:lstStyle/>
              <a:p>
                <a:pPr>
                  <a:defRPr sz="1600">
                    <a:latin typeface="Arial"/>
                    <a:cs typeface="Arial"/>
                  </a:defRPr>
                </a:pPr>
                <a:r>
                  <a:rPr lang="fr-FR" sz="1800">
                    <a:latin typeface="Arial"/>
                    <a:cs typeface="Arial"/>
                  </a:rPr>
                  <a:t>% du total des comptes en Suisse</a:t>
                </a:r>
              </a:p>
            </c:rich>
          </c:tx>
          <c:layout>
            <c:manualLayout>
              <c:xMode val="edge"/>
              <c:yMode val="edge"/>
              <c:x val="0.000651316861254412"/>
              <c:y val="0.196078134463961"/>
            </c:manualLayout>
          </c:layout>
          <c:overlay val="0"/>
        </c:title>
        <c:numFmt formatCode="0%" sourceLinked="0"/>
        <c:majorTickMark val="in"/>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Verdana"/>
                <a:cs typeface="Arial"/>
              </a:defRPr>
            </a:pPr>
            <a:endParaRPr lang="fr-FR"/>
          </a:p>
        </c:txPr>
        <c:crossAx val="2088190408"/>
        <c:crosses val="autoZero"/>
        <c:crossBetween val="midCat"/>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Verdana"/>
          <a:ea typeface="Verdana"/>
          <a:cs typeface="Verdana"/>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sz="2000">
                <a:latin typeface="Arial"/>
                <a:cs typeface="Arial"/>
              </a:rPr>
              <a:t>Le Luxembourg, de l'acier à Clearstream</a:t>
            </a:r>
          </a:p>
          <a:p>
            <a:pPr>
              <a:defRPr/>
            </a:pPr>
            <a:r>
              <a:rPr lang="fr-FR" sz="2000">
                <a:latin typeface="Arial"/>
                <a:cs typeface="Arial"/>
              </a:rPr>
              <a:t>(% du PIB)</a:t>
            </a:r>
          </a:p>
        </c:rich>
      </c:tx>
      <c:overlay val="0"/>
    </c:title>
    <c:autoTitleDeleted val="0"/>
    <c:plotArea>
      <c:layout/>
      <c:lineChart>
        <c:grouping val="standard"/>
        <c:varyColors val="0"/>
        <c:ser>
          <c:idx val="0"/>
          <c:order val="0"/>
          <c:tx>
            <c:v>Finance</c:v>
          </c:tx>
          <c:spPr>
            <a:ln w="25400">
              <a:solidFill>
                <a:schemeClr val="tx1"/>
              </a:solidFill>
            </a:ln>
            <a:effectLst/>
          </c:spPr>
          <c:marker>
            <c:symbol val="square"/>
            <c:size val="10"/>
            <c:spPr>
              <a:solidFill>
                <a:schemeClr val="tx1"/>
              </a:solidFill>
              <a:ln>
                <a:solidFill>
                  <a:schemeClr val="bg1"/>
                </a:solidFill>
              </a:ln>
              <a:effectLst/>
            </c:spPr>
          </c:marker>
          <c:cat>
            <c:numRef>
              <c:f>'Données-G4'!$A$2:$A$45</c:f>
              <c:numCache>
                <c:formatCode>General</c:formatCode>
                <c:ptCount val="44"/>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numCache>
            </c:numRef>
          </c:cat>
          <c:val>
            <c:numRef>
              <c:f>'Données-G4'!$B$2:$B$45</c:f>
              <c:numCache>
                <c:formatCode>0%</c:formatCode>
                <c:ptCount val="44"/>
                <c:pt idx="0">
                  <c:v>0.0180888106942649</c:v>
                </c:pt>
                <c:pt idx="1">
                  <c:v>0.0414279581454246</c:v>
                </c:pt>
                <c:pt idx="2">
                  <c:v>0.0733907824185143</c:v>
                </c:pt>
                <c:pt idx="3">
                  <c:v>0.0632359957448832</c:v>
                </c:pt>
                <c:pt idx="4">
                  <c:v>0.0603472976045397</c:v>
                </c:pt>
                <c:pt idx="5">
                  <c:v>0.158581485176697</c:v>
                </c:pt>
                <c:pt idx="6">
                  <c:v>0.174546797434155</c:v>
                </c:pt>
                <c:pt idx="7">
                  <c:v>0.195245523313946</c:v>
                </c:pt>
                <c:pt idx="8">
                  <c:v>0.18482959501195</c:v>
                </c:pt>
                <c:pt idx="9">
                  <c:v>0.140426511772885</c:v>
                </c:pt>
                <c:pt idx="10">
                  <c:v>0.11177974899384</c:v>
                </c:pt>
                <c:pt idx="11">
                  <c:v>0.138038825442769</c:v>
                </c:pt>
                <c:pt idx="12">
                  <c:v>0.247998762093083</c:v>
                </c:pt>
                <c:pt idx="13">
                  <c:v>0.29805198988466</c:v>
                </c:pt>
                <c:pt idx="14">
                  <c:v>0.26489531623047</c:v>
                </c:pt>
                <c:pt idx="15">
                  <c:v>0.261459091686465</c:v>
                </c:pt>
                <c:pt idx="16">
                  <c:v>0.252237377417299</c:v>
                </c:pt>
                <c:pt idx="17">
                  <c:v>0.24499974695108</c:v>
                </c:pt>
                <c:pt idx="18">
                  <c:v>0.23583320379287</c:v>
                </c:pt>
                <c:pt idx="19">
                  <c:v>0.208770194684009</c:v>
                </c:pt>
                <c:pt idx="20">
                  <c:v>0.214706653413107</c:v>
                </c:pt>
                <c:pt idx="21">
                  <c:v>0.240698494819418</c:v>
                </c:pt>
                <c:pt idx="22">
                  <c:v>0.246666136517731</c:v>
                </c:pt>
                <c:pt idx="23">
                  <c:v>0.239630264057135</c:v>
                </c:pt>
                <c:pt idx="24">
                  <c:v>0.2976783312316</c:v>
                </c:pt>
                <c:pt idx="25">
                  <c:v>0.309502793910915</c:v>
                </c:pt>
                <c:pt idx="26">
                  <c:v>0.319737531736873</c:v>
                </c:pt>
                <c:pt idx="27">
                  <c:v>0.292176472278615</c:v>
                </c:pt>
                <c:pt idx="28">
                  <c:v>0.297873459745503</c:v>
                </c:pt>
                <c:pt idx="29">
                  <c:v>0.333382946657771</c:v>
                </c:pt>
                <c:pt idx="30">
                  <c:v>0.353426195486065</c:v>
                </c:pt>
                <c:pt idx="31">
                  <c:v>0.327180713785558</c:v>
                </c:pt>
                <c:pt idx="32">
                  <c:v>0.331969063837213</c:v>
                </c:pt>
                <c:pt idx="33">
                  <c:v>0.3438202703474</c:v>
                </c:pt>
                <c:pt idx="34">
                  <c:v>0.339502270998232</c:v>
                </c:pt>
                <c:pt idx="35">
                  <c:v>0.367191022582225</c:v>
                </c:pt>
                <c:pt idx="36">
                  <c:v>0.40077527399993</c:v>
                </c:pt>
                <c:pt idx="37">
                  <c:v>0.396380101034109</c:v>
                </c:pt>
                <c:pt idx="38">
                  <c:v>0.399139577152042</c:v>
                </c:pt>
                <c:pt idx="39">
                  <c:v>0.413502055609025</c:v>
                </c:pt>
                <c:pt idx="40">
                  <c:v>0.4183283125337</c:v>
                </c:pt>
                <c:pt idx="41">
                  <c:v>0.408054168449113</c:v>
                </c:pt>
                <c:pt idx="42">
                  <c:v>0.408054168449113</c:v>
                </c:pt>
                <c:pt idx="43">
                  <c:v>0.408054168449113</c:v>
                </c:pt>
              </c:numCache>
            </c:numRef>
          </c:val>
          <c:smooth val="0"/>
        </c:ser>
        <c:ser>
          <c:idx val="1"/>
          <c:order val="1"/>
          <c:tx>
            <c:v>Industrie</c:v>
          </c:tx>
          <c:spPr>
            <a:ln w="25400">
              <a:solidFill>
                <a:schemeClr val="tx1"/>
              </a:solidFill>
            </a:ln>
            <a:effectLst/>
          </c:spPr>
          <c:marker>
            <c:symbol val="diamond"/>
            <c:size val="10"/>
            <c:spPr>
              <a:solidFill>
                <a:schemeClr val="bg1"/>
              </a:solidFill>
              <a:ln>
                <a:solidFill>
                  <a:schemeClr val="tx1"/>
                </a:solidFill>
              </a:ln>
              <a:effectLst/>
            </c:spPr>
          </c:marker>
          <c:cat>
            <c:numRef>
              <c:f>'Données-G4'!$A$2:$A$45</c:f>
              <c:numCache>
                <c:formatCode>General</c:formatCode>
                <c:ptCount val="44"/>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numCache>
            </c:numRef>
          </c:cat>
          <c:val>
            <c:numRef>
              <c:f>'Données-G4'!$C$2:$C$45</c:f>
              <c:numCache>
                <c:formatCode>0%</c:formatCode>
                <c:ptCount val="44"/>
                <c:pt idx="0">
                  <c:v>0.450128176595486</c:v>
                </c:pt>
                <c:pt idx="1">
                  <c:v>0.390530997197539</c:v>
                </c:pt>
                <c:pt idx="2">
                  <c:v>0.362508885397733</c:v>
                </c:pt>
                <c:pt idx="3">
                  <c:v>0.392114042011473</c:v>
                </c:pt>
                <c:pt idx="4">
                  <c:v>0.412945219918096</c:v>
                </c:pt>
                <c:pt idx="5">
                  <c:v>0.278334338931757</c:v>
                </c:pt>
                <c:pt idx="6">
                  <c:v>0.29064718741234</c:v>
                </c:pt>
                <c:pt idx="7">
                  <c:v>0.259206746277734</c:v>
                </c:pt>
                <c:pt idx="8">
                  <c:v>0.268563038519489</c:v>
                </c:pt>
                <c:pt idx="9">
                  <c:v>0.28289279754718</c:v>
                </c:pt>
                <c:pt idx="10">
                  <c:v>0.279250495249455</c:v>
                </c:pt>
                <c:pt idx="11">
                  <c:v>0.264206992764144</c:v>
                </c:pt>
                <c:pt idx="12">
                  <c:v>0.239896428727148</c:v>
                </c:pt>
                <c:pt idx="13">
                  <c:v>0.218481511676271</c:v>
                </c:pt>
                <c:pt idx="14">
                  <c:v>0.237873228866501</c:v>
                </c:pt>
                <c:pt idx="15">
                  <c:v>0.242142905780951</c:v>
                </c:pt>
                <c:pt idx="16">
                  <c:v>0.245362835241594</c:v>
                </c:pt>
                <c:pt idx="17">
                  <c:v>0.221810872121224</c:v>
                </c:pt>
                <c:pt idx="18">
                  <c:v>0.226556649103152</c:v>
                </c:pt>
                <c:pt idx="19">
                  <c:v>0.243443128922378</c:v>
                </c:pt>
                <c:pt idx="20">
                  <c:v>0.222278289011523</c:v>
                </c:pt>
                <c:pt idx="21">
                  <c:v>0.19186689125642</c:v>
                </c:pt>
                <c:pt idx="22">
                  <c:v>0.181027108647606</c:v>
                </c:pt>
                <c:pt idx="23">
                  <c:v>0.173927055498812</c:v>
                </c:pt>
                <c:pt idx="24">
                  <c:v>0.157006871805972</c:v>
                </c:pt>
                <c:pt idx="25">
                  <c:v>0.152732378298927</c:v>
                </c:pt>
                <c:pt idx="26">
                  <c:v>0.140694437661767</c:v>
                </c:pt>
                <c:pt idx="27">
                  <c:v>0.147037506181035</c:v>
                </c:pt>
                <c:pt idx="28">
                  <c:v>0.146238182353167</c:v>
                </c:pt>
                <c:pt idx="29">
                  <c:v>0.128706373335427</c:v>
                </c:pt>
                <c:pt idx="30">
                  <c:v>0.126130028435439</c:v>
                </c:pt>
                <c:pt idx="31">
                  <c:v>0.124293395156119</c:v>
                </c:pt>
                <c:pt idx="32">
                  <c:v>0.117160735672308</c:v>
                </c:pt>
                <c:pt idx="33">
                  <c:v>0.115461752326192</c:v>
                </c:pt>
                <c:pt idx="34">
                  <c:v>0.113924050632911</c:v>
                </c:pt>
                <c:pt idx="35">
                  <c:v>0.105524631278788</c:v>
                </c:pt>
                <c:pt idx="36">
                  <c:v>0.0978694027653267</c:v>
                </c:pt>
                <c:pt idx="37">
                  <c:v>0.106119720413759</c:v>
                </c:pt>
                <c:pt idx="38">
                  <c:v>0.0883671004212361</c:v>
                </c:pt>
                <c:pt idx="39">
                  <c:v>0.0664645329231497</c:v>
                </c:pt>
                <c:pt idx="40">
                  <c:v>0.0728449832062405</c:v>
                </c:pt>
                <c:pt idx="41">
                  <c:v>0.0777483905094892</c:v>
                </c:pt>
                <c:pt idx="42">
                  <c:v>0.0777483905094892</c:v>
                </c:pt>
                <c:pt idx="43">
                  <c:v>0.0777483905094892</c:v>
                </c:pt>
              </c:numCache>
            </c:numRef>
          </c:val>
          <c:smooth val="0"/>
        </c:ser>
        <c:dLbls>
          <c:showLegendKey val="0"/>
          <c:showVal val="0"/>
          <c:showCatName val="0"/>
          <c:showSerName val="0"/>
          <c:showPercent val="0"/>
          <c:showBubbleSize val="0"/>
        </c:dLbls>
        <c:marker val="1"/>
        <c:smooth val="0"/>
        <c:axId val="2069455880"/>
        <c:axId val="2069709064"/>
      </c:lineChart>
      <c:catAx>
        <c:axId val="2069455880"/>
        <c:scaling>
          <c:orientation val="minMax"/>
        </c:scaling>
        <c:delete val="0"/>
        <c:axPos val="b"/>
        <c:numFmt formatCode="General" sourceLinked="1"/>
        <c:majorTickMark val="out"/>
        <c:minorTickMark val="none"/>
        <c:tickLblPos val="nextTo"/>
        <c:txPr>
          <a:bodyPr/>
          <a:lstStyle/>
          <a:p>
            <a:pPr>
              <a:defRPr sz="1800">
                <a:latin typeface="Arial"/>
                <a:cs typeface="Arial"/>
              </a:defRPr>
            </a:pPr>
            <a:endParaRPr lang="fr-FR"/>
          </a:p>
        </c:txPr>
        <c:crossAx val="2069709064"/>
        <c:crosses val="autoZero"/>
        <c:auto val="1"/>
        <c:lblAlgn val="ctr"/>
        <c:lblOffset val="100"/>
        <c:tickLblSkip val="5"/>
        <c:tickMarkSkip val="5"/>
        <c:noMultiLvlLbl val="0"/>
      </c:catAx>
      <c:valAx>
        <c:axId val="2069709064"/>
        <c:scaling>
          <c:orientation val="minMax"/>
        </c:scaling>
        <c:delete val="0"/>
        <c:axPos val="l"/>
        <c:numFmt formatCode="0%" sourceLinked="0"/>
        <c:majorTickMark val="out"/>
        <c:minorTickMark val="none"/>
        <c:tickLblPos val="nextTo"/>
        <c:txPr>
          <a:bodyPr/>
          <a:lstStyle/>
          <a:p>
            <a:pPr>
              <a:defRPr sz="1800">
                <a:latin typeface="Arial"/>
                <a:cs typeface="Arial"/>
              </a:defRPr>
            </a:pPr>
            <a:endParaRPr lang="fr-FR"/>
          </a:p>
        </c:txPr>
        <c:crossAx val="2069455880"/>
        <c:crossesAt val="1.0"/>
        <c:crossBetween val="between"/>
        <c:majorUnit val="0.1"/>
      </c:valAx>
      <c:spPr>
        <a:noFill/>
        <a:ln w="25400">
          <a:noFill/>
        </a:ln>
      </c:spPr>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horizontalDpi="4294967292" verticalDpi="4294967292"/>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207500"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193451" cy="5596991"/>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0.62075</cdr:x>
      <cdr:y>0.18798</cdr:y>
    </cdr:from>
    <cdr:to>
      <cdr:x>0.757</cdr:x>
      <cdr:y>0.25585</cdr:y>
    </cdr:to>
    <cdr:sp macro="" textlink="">
      <cdr:nvSpPr>
        <cdr:cNvPr id="10" name="Rectangle 9"/>
        <cdr:cNvSpPr/>
      </cdr:nvSpPr>
      <cdr:spPr>
        <a:xfrm xmlns:a="http://schemas.openxmlformats.org/drawingml/2006/main">
          <a:off x="5706845" y="1052135"/>
          <a:ext cx="1252608" cy="3798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fr-FR" sz="2000">
              <a:solidFill>
                <a:schemeClr val="tx1"/>
              </a:solidFill>
              <a:latin typeface="Arial"/>
              <a:cs typeface="Arial"/>
            </a:rPr>
            <a:t>Finance</a:t>
          </a:r>
        </a:p>
      </cdr:txBody>
    </cdr:sp>
  </cdr:relSizeAnchor>
  <cdr:relSizeAnchor xmlns:cdr="http://schemas.openxmlformats.org/drawingml/2006/chartDrawing">
    <cdr:from>
      <cdr:x>0.73069</cdr:x>
      <cdr:y>0.54977</cdr:y>
    </cdr:from>
    <cdr:to>
      <cdr:x>0.85615</cdr:x>
      <cdr:y>0.62217</cdr:y>
    </cdr:to>
    <cdr:sp macro="" textlink="">
      <cdr:nvSpPr>
        <cdr:cNvPr id="11" name="Rectangle 10"/>
        <cdr:cNvSpPr/>
      </cdr:nvSpPr>
      <cdr:spPr>
        <a:xfrm xmlns:a="http://schemas.openxmlformats.org/drawingml/2006/main">
          <a:off x="6727844" y="3086085"/>
          <a:ext cx="1155173" cy="40641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1"/>
              </a:solidFill>
              <a:latin typeface="Arial"/>
              <a:cs typeface="Arial"/>
            </a:rPr>
            <a:t>Industrie</a:t>
          </a:r>
        </a:p>
      </cdr:txBody>
    </cdr:sp>
  </cdr:relSizeAnchor>
  <cdr:relSizeAnchor xmlns:cdr="http://schemas.openxmlformats.org/drawingml/2006/chartDrawing">
    <cdr:from>
      <cdr:x>0.68518</cdr:x>
      <cdr:y>0.26548</cdr:y>
    </cdr:from>
    <cdr:to>
      <cdr:x>0.71539</cdr:x>
      <cdr:y>0.36589</cdr:y>
    </cdr:to>
    <cdr:sp macro="" textlink="">
      <cdr:nvSpPr>
        <cdr:cNvPr id="4" name="Line 1"/>
        <cdr:cNvSpPr>
          <a:spLocks xmlns:a="http://schemas.openxmlformats.org/drawingml/2006/main" noChangeShapeType="1"/>
        </cdr:cNvSpPr>
      </cdr:nvSpPr>
      <cdr:spPr bwMode="auto">
        <a:xfrm xmlns:a="http://schemas.openxmlformats.org/drawingml/2006/main">
          <a:off x="6299201" y="1485900"/>
          <a:ext cx="277728" cy="56195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a:p>
      </cdr:txBody>
    </cdr:sp>
  </cdr:relSizeAnchor>
  <cdr:relSizeAnchor xmlns:cdr="http://schemas.openxmlformats.org/drawingml/2006/chartDrawing">
    <cdr:from>
      <cdr:x>0.68104</cdr:x>
      <cdr:y>0.60181</cdr:y>
    </cdr:from>
    <cdr:to>
      <cdr:x>0.72276</cdr:x>
      <cdr:y>0.69207</cdr:y>
    </cdr:to>
    <cdr:sp macro="" textlink="">
      <cdr:nvSpPr>
        <cdr:cNvPr id="5" name="Line 1"/>
        <cdr:cNvSpPr>
          <a:spLocks xmlns:a="http://schemas.openxmlformats.org/drawingml/2006/main" noChangeShapeType="1"/>
        </cdr:cNvSpPr>
      </cdr:nvSpPr>
      <cdr:spPr bwMode="auto">
        <a:xfrm xmlns:a="http://schemas.openxmlformats.org/drawingml/2006/main" flipH="1">
          <a:off x="6261099" y="3368325"/>
          <a:ext cx="383559" cy="50517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a:p>
      </cdr:txBody>
    </cdr:sp>
  </cdr:relSizeAnchor>
</c:userShapes>
</file>

<file path=xl/drawings/drawing12.xml><?xml version="1.0" encoding="utf-8"?>
<xdr:wsDr xmlns:xdr="http://schemas.openxmlformats.org/drawingml/2006/spreadsheetDrawing" xmlns:a="http://schemas.openxmlformats.org/drawingml/2006/main">
  <xdr:twoCellAnchor>
    <xdr:from>
      <xdr:col>2</xdr:col>
      <xdr:colOff>12700</xdr:colOff>
      <xdr:row>17</xdr:row>
      <xdr:rowOff>0</xdr:rowOff>
    </xdr:from>
    <xdr:to>
      <xdr:col>3</xdr:col>
      <xdr:colOff>0</xdr:colOff>
      <xdr:row>24</xdr:row>
      <xdr:rowOff>88900</xdr:rowOff>
    </xdr:to>
    <xdr:sp macro="" textlink="">
      <xdr:nvSpPr>
        <xdr:cNvPr id="4" name="Line 1"/>
        <xdr:cNvSpPr>
          <a:spLocks noChangeShapeType="1"/>
        </xdr:cNvSpPr>
      </xdr:nvSpPr>
      <xdr:spPr bwMode="auto">
        <a:xfrm>
          <a:off x="3314700" y="2235200"/>
          <a:ext cx="419100" cy="142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2</xdr:col>
      <xdr:colOff>0</xdr:colOff>
      <xdr:row>21</xdr:row>
      <xdr:rowOff>139700</xdr:rowOff>
    </xdr:from>
    <xdr:to>
      <xdr:col>3</xdr:col>
      <xdr:colOff>0</xdr:colOff>
      <xdr:row>24</xdr:row>
      <xdr:rowOff>127000</xdr:rowOff>
    </xdr:to>
    <xdr:sp macro="" textlink="">
      <xdr:nvSpPr>
        <xdr:cNvPr id="6" name="Line 1"/>
        <xdr:cNvSpPr>
          <a:spLocks noChangeShapeType="1"/>
        </xdr:cNvSpPr>
      </xdr:nvSpPr>
      <xdr:spPr bwMode="auto">
        <a:xfrm>
          <a:off x="3302000" y="3746500"/>
          <a:ext cx="431800" cy="55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2</xdr:col>
      <xdr:colOff>25400</xdr:colOff>
      <xdr:row>24</xdr:row>
      <xdr:rowOff>165100</xdr:rowOff>
    </xdr:from>
    <xdr:to>
      <xdr:col>2</xdr:col>
      <xdr:colOff>419100</xdr:colOff>
      <xdr:row>32</xdr:row>
      <xdr:rowOff>0</xdr:rowOff>
    </xdr:to>
    <xdr:sp macro="" textlink="">
      <xdr:nvSpPr>
        <xdr:cNvPr id="7" name="Line 1"/>
        <xdr:cNvSpPr>
          <a:spLocks noChangeShapeType="1"/>
        </xdr:cNvSpPr>
      </xdr:nvSpPr>
      <xdr:spPr bwMode="auto">
        <a:xfrm flipV="1">
          <a:off x="3327400" y="4343400"/>
          <a:ext cx="393700" cy="135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2</xdr:col>
      <xdr:colOff>12700</xdr:colOff>
      <xdr:row>24</xdr:row>
      <xdr:rowOff>114300</xdr:rowOff>
    </xdr:from>
    <xdr:to>
      <xdr:col>3</xdr:col>
      <xdr:colOff>0</xdr:colOff>
      <xdr:row>27</xdr:row>
      <xdr:rowOff>12700</xdr:rowOff>
    </xdr:to>
    <xdr:sp macro="" textlink="">
      <xdr:nvSpPr>
        <xdr:cNvPr id="8" name="Line 1"/>
        <xdr:cNvSpPr>
          <a:spLocks noChangeShapeType="1"/>
        </xdr:cNvSpPr>
      </xdr:nvSpPr>
      <xdr:spPr bwMode="auto">
        <a:xfrm flipV="1">
          <a:off x="3314700" y="4292600"/>
          <a:ext cx="419100" cy="469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4</xdr:col>
      <xdr:colOff>0</xdr:colOff>
      <xdr:row>24</xdr:row>
      <xdr:rowOff>165100</xdr:rowOff>
    </xdr:from>
    <xdr:to>
      <xdr:col>4</xdr:col>
      <xdr:colOff>419100</xdr:colOff>
      <xdr:row>32</xdr:row>
      <xdr:rowOff>38100</xdr:rowOff>
    </xdr:to>
    <xdr:sp macro="" textlink="">
      <xdr:nvSpPr>
        <xdr:cNvPr id="10" name="Line 1"/>
        <xdr:cNvSpPr>
          <a:spLocks noChangeShapeType="1"/>
        </xdr:cNvSpPr>
      </xdr:nvSpPr>
      <xdr:spPr bwMode="auto">
        <a:xfrm flipH="1" flipV="1">
          <a:off x="5575300" y="4343400"/>
          <a:ext cx="419100" cy="1397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4</xdr:col>
      <xdr:colOff>0</xdr:colOff>
      <xdr:row>22</xdr:row>
      <xdr:rowOff>25400</xdr:rowOff>
    </xdr:from>
    <xdr:to>
      <xdr:col>4</xdr:col>
      <xdr:colOff>419100</xdr:colOff>
      <xdr:row>24</xdr:row>
      <xdr:rowOff>114300</xdr:rowOff>
    </xdr:to>
    <xdr:sp macro="" textlink="">
      <xdr:nvSpPr>
        <xdr:cNvPr id="11" name="Line 1"/>
        <xdr:cNvSpPr>
          <a:spLocks noChangeShapeType="1"/>
        </xdr:cNvSpPr>
      </xdr:nvSpPr>
      <xdr:spPr bwMode="auto">
        <a:xfrm flipH="1">
          <a:off x="5575300" y="3822700"/>
          <a:ext cx="419100" cy="469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4</xdr:col>
      <xdr:colOff>12700</xdr:colOff>
      <xdr:row>17</xdr:row>
      <xdr:rowOff>0</xdr:rowOff>
    </xdr:from>
    <xdr:to>
      <xdr:col>4</xdr:col>
      <xdr:colOff>419100</xdr:colOff>
      <xdr:row>24</xdr:row>
      <xdr:rowOff>63500</xdr:rowOff>
    </xdr:to>
    <xdr:sp macro="" textlink="">
      <xdr:nvSpPr>
        <xdr:cNvPr id="12" name="Line 1"/>
        <xdr:cNvSpPr>
          <a:spLocks noChangeShapeType="1"/>
        </xdr:cNvSpPr>
      </xdr:nvSpPr>
      <xdr:spPr bwMode="auto">
        <a:xfrm flipH="1">
          <a:off x="5588000" y="2844800"/>
          <a:ext cx="406400" cy="1397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4</xdr:col>
      <xdr:colOff>0</xdr:colOff>
      <xdr:row>24</xdr:row>
      <xdr:rowOff>114300</xdr:rowOff>
    </xdr:from>
    <xdr:to>
      <xdr:col>4</xdr:col>
      <xdr:colOff>406400</xdr:colOff>
      <xdr:row>27</xdr:row>
      <xdr:rowOff>114300</xdr:rowOff>
    </xdr:to>
    <xdr:sp macro="" textlink="">
      <xdr:nvSpPr>
        <xdr:cNvPr id="9" name="Line 1"/>
        <xdr:cNvSpPr>
          <a:spLocks noChangeShapeType="1"/>
        </xdr:cNvSpPr>
      </xdr:nvSpPr>
      <xdr:spPr bwMode="auto">
        <a:xfrm flipH="1" flipV="1">
          <a:off x="5575300" y="4292600"/>
          <a:ext cx="406400" cy="571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wsDr>
</file>

<file path=xl/drawings/drawing2.xml><?xml version="1.0" encoding="utf-8"?>
<c:userShapes xmlns:c="http://schemas.openxmlformats.org/drawingml/2006/chart">
  <cdr:relSizeAnchor xmlns:cdr="http://schemas.openxmlformats.org/drawingml/2006/chartDrawing">
    <cdr:from>
      <cdr:x>0.63034</cdr:x>
      <cdr:y>0.71492</cdr:y>
    </cdr:from>
    <cdr:to>
      <cdr:x>0.82069</cdr:x>
      <cdr:y>0.81447</cdr:y>
    </cdr:to>
    <cdr:sp macro="" textlink="">
      <cdr:nvSpPr>
        <cdr:cNvPr id="2" name="Oval 5"/>
        <cdr:cNvSpPr>
          <a:spLocks xmlns:a="http://schemas.openxmlformats.org/drawingml/2006/main" noChangeArrowheads="1"/>
        </cdr:cNvSpPr>
      </cdr:nvSpPr>
      <cdr:spPr bwMode="auto">
        <a:xfrm xmlns:a="http://schemas.openxmlformats.org/drawingml/2006/main">
          <a:off x="5803849" y="4013157"/>
          <a:ext cx="1752648" cy="558814"/>
        </a:xfrm>
        <a:prstGeom xmlns:a="http://schemas.openxmlformats.org/drawingml/2006/main" prst="ellipse">
          <a:avLst/>
        </a:prstGeom>
        <a:noFill xmlns:a="http://schemas.openxmlformats.org/drawingml/2006/main"/>
        <a:ln xmlns:a="http://schemas.openxmlformats.org/drawingml/2006/main" w="9525">
          <a:noFill/>
          <a:round/>
          <a:headEnd/>
          <a:tailEnd/>
        </a:ln>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800"/>
            </a:lnSpc>
            <a:defRPr sz="1000"/>
          </a:pPr>
          <a:r>
            <a:rPr lang="fr-FR" sz="2000" b="0" i="0" u="none" strike="noStrike" baseline="0">
              <a:solidFill>
                <a:srgbClr val="000000"/>
              </a:solidFill>
              <a:latin typeface="Arial"/>
              <a:ea typeface="Arial"/>
              <a:cs typeface="Arial"/>
            </a:rPr>
            <a:t>En Suisse</a:t>
          </a:r>
        </a:p>
      </cdr:txBody>
    </cdr:sp>
  </cdr:relSizeAnchor>
  <cdr:relSizeAnchor xmlns:cdr="http://schemas.openxmlformats.org/drawingml/2006/chartDrawing">
    <cdr:from>
      <cdr:x>0.35862</cdr:x>
      <cdr:y>0.23303</cdr:y>
    </cdr:from>
    <cdr:to>
      <cdr:x>0.65518</cdr:x>
      <cdr:y>0.33258</cdr:y>
    </cdr:to>
    <cdr:sp macro="" textlink="">
      <cdr:nvSpPr>
        <cdr:cNvPr id="4" name="Oval 5"/>
        <cdr:cNvSpPr>
          <a:spLocks xmlns:a="http://schemas.openxmlformats.org/drawingml/2006/main" noChangeArrowheads="1"/>
        </cdr:cNvSpPr>
      </cdr:nvSpPr>
      <cdr:spPr bwMode="auto">
        <a:xfrm xmlns:a="http://schemas.openxmlformats.org/drawingml/2006/main">
          <a:off x="3301975" y="1308105"/>
          <a:ext cx="2730576" cy="558814"/>
        </a:xfrm>
        <a:prstGeom xmlns:a="http://schemas.openxmlformats.org/drawingml/2006/main" prst="ellipse">
          <a:avLst/>
        </a:prstGeom>
        <a:noFill xmlns:a="http://schemas.openxmlformats.org/drawingml/2006/main"/>
        <a:ln xmlns:a="http://schemas.openxmlformats.org/drawingml/2006/main" w="9525">
          <a:noFill/>
          <a:round/>
          <a:headEnd/>
          <a:tailEnd/>
        </a:ln>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800"/>
            </a:lnSpc>
            <a:defRPr sz="1000"/>
          </a:pPr>
          <a:r>
            <a:rPr lang="fr-FR" sz="2000" b="0" i="0" u="none" strike="noStrike" baseline="0">
              <a:solidFill>
                <a:srgbClr val="000000"/>
              </a:solidFill>
              <a:latin typeface="Arial"/>
              <a:ea typeface="Arial"/>
              <a:cs typeface="Arial"/>
            </a:rPr>
            <a:t>Dans tous les paradis fiscaux</a:t>
          </a:r>
        </a:p>
      </cdr:txBody>
    </cdr:sp>
  </cdr:relSizeAnchor>
  <cdr:relSizeAnchor xmlns:cdr="http://schemas.openxmlformats.org/drawingml/2006/chartDrawing">
    <cdr:from>
      <cdr:x>0.73793</cdr:x>
      <cdr:y>0.59049</cdr:y>
    </cdr:from>
    <cdr:to>
      <cdr:x>0.78345</cdr:x>
      <cdr:y>0.71267</cdr:y>
    </cdr:to>
    <cdr:sp macro="" textlink="">
      <cdr:nvSpPr>
        <cdr:cNvPr id="6" name="Line 1"/>
        <cdr:cNvSpPr>
          <a:spLocks xmlns:a="http://schemas.openxmlformats.org/drawingml/2006/main" noChangeShapeType="1"/>
        </cdr:cNvSpPr>
      </cdr:nvSpPr>
      <cdr:spPr bwMode="auto">
        <a:xfrm xmlns:a="http://schemas.openxmlformats.org/drawingml/2006/main" flipV="1">
          <a:off x="6794516" y="3314680"/>
          <a:ext cx="419125" cy="68584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a:latin typeface="Arial"/>
            <a:cs typeface="Arial"/>
          </a:endParaRPr>
        </a:p>
      </cdr:txBody>
    </cdr:sp>
  </cdr:relSizeAnchor>
  <cdr:relSizeAnchor xmlns:cdr="http://schemas.openxmlformats.org/drawingml/2006/chartDrawing">
    <cdr:from>
      <cdr:x>0.64138</cdr:x>
      <cdr:y>0.30769</cdr:y>
    </cdr:from>
    <cdr:to>
      <cdr:x>0.71724</cdr:x>
      <cdr:y>0.38461</cdr:y>
    </cdr:to>
    <cdr:sp macro="" textlink="">
      <cdr:nvSpPr>
        <cdr:cNvPr id="7" name="Line 1"/>
        <cdr:cNvSpPr>
          <a:spLocks xmlns:a="http://schemas.openxmlformats.org/drawingml/2006/main" noChangeShapeType="1"/>
        </cdr:cNvSpPr>
      </cdr:nvSpPr>
      <cdr:spPr bwMode="auto">
        <a:xfrm xmlns:a="http://schemas.openxmlformats.org/drawingml/2006/main">
          <a:off x="5905478" y="1727191"/>
          <a:ext cx="698481" cy="43178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12700</xdr:colOff>
      <xdr:row>27</xdr:row>
      <xdr:rowOff>0</xdr:rowOff>
    </xdr:from>
    <xdr:to>
      <xdr:col>6</xdr:col>
      <xdr:colOff>0</xdr:colOff>
      <xdr:row>36</xdr:row>
      <xdr:rowOff>12700</xdr:rowOff>
    </xdr:to>
    <xdr:sp macro="" textlink="">
      <xdr:nvSpPr>
        <xdr:cNvPr id="2" name="Line 1"/>
        <xdr:cNvSpPr>
          <a:spLocks noChangeShapeType="1"/>
        </xdr:cNvSpPr>
      </xdr:nvSpPr>
      <xdr:spPr bwMode="auto">
        <a:xfrm>
          <a:off x="6553200" y="5588000"/>
          <a:ext cx="1041400" cy="1841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3</xdr:col>
      <xdr:colOff>0</xdr:colOff>
      <xdr:row>20</xdr:row>
      <xdr:rowOff>25400</xdr:rowOff>
    </xdr:from>
    <xdr:to>
      <xdr:col>3</xdr:col>
      <xdr:colOff>558800</xdr:colOff>
      <xdr:row>20</xdr:row>
      <xdr:rowOff>25400</xdr:rowOff>
    </xdr:to>
    <xdr:sp macro="" textlink="">
      <xdr:nvSpPr>
        <xdr:cNvPr id="4" name="Line 1"/>
        <xdr:cNvSpPr>
          <a:spLocks noChangeShapeType="1"/>
        </xdr:cNvSpPr>
      </xdr:nvSpPr>
      <xdr:spPr bwMode="auto">
        <a:xfrm>
          <a:off x="3759200" y="4191000"/>
          <a:ext cx="558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5</xdr:col>
      <xdr:colOff>25400</xdr:colOff>
      <xdr:row>24</xdr:row>
      <xdr:rowOff>12700</xdr:rowOff>
    </xdr:from>
    <xdr:to>
      <xdr:col>5</xdr:col>
      <xdr:colOff>1028700</xdr:colOff>
      <xdr:row>27</xdr:row>
      <xdr:rowOff>0</xdr:rowOff>
    </xdr:to>
    <xdr:sp macro="" textlink="">
      <xdr:nvSpPr>
        <xdr:cNvPr id="6" name="Line 1"/>
        <xdr:cNvSpPr>
          <a:spLocks noChangeShapeType="1"/>
        </xdr:cNvSpPr>
      </xdr:nvSpPr>
      <xdr:spPr bwMode="auto">
        <a:xfrm flipV="1">
          <a:off x="6565900" y="4991100"/>
          <a:ext cx="1003300" cy="596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5</xdr:col>
      <xdr:colOff>38100</xdr:colOff>
      <xdr:row>26</xdr:row>
      <xdr:rowOff>190500</xdr:rowOff>
    </xdr:from>
    <xdr:to>
      <xdr:col>5</xdr:col>
      <xdr:colOff>1016000</xdr:colOff>
      <xdr:row>40</xdr:row>
      <xdr:rowOff>177800</xdr:rowOff>
    </xdr:to>
    <xdr:sp macro="" textlink="">
      <xdr:nvSpPr>
        <xdr:cNvPr id="7" name="Line 1"/>
        <xdr:cNvSpPr>
          <a:spLocks noChangeShapeType="1"/>
        </xdr:cNvSpPr>
      </xdr:nvSpPr>
      <xdr:spPr bwMode="auto">
        <a:xfrm>
          <a:off x="6578600" y="5575300"/>
          <a:ext cx="977900" cy="2832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2</xdr:col>
      <xdr:colOff>2171700</xdr:colOff>
      <xdr:row>29</xdr:row>
      <xdr:rowOff>12700</xdr:rowOff>
    </xdr:from>
    <xdr:to>
      <xdr:col>3</xdr:col>
      <xdr:colOff>546100</xdr:colOff>
      <xdr:row>29</xdr:row>
      <xdr:rowOff>12700</xdr:rowOff>
    </xdr:to>
    <xdr:sp macro="" textlink="">
      <xdr:nvSpPr>
        <xdr:cNvPr id="14" name="Line 1"/>
        <xdr:cNvSpPr>
          <a:spLocks noChangeShapeType="1"/>
        </xdr:cNvSpPr>
      </xdr:nvSpPr>
      <xdr:spPr bwMode="auto">
        <a:xfrm>
          <a:off x="3746500" y="6007100"/>
          <a:ext cx="558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3</xdr:col>
      <xdr:colOff>0</xdr:colOff>
      <xdr:row>32</xdr:row>
      <xdr:rowOff>0</xdr:rowOff>
    </xdr:from>
    <xdr:to>
      <xdr:col>3</xdr:col>
      <xdr:colOff>558800</xdr:colOff>
      <xdr:row>32</xdr:row>
      <xdr:rowOff>0</xdr:rowOff>
    </xdr:to>
    <xdr:sp macro="" textlink="">
      <xdr:nvSpPr>
        <xdr:cNvPr id="15" name="Line 1"/>
        <xdr:cNvSpPr>
          <a:spLocks noChangeShapeType="1"/>
        </xdr:cNvSpPr>
      </xdr:nvSpPr>
      <xdr:spPr bwMode="auto">
        <a:xfrm>
          <a:off x="3759200" y="6604000"/>
          <a:ext cx="558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3</xdr:col>
      <xdr:colOff>0</xdr:colOff>
      <xdr:row>35</xdr:row>
      <xdr:rowOff>0</xdr:rowOff>
    </xdr:from>
    <xdr:to>
      <xdr:col>3</xdr:col>
      <xdr:colOff>558800</xdr:colOff>
      <xdr:row>35</xdr:row>
      <xdr:rowOff>0</xdr:rowOff>
    </xdr:to>
    <xdr:sp macro="" textlink="">
      <xdr:nvSpPr>
        <xdr:cNvPr id="16" name="Line 1"/>
        <xdr:cNvSpPr>
          <a:spLocks noChangeShapeType="1"/>
        </xdr:cNvSpPr>
      </xdr:nvSpPr>
      <xdr:spPr bwMode="auto">
        <a:xfrm>
          <a:off x="3759200" y="7213600"/>
          <a:ext cx="558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3</xdr:col>
      <xdr:colOff>0</xdr:colOff>
      <xdr:row>37</xdr:row>
      <xdr:rowOff>190500</xdr:rowOff>
    </xdr:from>
    <xdr:to>
      <xdr:col>3</xdr:col>
      <xdr:colOff>558800</xdr:colOff>
      <xdr:row>37</xdr:row>
      <xdr:rowOff>190500</xdr:rowOff>
    </xdr:to>
    <xdr:sp macro="" textlink="">
      <xdr:nvSpPr>
        <xdr:cNvPr id="17" name="Line 1"/>
        <xdr:cNvSpPr>
          <a:spLocks noChangeShapeType="1"/>
        </xdr:cNvSpPr>
      </xdr:nvSpPr>
      <xdr:spPr bwMode="auto">
        <a:xfrm>
          <a:off x="3759200" y="7962900"/>
          <a:ext cx="558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3</xdr:col>
      <xdr:colOff>12700</xdr:colOff>
      <xdr:row>39</xdr:row>
      <xdr:rowOff>127000</xdr:rowOff>
    </xdr:from>
    <xdr:to>
      <xdr:col>3</xdr:col>
      <xdr:colOff>571500</xdr:colOff>
      <xdr:row>39</xdr:row>
      <xdr:rowOff>127000</xdr:rowOff>
    </xdr:to>
    <xdr:sp macro="" textlink="">
      <xdr:nvSpPr>
        <xdr:cNvPr id="18" name="Line 1"/>
        <xdr:cNvSpPr>
          <a:spLocks noChangeShapeType="1"/>
        </xdr:cNvSpPr>
      </xdr:nvSpPr>
      <xdr:spPr bwMode="auto">
        <a:xfrm>
          <a:off x="3771900" y="8153400"/>
          <a:ext cx="558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2</xdr:col>
      <xdr:colOff>2171700</xdr:colOff>
      <xdr:row>41</xdr:row>
      <xdr:rowOff>127000</xdr:rowOff>
    </xdr:from>
    <xdr:to>
      <xdr:col>3</xdr:col>
      <xdr:colOff>546100</xdr:colOff>
      <xdr:row>41</xdr:row>
      <xdr:rowOff>127000</xdr:rowOff>
    </xdr:to>
    <xdr:sp macro="" textlink="">
      <xdr:nvSpPr>
        <xdr:cNvPr id="19" name="Line 1"/>
        <xdr:cNvSpPr>
          <a:spLocks noChangeShapeType="1"/>
        </xdr:cNvSpPr>
      </xdr:nvSpPr>
      <xdr:spPr bwMode="auto">
        <a:xfrm>
          <a:off x="3746500" y="8559800"/>
          <a:ext cx="558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3</xdr:col>
      <xdr:colOff>558800</xdr:colOff>
      <xdr:row>20</xdr:row>
      <xdr:rowOff>12700</xdr:rowOff>
    </xdr:from>
    <xdr:to>
      <xdr:col>3</xdr:col>
      <xdr:colOff>571500</xdr:colOff>
      <xdr:row>41</xdr:row>
      <xdr:rowOff>127000</xdr:rowOff>
    </xdr:to>
    <xdr:sp macro="" textlink="">
      <xdr:nvSpPr>
        <xdr:cNvPr id="20" name="Line 1"/>
        <xdr:cNvSpPr>
          <a:spLocks noChangeShapeType="1"/>
        </xdr:cNvSpPr>
      </xdr:nvSpPr>
      <xdr:spPr bwMode="auto">
        <a:xfrm>
          <a:off x="4318000" y="4178300"/>
          <a:ext cx="12700" cy="4381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3</xdr:col>
      <xdr:colOff>571500</xdr:colOff>
      <xdr:row>27</xdr:row>
      <xdr:rowOff>25400</xdr:rowOff>
    </xdr:from>
    <xdr:to>
      <xdr:col>4</xdr:col>
      <xdr:colOff>38100</xdr:colOff>
      <xdr:row>27</xdr:row>
      <xdr:rowOff>25400</xdr:rowOff>
    </xdr:to>
    <xdr:sp macro="" textlink="">
      <xdr:nvSpPr>
        <xdr:cNvPr id="21" name="Line 1"/>
        <xdr:cNvSpPr>
          <a:spLocks noChangeShapeType="1"/>
        </xdr:cNvSpPr>
      </xdr:nvSpPr>
      <xdr:spPr bwMode="auto">
        <a:xfrm>
          <a:off x="4610100" y="5689600"/>
          <a:ext cx="5207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5</xdr:col>
      <xdr:colOff>0</xdr:colOff>
      <xdr:row>17</xdr:row>
      <xdr:rowOff>0</xdr:rowOff>
    </xdr:from>
    <xdr:to>
      <xdr:col>6</xdr:col>
      <xdr:colOff>25400</xdr:colOff>
      <xdr:row>27</xdr:row>
      <xdr:rowOff>12700</xdr:rowOff>
    </xdr:to>
    <xdr:sp macro="" textlink="">
      <xdr:nvSpPr>
        <xdr:cNvPr id="22" name="Line 1"/>
        <xdr:cNvSpPr>
          <a:spLocks noChangeShapeType="1"/>
        </xdr:cNvSpPr>
      </xdr:nvSpPr>
      <xdr:spPr bwMode="auto">
        <a:xfrm flipV="1">
          <a:off x="6540500" y="3556000"/>
          <a:ext cx="457200" cy="2044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5</xdr:col>
      <xdr:colOff>25400</xdr:colOff>
      <xdr:row>26</xdr:row>
      <xdr:rowOff>177800</xdr:rowOff>
    </xdr:from>
    <xdr:to>
      <xdr:col>6</xdr:col>
      <xdr:colOff>12700</xdr:colOff>
      <xdr:row>29</xdr:row>
      <xdr:rowOff>38100</xdr:rowOff>
    </xdr:to>
    <xdr:sp macro="" textlink="">
      <xdr:nvSpPr>
        <xdr:cNvPr id="23" name="Line 1"/>
        <xdr:cNvSpPr>
          <a:spLocks noChangeShapeType="1"/>
        </xdr:cNvSpPr>
      </xdr:nvSpPr>
      <xdr:spPr bwMode="auto">
        <a:xfrm>
          <a:off x="6565900" y="5562600"/>
          <a:ext cx="419100" cy="469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12700</xdr:colOff>
      <xdr:row>23</xdr:row>
      <xdr:rowOff>127000</xdr:rowOff>
    </xdr:from>
    <xdr:to>
      <xdr:col>4</xdr:col>
      <xdr:colOff>419100</xdr:colOff>
      <xdr:row>28</xdr:row>
      <xdr:rowOff>12700</xdr:rowOff>
    </xdr:to>
    <xdr:sp macro="" textlink="">
      <xdr:nvSpPr>
        <xdr:cNvPr id="2" name="Line 1"/>
        <xdr:cNvSpPr>
          <a:spLocks noChangeShapeType="1"/>
        </xdr:cNvSpPr>
      </xdr:nvSpPr>
      <xdr:spPr bwMode="auto">
        <a:xfrm flipV="1">
          <a:off x="5473700" y="4267200"/>
          <a:ext cx="406400" cy="838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4</xdr:col>
      <xdr:colOff>0</xdr:colOff>
      <xdr:row>27</xdr:row>
      <xdr:rowOff>165100</xdr:rowOff>
    </xdr:from>
    <xdr:to>
      <xdr:col>4</xdr:col>
      <xdr:colOff>406400</xdr:colOff>
      <xdr:row>30</xdr:row>
      <xdr:rowOff>114300</xdr:rowOff>
    </xdr:to>
    <xdr:sp macro="" textlink="">
      <xdr:nvSpPr>
        <xdr:cNvPr id="3" name="Line 1"/>
        <xdr:cNvSpPr>
          <a:spLocks noChangeShapeType="1"/>
        </xdr:cNvSpPr>
      </xdr:nvSpPr>
      <xdr:spPr bwMode="auto">
        <a:xfrm>
          <a:off x="5689600" y="5067300"/>
          <a:ext cx="406400" cy="520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1</xdr:col>
      <xdr:colOff>1943100</xdr:colOff>
      <xdr:row>19</xdr:row>
      <xdr:rowOff>38100</xdr:rowOff>
    </xdr:from>
    <xdr:to>
      <xdr:col>3</xdr:col>
      <xdr:colOff>0</xdr:colOff>
      <xdr:row>24</xdr:row>
      <xdr:rowOff>12700</xdr:rowOff>
    </xdr:to>
    <xdr:sp macro="" textlink="">
      <xdr:nvSpPr>
        <xdr:cNvPr id="4" name="Line 1"/>
        <xdr:cNvSpPr>
          <a:spLocks noChangeShapeType="1"/>
        </xdr:cNvSpPr>
      </xdr:nvSpPr>
      <xdr:spPr bwMode="auto">
        <a:xfrm flipV="1">
          <a:off x="3517900" y="3009900"/>
          <a:ext cx="444500" cy="825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2</xdr:col>
      <xdr:colOff>0</xdr:colOff>
      <xdr:row>23</xdr:row>
      <xdr:rowOff>139700</xdr:rowOff>
    </xdr:from>
    <xdr:to>
      <xdr:col>2</xdr:col>
      <xdr:colOff>406400</xdr:colOff>
      <xdr:row>27</xdr:row>
      <xdr:rowOff>101600</xdr:rowOff>
    </xdr:to>
    <xdr:sp macro="" textlink="">
      <xdr:nvSpPr>
        <xdr:cNvPr id="5" name="Line 1"/>
        <xdr:cNvSpPr>
          <a:spLocks noChangeShapeType="1"/>
        </xdr:cNvSpPr>
      </xdr:nvSpPr>
      <xdr:spPr bwMode="auto">
        <a:xfrm>
          <a:off x="3530600" y="3810000"/>
          <a:ext cx="406400" cy="673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850900</xdr:colOff>
      <xdr:row>15</xdr:row>
      <xdr:rowOff>12700</xdr:rowOff>
    </xdr:from>
    <xdr:to>
      <xdr:col>4</xdr:col>
      <xdr:colOff>215900</xdr:colOff>
      <xdr:row>16</xdr:row>
      <xdr:rowOff>177800</xdr:rowOff>
    </xdr:to>
    <xdr:sp macro="" textlink="">
      <xdr:nvSpPr>
        <xdr:cNvPr id="8" name="Line 1"/>
        <xdr:cNvSpPr>
          <a:spLocks noChangeShapeType="1"/>
        </xdr:cNvSpPr>
      </xdr:nvSpPr>
      <xdr:spPr bwMode="auto">
        <a:xfrm flipH="1">
          <a:off x="2425700" y="2679700"/>
          <a:ext cx="3251200" cy="368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4</xdr:col>
      <xdr:colOff>215900</xdr:colOff>
      <xdr:row>15</xdr:row>
      <xdr:rowOff>12700</xdr:rowOff>
    </xdr:from>
    <xdr:to>
      <xdr:col>5</xdr:col>
      <xdr:colOff>939800</xdr:colOff>
      <xdr:row>16</xdr:row>
      <xdr:rowOff>190500</xdr:rowOff>
    </xdr:to>
    <xdr:sp macro="" textlink="">
      <xdr:nvSpPr>
        <xdr:cNvPr id="9" name="Line 1"/>
        <xdr:cNvSpPr>
          <a:spLocks noChangeShapeType="1"/>
        </xdr:cNvSpPr>
      </xdr:nvSpPr>
      <xdr:spPr bwMode="auto">
        <a:xfrm>
          <a:off x="5676900" y="2679700"/>
          <a:ext cx="11557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5</xdr:col>
      <xdr:colOff>927100</xdr:colOff>
      <xdr:row>20</xdr:row>
      <xdr:rowOff>190500</xdr:rowOff>
    </xdr:from>
    <xdr:to>
      <xdr:col>5</xdr:col>
      <xdr:colOff>927100</xdr:colOff>
      <xdr:row>23</xdr:row>
      <xdr:rowOff>0</xdr:rowOff>
    </xdr:to>
    <xdr:sp macro="" textlink="">
      <xdr:nvSpPr>
        <xdr:cNvPr id="10" name="Line 1"/>
        <xdr:cNvSpPr>
          <a:spLocks noChangeShapeType="1"/>
        </xdr:cNvSpPr>
      </xdr:nvSpPr>
      <xdr:spPr bwMode="auto">
        <a:xfrm>
          <a:off x="7251700" y="3873500"/>
          <a:ext cx="0" cy="41910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5</xdr:col>
      <xdr:colOff>850900</xdr:colOff>
      <xdr:row>27</xdr:row>
      <xdr:rowOff>25400</xdr:rowOff>
    </xdr:from>
    <xdr:to>
      <xdr:col>7</xdr:col>
      <xdr:colOff>863600</xdr:colOff>
      <xdr:row>28</xdr:row>
      <xdr:rowOff>190500</xdr:rowOff>
    </xdr:to>
    <xdr:sp macro="" textlink="">
      <xdr:nvSpPr>
        <xdr:cNvPr id="11" name="Line 1"/>
        <xdr:cNvSpPr>
          <a:spLocks noChangeShapeType="1"/>
        </xdr:cNvSpPr>
      </xdr:nvSpPr>
      <xdr:spPr bwMode="auto">
        <a:xfrm>
          <a:off x="7607300" y="5130800"/>
          <a:ext cx="2603500" cy="368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3</xdr:col>
      <xdr:colOff>914400</xdr:colOff>
      <xdr:row>27</xdr:row>
      <xdr:rowOff>25400</xdr:rowOff>
    </xdr:from>
    <xdr:to>
      <xdr:col>5</xdr:col>
      <xdr:colOff>825500</xdr:colOff>
      <xdr:row>28</xdr:row>
      <xdr:rowOff>177800</xdr:rowOff>
    </xdr:to>
    <xdr:sp macro="" textlink="">
      <xdr:nvSpPr>
        <xdr:cNvPr id="12" name="Line 1"/>
        <xdr:cNvSpPr>
          <a:spLocks noChangeShapeType="1"/>
        </xdr:cNvSpPr>
      </xdr:nvSpPr>
      <xdr:spPr bwMode="auto">
        <a:xfrm flipH="1">
          <a:off x="5080000" y="5130800"/>
          <a:ext cx="2501900" cy="355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twoCellAnchor>
    <xdr:from>
      <xdr:col>5</xdr:col>
      <xdr:colOff>838200</xdr:colOff>
      <xdr:row>27</xdr:row>
      <xdr:rowOff>0</xdr:rowOff>
    </xdr:from>
    <xdr:to>
      <xdr:col>5</xdr:col>
      <xdr:colOff>850900</xdr:colOff>
      <xdr:row>29</xdr:row>
      <xdr:rowOff>12700</xdr:rowOff>
    </xdr:to>
    <xdr:sp macro="" textlink="">
      <xdr:nvSpPr>
        <xdr:cNvPr id="13" name="Line 1"/>
        <xdr:cNvSpPr>
          <a:spLocks noChangeShapeType="1"/>
        </xdr:cNvSpPr>
      </xdr:nvSpPr>
      <xdr:spPr bwMode="auto">
        <a:xfrm>
          <a:off x="7594600" y="5105400"/>
          <a:ext cx="12700"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fr-FR"/>
        </a:p>
      </xdr:txBody>
    </xdr:sp>
    <xdr:clientData/>
  </xdr:twoCellAnchor>
</xdr:wsDr>
</file>

<file path=xl/drawings/drawing6.xml><?xml version="1.0" encoding="utf-8"?>
<xdr:wsDr xmlns:xdr="http://schemas.openxmlformats.org/drawingml/2006/spreadsheetDrawing" xmlns:a="http://schemas.openxmlformats.org/drawingml/2006/main">
  <xdr:absoluteAnchor>
    <xdr:pos x="0" y="0"/>
    <xdr:ext cx="9207500"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0.1462</cdr:x>
      <cdr:y>0.32579</cdr:y>
    </cdr:from>
    <cdr:to>
      <cdr:x>0.44276</cdr:x>
      <cdr:y>0.42534</cdr:y>
    </cdr:to>
    <cdr:sp macro="" textlink="">
      <cdr:nvSpPr>
        <cdr:cNvPr id="8" name="Oval 5"/>
        <cdr:cNvSpPr>
          <a:spLocks xmlns:a="http://schemas.openxmlformats.org/drawingml/2006/main" noChangeArrowheads="1"/>
        </cdr:cNvSpPr>
      </cdr:nvSpPr>
      <cdr:spPr bwMode="auto">
        <a:xfrm xmlns:a="http://schemas.openxmlformats.org/drawingml/2006/main">
          <a:off x="1346162" y="1828781"/>
          <a:ext cx="2730576" cy="558814"/>
        </a:xfrm>
        <a:prstGeom xmlns:a="http://schemas.openxmlformats.org/drawingml/2006/main" prst="ellipse">
          <a:avLst/>
        </a:prstGeom>
        <a:noFill xmlns:a="http://schemas.openxmlformats.org/drawingml/2006/main"/>
        <a:ln xmlns:a="http://schemas.openxmlformats.org/drawingml/2006/main" w="9525">
          <a:noFill/>
          <a:round/>
          <a:headEnd/>
          <a:tailEnd/>
        </a:ln>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800"/>
            </a:lnSpc>
            <a:defRPr sz="1000"/>
          </a:pPr>
          <a:r>
            <a:rPr lang="fr-FR" sz="2000" b="0" i="0" u="none" strike="noStrike" baseline="0">
              <a:solidFill>
                <a:srgbClr val="000000"/>
              </a:solidFill>
              <a:latin typeface="Arial"/>
              <a:ea typeface="Arial"/>
              <a:cs typeface="Arial"/>
            </a:rPr>
            <a:t>Dette publique </a:t>
          </a:r>
        </a:p>
      </cdr:txBody>
    </cdr:sp>
  </cdr:relSizeAnchor>
  <cdr:relSizeAnchor xmlns:cdr="http://schemas.openxmlformats.org/drawingml/2006/chartDrawing">
    <cdr:from>
      <cdr:x>0.31173</cdr:x>
      <cdr:y>0.42987</cdr:y>
    </cdr:from>
    <cdr:to>
      <cdr:x>0.37191</cdr:x>
      <cdr:y>0.53752</cdr:y>
    </cdr:to>
    <cdr:sp macro="" textlink="">
      <cdr:nvSpPr>
        <cdr:cNvPr id="9" name="Line 1"/>
        <cdr:cNvSpPr>
          <a:spLocks xmlns:a="http://schemas.openxmlformats.org/drawingml/2006/main" noChangeShapeType="1"/>
        </cdr:cNvSpPr>
      </cdr:nvSpPr>
      <cdr:spPr bwMode="auto">
        <a:xfrm xmlns:a="http://schemas.openxmlformats.org/drawingml/2006/main">
          <a:off x="2870238" y="2413006"/>
          <a:ext cx="554107" cy="60428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a:p>
      </cdr:txBody>
    </cdr:sp>
  </cdr:relSizeAnchor>
  <cdr:relSizeAnchor xmlns:cdr="http://schemas.openxmlformats.org/drawingml/2006/chartDrawing">
    <cdr:from>
      <cdr:x>0.63724</cdr:x>
      <cdr:y>0.6448</cdr:y>
    </cdr:from>
    <cdr:to>
      <cdr:x>0.68137</cdr:x>
      <cdr:y>0.73303</cdr:y>
    </cdr:to>
    <cdr:sp macro="" textlink="">
      <cdr:nvSpPr>
        <cdr:cNvPr id="10" name="Line 1"/>
        <cdr:cNvSpPr>
          <a:spLocks xmlns:a="http://schemas.openxmlformats.org/drawingml/2006/main" noChangeShapeType="1"/>
        </cdr:cNvSpPr>
      </cdr:nvSpPr>
      <cdr:spPr bwMode="auto">
        <a:xfrm xmlns:a="http://schemas.openxmlformats.org/drawingml/2006/main" flipV="1">
          <a:off x="5867378" y="3619503"/>
          <a:ext cx="406327" cy="49527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a:p>
      </cdr:txBody>
    </cdr:sp>
  </cdr:relSizeAnchor>
  <cdr:relSizeAnchor xmlns:cdr="http://schemas.openxmlformats.org/drawingml/2006/chartDrawing">
    <cdr:from>
      <cdr:x>0.24</cdr:x>
      <cdr:y>0.71719</cdr:y>
    </cdr:from>
    <cdr:to>
      <cdr:x>0.89793</cdr:x>
      <cdr:y>0.87104</cdr:y>
    </cdr:to>
    <cdr:sp macro="" textlink="">
      <cdr:nvSpPr>
        <cdr:cNvPr id="11" name="Oval 5"/>
        <cdr:cNvSpPr>
          <a:spLocks xmlns:a="http://schemas.openxmlformats.org/drawingml/2006/main" noChangeArrowheads="1"/>
        </cdr:cNvSpPr>
      </cdr:nvSpPr>
      <cdr:spPr bwMode="auto">
        <a:xfrm xmlns:a="http://schemas.openxmlformats.org/drawingml/2006/main">
          <a:off x="2209797" y="4025899"/>
          <a:ext cx="6057903" cy="863601"/>
        </a:xfrm>
        <a:prstGeom xmlns:a="http://schemas.openxmlformats.org/drawingml/2006/main" prst="ellipse">
          <a:avLst/>
        </a:prstGeom>
        <a:noFill xmlns:a="http://schemas.openxmlformats.org/drawingml/2006/main"/>
        <a:ln xmlns:a="http://schemas.openxmlformats.org/drawingml/2006/main" w="9525">
          <a:noFill/>
          <a:round/>
          <a:headEnd/>
          <a:tailEnd/>
        </a:ln>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800"/>
            </a:lnSpc>
            <a:defRPr sz="1000"/>
          </a:pPr>
          <a:r>
            <a:rPr lang="fr-FR" sz="2000" b="0" i="0" u="none" strike="noStrike" baseline="0">
              <a:solidFill>
                <a:srgbClr val="000000"/>
              </a:solidFill>
              <a:latin typeface="Arial"/>
              <a:ea typeface="Arial"/>
              <a:cs typeface="Arial"/>
            </a:rPr>
            <a:t>Dette publique sans l'évasion fiscale permise par le secret bancaire</a:t>
          </a:r>
        </a:p>
      </cdr:txBody>
    </cdr:sp>
  </cdr:relSizeAnchor>
  <cdr:relSizeAnchor xmlns:cdr="http://schemas.openxmlformats.org/drawingml/2006/chartDrawing">
    <cdr:from>
      <cdr:x>0.35862</cdr:x>
      <cdr:y>0.18552</cdr:y>
    </cdr:from>
    <cdr:to>
      <cdr:x>0.85517</cdr:x>
      <cdr:y>0.32353</cdr:y>
    </cdr:to>
    <cdr:sp macro="" textlink="">
      <cdr:nvSpPr>
        <cdr:cNvPr id="14" name="Oval 5"/>
        <cdr:cNvSpPr>
          <a:spLocks xmlns:a="http://schemas.openxmlformats.org/drawingml/2006/main" noChangeArrowheads="1"/>
        </cdr:cNvSpPr>
      </cdr:nvSpPr>
      <cdr:spPr bwMode="auto">
        <a:xfrm xmlns:a="http://schemas.openxmlformats.org/drawingml/2006/main">
          <a:off x="3302025" y="1041387"/>
          <a:ext cx="4571975" cy="774713"/>
        </a:xfrm>
        <a:prstGeom xmlns:a="http://schemas.openxmlformats.org/drawingml/2006/main" prst="ellipse">
          <a:avLst/>
        </a:prstGeom>
        <a:noFill xmlns:a="http://schemas.openxmlformats.org/drawingml/2006/main"/>
        <a:ln xmlns:a="http://schemas.openxmlformats.org/drawingml/2006/main" w="9525">
          <a:noFill/>
          <a:prstDash val="dot"/>
          <a:round/>
          <a:headEnd/>
          <a:tailEnd/>
        </a:ln>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800"/>
            </a:lnSpc>
            <a:defRPr sz="1000"/>
          </a:pPr>
          <a:r>
            <a:rPr lang="fr-FR" sz="2000" b="0" i="0" u="none" strike="noStrike" baseline="0">
              <a:solidFill>
                <a:srgbClr val="000000"/>
              </a:solidFill>
              <a:latin typeface="Arial"/>
              <a:ea typeface="Arial"/>
              <a:cs typeface="Arial"/>
            </a:rPr>
            <a:t>Coût cumulé du secret bancaire en 2013 : 480Md€</a:t>
          </a:r>
        </a:p>
      </cdr:txBody>
    </cdr:sp>
  </cdr:relSizeAnchor>
  <cdr:relSizeAnchor xmlns:cdr="http://schemas.openxmlformats.org/drawingml/2006/chartDrawing">
    <cdr:from>
      <cdr:x>0.85655</cdr:x>
      <cdr:y>0.181</cdr:y>
    </cdr:from>
    <cdr:to>
      <cdr:x>0.99862</cdr:x>
      <cdr:y>0.26471</cdr:y>
    </cdr:to>
    <cdr:sp macro="" textlink="">
      <cdr:nvSpPr>
        <cdr:cNvPr id="15" name="Oval 5"/>
        <cdr:cNvSpPr>
          <a:spLocks xmlns:a="http://schemas.openxmlformats.org/drawingml/2006/main" noChangeArrowheads="1"/>
        </cdr:cNvSpPr>
      </cdr:nvSpPr>
      <cdr:spPr bwMode="auto">
        <a:xfrm xmlns:a="http://schemas.openxmlformats.org/drawingml/2006/main">
          <a:off x="7886700" y="1016001"/>
          <a:ext cx="1308100" cy="469900"/>
        </a:xfrm>
        <a:prstGeom xmlns:a="http://schemas.openxmlformats.org/drawingml/2006/main" prst="ellipse">
          <a:avLst/>
        </a:prstGeom>
        <a:noFill xmlns:a="http://schemas.openxmlformats.org/drawingml/2006/main"/>
        <a:ln xmlns:a="http://schemas.openxmlformats.org/drawingml/2006/main" w="9525">
          <a:noFill/>
          <a:round/>
          <a:headEnd/>
          <a:tailEnd/>
        </a:ln>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800"/>
            </a:lnSpc>
            <a:defRPr sz="1000"/>
          </a:pPr>
          <a:endParaRPr lang="fr-FR" sz="1800" b="0" i="0" u="none" strike="noStrike" baseline="0">
            <a:solidFill>
              <a:srgbClr val="000000"/>
            </a:solidFill>
            <a:latin typeface="Arial"/>
            <a:ea typeface="Arial"/>
            <a:cs typeface="Arial"/>
          </a:endParaRPr>
        </a:p>
      </cdr:txBody>
    </cdr:sp>
  </cdr:relSizeAnchor>
  <cdr:relSizeAnchor xmlns:cdr="http://schemas.openxmlformats.org/drawingml/2006/chartDrawing">
    <cdr:from>
      <cdr:x>0.96138</cdr:x>
      <cdr:y>0.23077</cdr:y>
    </cdr:from>
    <cdr:to>
      <cdr:x>0.96138</cdr:x>
      <cdr:y>0.42534</cdr:y>
    </cdr:to>
    <cdr:sp macro="" textlink="">
      <cdr:nvSpPr>
        <cdr:cNvPr id="16" name="Line 1"/>
        <cdr:cNvSpPr>
          <a:spLocks xmlns:a="http://schemas.openxmlformats.org/drawingml/2006/main" noChangeShapeType="1"/>
        </cdr:cNvSpPr>
      </cdr:nvSpPr>
      <cdr:spPr bwMode="auto">
        <a:xfrm xmlns:a="http://schemas.openxmlformats.org/drawingml/2006/main" flipH="1" flipV="1">
          <a:off x="8851899" y="1295400"/>
          <a:ext cx="1" cy="1092200"/>
        </a:xfrm>
        <a:prstGeom xmlns:a="http://schemas.openxmlformats.org/drawingml/2006/main" prst="line">
          <a:avLst/>
        </a:prstGeom>
        <a:noFill xmlns:a="http://schemas.openxmlformats.org/drawingml/2006/main"/>
        <a:ln xmlns:a="http://schemas.openxmlformats.org/drawingml/2006/main" w="38100" cap="sq" cmpd="sng">
          <a:solidFill>
            <a:schemeClr val="tx1"/>
          </a:solidFill>
          <a:bevel/>
          <a:headEnd type="triangle" w="med" len="me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a:p>
      </cdr:txBody>
    </cdr:sp>
  </cdr:relSizeAnchor>
  <cdr:relSizeAnchor xmlns:cdr="http://schemas.openxmlformats.org/drawingml/2006/chartDrawing">
    <cdr:from>
      <cdr:x>0.79862</cdr:x>
      <cdr:y>0.26471</cdr:y>
    </cdr:from>
    <cdr:to>
      <cdr:x>0.95448</cdr:x>
      <cdr:y>0.34163</cdr:y>
    </cdr:to>
    <cdr:sp macro="" textlink="">
      <cdr:nvSpPr>
        <cdr:cNvPr id="17" name="Line 1"/>
        <cdr:cNvSpPr>
          <a:spLocks xmlns:a="http://schemas.openxmlformats.org/drawingml/2006/main" noChangeShapeType="1"/>
        </cdr:cNvSpPr>
      </cdr:nvSpPr>
      <cdr:spPr bwMode="auto">
        <a:xfrm xmlns:a="http://schemas.openxmlformats.org/drawingml/2006/main">
          <a:off x="7353300" y="1485900"/>
          <a:ext cx="1435075" cy="43182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207500"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0.47172</cdr:x>
      <cdr:y>0.27828</cdr:y>
    </cdr:from>
    <cdr:to>
      <cdr:x>0.53053</cdr:x>
      <cdr:y>0.41535</cdr:y>
    </cdr:to>
    <cdr:sp macro="" textlink="">
      <cdr:nvSpPr>
        <cdr:cNvPr id="2" name="Line 1"/>
        <cdr:cNvSpPr>
          <a:spLocks xmlns:a="http://schemas.openxmlformats.org/drawingml/2006/main" noChangeShapeType="1"/>
        </cdr:cNvSpPr>
      </cdr:nvSpPr>
      <cdr:spPr bwMode="auto">
        <a:xfrm xmlns:a="http://schemas.openxmlformats.org/drawingml/2006/main">
          <a:off x="4343400" y="1562100"/>
          <a:ext cx="541449" cy="76941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a:p>
      </cdr:txBody>
    </cdr:sp>
  </cdr:relSizeAnchor>
  <cdr:relSizeAnchor xmlns:cdr="http://schemas.openxmlformats.org/drawingml/2006/chartDrawing">
    <cdr:from>
      <cdr:x>0.38621</cdr:x>
      <cdr:y>0.53846</cdr:y>
    </cdr:from>
    <cdr:to>
      <cdr:x>0.47034</cdr:x>
      <cdr:y>0.69231</cdr:y>
    </cdr:to>
    <cdr:sp macro="" textlink="">
      <cdr:nvSpPr>
        <cdr:cNvPr id="3" name="Line 1"/>
        <cdr:cNvSpPr>
          <a:spLocks xmlns:a="http://schemas.openxmlformats.org/drawingml/2006/main" noChangeShapeType="1"/>
        </cdr:cNvSpPr>
      </cdr:nvSpPr>
      <cdr:spPr bwMode="auto">
        <a:xfrm xmlns:a="http://schemas.openxmlformats.org/drawingml/2006/main" flipV="1">
          <a:off x="3556000" y="3022600"/>
          <a:ext cx="774700" cy="86360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a:p>
      </cdr:txBody>
    </cdr:sp>
  </cdr:relSizeAnchor>
  <cdr:relSizeAnchor xmlns:cdr="http://schemas.openxmlformats.org/drawingml/2006/chartDrawing">
    <cdr:from>
      <cdr:x>0.25104</cdr:x>
      <cdr:y>0.15837</cdr:y>
    </cdr:from>
    <cdr:to>
      <cdr:x>0.61104</cdr:x>
      <cdr:y>0.28055</cdr:y>
    </cdr:to>
    <cdr:sp macro="" textlink="">
      <cdr:nvSpPr>
        <cdr:cNvPr id="4" name="Oval 5"/>
        <cdr:cNvSpPr>
          <a:spLocks xmlns:a="http://schemas.openxmlformats.org/drawingml/2006/main" noChangeArrowheads="1"/>
        </cdr:cNvSpPr>
      </cdr:nvSpPr>
      <cdr:spPr bwMode="auto">
        <a:xfrm xmlns:a="http://schemas.openxmlformats.org/drawingml/2006/main">
          <a:off x="2311429" y="888983"/>
          <a:ext cx="3314700" cy="685845"/>
        </a:xfrm>
        <a:prstGeom xmlns:a="http://schemas.openxmlformats.org/drawingml/2006/main" prst="ellipse">
          <a:avLst/>
        </a:prstGeom>
        <a:noFill xmlns:a="http://schemas.openxmlformats.org/drawingml/2006/main"/>
        <a:ln xmlns:a="http://schemas.openxmlformats.org/drawingml/2006/main" w="9525">
          <a:noFill/>
          <a:round/>
          <a:headEnd/>
          <a:tailEnd/>
        </a:ln>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800"/>
            </a:lnSpc>
            <a:defRPr sz="1000"/>
          </a:pPr>
          <a:r>
            <a:rPr lang="fr-FR" sz="1800" b="0" i="0" u="none" strike="noStrike" baseline="0">
              <a:solidFill>
                <a:srgbClr val="000000"/>
              </a:solidFill>
              <a:latin typeface="Arial"/>
              <a:ea typeface="Arial"/>
              <a:cs typeface="Arial"/>
            </a:rPr>
            <a:t>Comptes détenus via des sociétés écran</a:t>
          </a:r>
        </a:p>
      </cdr:txBody>
    </cdr:sp>
  </cdr:relSizeAnchor>
  <cdr:relSizeAnchor xmlns:cdr="http://schemas.openxmlformats.org/drawingml/2006/chartDrawing">
    <cdr:from>
      <cdr:x>0.18345</cdr:x>
      <cdr:y>0.67195</cdr:y>
    </cdr:from>
    <cdr:to>
      <cdr:x>0.68138</cdr:x>
      <cdr:y>0.80995</cdr:y>
    </cdr:to>
    <cdr:sp macro="" textlink="">
      <cdr:nvSpPr>
        <cdr:cNvPr id="5" name="Oval 5"/>
        <cdr:cNvSpPr>
          <a:spLocks xmlns:a="http://schemas.openxmlformats.org/drawingml/2006/main" noChangeArrowheads="1"/>
        </cdr:cNvSpPr>
      </cdr:nvSpPr>
      <cdr:spPr bwMode="auto">
        <a:xfrm xmlns:a="http://schemas.openxmlformats.org/drawingml/2006/main">
          <a:off x="1689100" y="3771900"/>
          <a:ext cx="4584700" cy="774700"/>
        </a:xfrm>
        <a:prstGeom xmlns:a="http://schemas.openxmlformats.org/drawingml/2006/main" prst="ellipse">
          <a:avLst/>
        </a:prstGeom>
        <a:noFill xmlns:a="http://schemas.openxmlformats.org/drawingml/2006/main"/>
        <a:ln xmlns:a="http://schemas.openxmlformats.org/drawingml/2006/main" w="9525">
          <a:noFill/>
          <a:round/>
          <a:headEnd/>
          <a:tailEnd/>
        </a:ln>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800"/>
            </a:lnSpc>
            <a:defRPr sz="1000"/>
          </a:pPr>
          <a:r>
            <a:rPr lang="fr-FR" sz="1800" b="0" i="0" u="none" strike="noStrike" baseline="0">
              <a:solidFill>
                <a:srgbClr val="000000"/>
              </a:solidFill>
              <a:latin typeface="Arial"/>
              <a:ea typeface="Arial"/>
              <a:cs typeface="Arial"/>
            </a:rPr>
            <a:t>Comptes détenus par des Européens en leur nom propre</a:t>
          </a:r>
        </a:p>
      </cdr:txBody>
    </cdr:sp>
  </cdr:relSizeAnchor>
  <cdr:relSizeAnchor xmlns:cdr="http://schemas.openxmlformats.org/drawingml/2006/chartDrawing">
    <cdr:from>
      <cdr:x>0.71448</cdr:x>
      <cdr:y>0.17873</cdr:y>
    </cdr:from>
    <cdr:to>
      <cdr:x>0.71862</cdr:x>
      <cdr:y>0.91403</cdr:y>
    </cdr:to>
    <cdr:sp macro="" textlink="">
      <cdr:nvSpPr>
        <cdr:cNvPr id="6" name="Line 1"/>
        <cdr:cNvSpPr>
          <a:spLocks xmlns:a="http://schemas.openxmlformats.org/drawingml/2006/main" noChangeShapeType="1"/>
        </cdr:cNvSpPr>
      </cdr:nvSpPr>
      <cdr:spPr bwMode="auto">
        <a:xfrm xmlns:a="http://schemas.openxmlformats.org/drawingml/2006/main">
          <a:off x="6578600" y="1003301"/>
          <a:ext cx="38099" cy="4127500"/>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000000" mc:Ignorable="a14" a14:legacySpreadsheetColorIndex="64"/>
          </a:solidFill>
          <a:prstDash val="dash"/>
          <a:round/>
          <a:headEnd/>
          <a:tailEnd type="non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a:p>
      </cdr:txBody>
    </cdr:sp>
  </cdr:relSizeAnchor>
  <cdr:relSizeAnchor xmlns:cdr="http://schemas.openxmlformats.org/drawingml/2006/chartDrawing">
    <cdr:from>
      <cdr:x>0.69793</cdr:x>
      <cdr:y>0.38235</cdr:y>
    </cdr:from>
    <cdr:to>
      <cdr:x>0.84414</cdr:x>
      <cdr:y>0.51584</cdr:y>
    </cdr:to>
    <cdr:sp macro="" textlink="">
      <cdr:nvSpPr>
        <cdr:cNvPr id="8" name="Oval 5"/>
        <cdr:cNvSpPr>
          <a:spLocks xmlns:a="http://schemas.openxmlformats.org/drawingml/2006/main" noChangeArrowheads="1"/>
        </cdr:cNvSpPr>
      </cdr:nvSpPr>
      <cdr:spPr bwMode="auto">
        <a:xfrm xmlns:a="http://schemas.openxmlformats.org/drawingml/2006/main">
          <a:off x="6426200" y="2146300"/>
          <a:ext cx="1346200" cy="749300"/>
        </a:xfrm>
        <a:prstGeom xmlns:a="http://schemas.openxmlformats.org/drawingml/2006/main" prst="ellipse">
          <a:avLst/>
        </a:prstGeom>
        <a:noFill xmlns:a="http://schemas.openxmlformats.org/drawingml/2006/main"/>
        <a:ln xmlns:a="http://schemas.openxmlformats.org/drawingml/2006/main" w="9525">
          <a:noFill/>
          <a:round/>
          <a:headEnd/>
          <a:tailEnd/>
        </a:ln>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800"/>
            </a:lnSpc>
            <a:defRPr sz="1000"/>
          </a:pPr>
          <a:r>
            <a:rPr lang="fr-FR" sz="1800" b="0" i="0" u="none" strike="noStrike" baseline="0">
              <a:solidFill>
                <a:srgbClr val="000000"/>
              </a:solidFill>
              <a:latin typeface="Arial"/>
              <a:ea typeface="Arial"/>
              <a:cs typeface="Arial"/>
            </a:rPr>
            <a:t>Directive épargne </a:t>
          </a:r>
        </a:p>
      </cdr:txBody>
    </cdr:sp>
  </cdr:relSizeAnchor>
</c:userShape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hyperlink" Target="http://www.imf.org/external/pubs/ft/wp/2010/wp1038.pdf"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hyperlink" Target="http://www.familybusinessdefensecouncil.com/userfiles/accf_intl_rate_survey.pdf" TargetMode="External"/><Relationship Id="rId2" Type="http://schemas.openxmlformats.org/officeDocument/2006/relationships/hyperlink" Target="https://personal.vanguard.com/us/funds/tools/benchmarkreturns" TargetMode="External"/></Relationships>
</file>

<file path=xl/worksheets/_rels/sheet8.xml.rels><?xml version="1.0" encoding="UTF-8" standalone="yes"?>
<Relationships xmlns="http://schemas.openxmlformats.org/package/2006/relationships"><Relationship Id="rId11" Type="http://schemas.openxmlformats.org/officeDocument/2006/relationships/hyperlink" Target="http://www.oecd.org/tax/tax-policy/oecdtaxdatabase.htm" TargetMode="External"/><Relationship Id="rId12" Type="http://schemas.openxmlformats.org/officeDocument/2006/relationships/vmlDrawing" Target="../drawings/vmlDrawing1.vml"/><Relationship Id="rId13" Type="http://schemas.openxmlformats.org/officeDocument/2006/relationships/comments" Target="../comments1.xml"/><Relationship Id="rId1" Type="http://schemas.openxmlformats.org/officeDocument/2006/relationships/hyperlink" Target="http://www.ladocumentationfrancaise.fr/var/storage/rapports-publics/044000466/0000.pdf" TargetMode="External"/><Relationship Id="rId2" Type="http://schemas.openxmlformats.org/officeDocument/2006/relationships/hyperlink" Target="http://piketty.pse.ens.fr/fr/inheritance" TargetMode="External"/><Relationship Id="rId3" Type="http://schemas.openxmlformats.org/officeDocument/2006/relationships/hyperlink" Target="http://www.comptespublics.fr/index.php?page=impot-de-solidarite-sur-la-fortune" TargetMode="External"/><Relationship Id="rId4" Type="http://schemas.openxmlformats.org/officeDocument/2006/relationships/hyperlink" Target="http://www.insee.fr/fr/themes/theme.asp?theme=16&amp;sous_theme=3.1" TargetMode="External"/><Relationship Id="rId5" Type="http://schemas.openxmlformats.org/officeDocument/2006/relationships/hyperlink" Target="http://www.comptespublics.fr/index.php?page=impot-de-solidarite-sur-la-fortune" TargetMode="External"/><Relationship Id="rId6" Type="http://schemas.openxmlformats.org/officeDocument/2006/relationships/hyperlink" Target="http://www.insee.fr/fr/themes/theme.asp?theme=16&amp;sous_theme=3.1" TargetMode="External"/><Relationship Id="rId7" Type="http://schemas.openxmlformats.org/officeDocument/2006/relationships/hyperlink" Target="http://www.insee.fr/fr/themes/theme.asp?theme=16&amp;sous_theme=3.1" TargetMode="External"/><Relationship Id="rId8" Type="http://schemas.openxmlformats.org/officeDocument/2006/relationships/hyperlink" Target="http://www.insee.fr/fr/themes/theme.asp?theme=16&amp;sous_theme=3.1" TargetMode="External"/><Relationship Id="rId9" Type="http://schemas.openxmlformats.org/officeDocument/2006/relationships/hyperlink" Target="http://www.insee.fr/en/themes/comptes-nationaux/tableau.asp?sous_theme=5.3.3&amp;xml=t_7301" TargetMode="External"/><Relationship Id="rId10" Type="http://schemas.openxmlformats.org/officeDocument/2006/relationships/hyperlink" Target="http://www.insee.fr/fr/themes/theme.asp?theme=16&amp;sous_theme=5.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workbookViewId="0">
      <pane xSplit="1" topLeftCell="B1" activePane="topRight" state="frozen"/>
      <selection pane="topRight"/>
    </sheetView>
  </sheetViews>
  <sheetFormatPr baseColWidth="10" defaultRowHeight="15" x14ac:dyDescent="0"/>
  <cols>
    <col min="1" max="1" width="10.83203125" style="4"/>
    <col min="2" max="16" width="13" style="4" customWidth="1"/>
    <col min="17" max="16384" width="10.83203125" style="4"/>
  </cols>
  <sheetData>
    <row r="1" spans="1:16" ht="16" thickBot="1"/>
    <row r="2" spans="1:16" s="3" customFormat="1" ht="110" customHeight="1">
      <c r="A2" s="5"/>
      <c r="B2" s="8" t="s">
        <v>7</v>
      </c>
      <c r="C2" s="9" t="s">
        <v>3</v>
      </c>
      <c r="D2" s="9" t="s">
        <v>4</v>
      </c>
      <c r="E2" s="9" t="s">
        <v>5</v>
      </c>
      <c r="F2" s="10" t="s">
        <v>10</v>
      </c>
      <c r="G2" s="8" t="s">
        <v>2</v>
      </c>
      <c r="H2" s="8" t="s">
        <v>6</v>
      </c>
      <c r="I2" s="8" t="s">
        <v>0</v>
      </c>
      <c r="J2" s="8" t="s">
        <v>11</v>
      </c>
      <c r="K2" s="8" t="s">
        <v>1</v>
      </c>
      <c r="L2" s="11" t="s">
        <v>9</v>
      </c>
      <c r="M2" s="8" t="s">
        <v>8</v>
      </c>
      <c r="N2" s="8" t="s">
        <v>12</v>
      </c>
      <c r="O2" s="8" t="s">
        <v>13</v>
      </c>
      <c r="P2" s="11" t="s">
        <v>14</v>
      </c>
    </row>
    <row r="3" spans="1:16">
      <c r="A3" s="6">
        <v>1910</v>
      </c>
      <c r="B3" s="12">
        <v>0.98433483423924883</v>
      </c>
      <c r="C3" s="13"/>
      <c r="D3" s="13"/>
      <c r="E3" s="13"/>
      <c r="F3" s="14">
        <v>0.5</v>
      </c>
      <c r="G3" s="12">
        <v>0</v>
      </c>
      <c r="H3" s="15">
        <f t="shared" ref="H3:H12" si="0">G3+F3*B3</f>
        <v>0.49216741711962442</v>
      </c>
      <c r="I3" s="16">
        <v>1</v>
      </c>
      <c r="J3" s="12">
        <f t="shared" ref="J3:J12" si="1">I3*H3</f>
        <v>0.49216741711962442</v>
      </c>
      <c r="K3" s="17">
        <f t="shared" ref="K3:K14" si="2">J3/(P3+J3)</f>
        <v>4.0371223882754497E-3</v>
      </c>
      <c r="L3" s="18">
        <f t="shared" ref="L3:L9" si="3">K3</f>
        <v>4.0371223882754497E-3</v>
      </c>
      <c r="M3" s="19">
        <f t="shared" ref="M3:M9" si="4">M4*N3/N4</f>
        <v>68.74334703891067</v>
      </c>
      <c r="N3" s="15">
        <v>37.320339370000035</v>
      </c>
      <c r="O3" s="20">
        <v>1.7662550676504123</v>
      </c>
      <c r="P3" s="21">
        <f t="shared" ref="P3:P14" si="5">M3*O3</f>
        <v>121.41828507472694</v>
      </c>
    </row>
    <row r="4" spans="1:16">
      <c r="A4" s="6">
        <v>1920</v>
      </c>
      <c r="B4" s="12">
        <v>2.6424384886616026</v>
      </c>
      <c r="C4" s="13"/>
      <c r="D4" s="13"/>
      <c r="E4" s="13"/>
      <c r="F4" s="14">
        <v>0.5</v>
      </c>
      <c r="G4" s="12">
        <v>0</v>
      </c>
      <c r="H4" s="12">
        <f t="shared" si="0"/>
        <v>1.3212192443308013</v>
      </c>
      <c r="I4" s="16">
        <v>0.95</v>
      </c>
      <c r="J4" s="12">
        <f t="shared" si="1"/>
        <v>1.2551582821142611</v>
      </c>
      <c r="K4" s="17">
        <f t="shared" si="2"/>
        <v>1.3715282395642847E-2</v>
      </c>
      <c r="L4" s="18">
        <f t="shared" si="3"/>
        <v>1.3715282395642847E-2</v>
      </c>
      <c r="M4" s="19">
        <f t="shared" si="4"/>
        <v>79.308659181442124</v>
      </c>
      <c r="N4" s="12">
        <v>43.056182207068623</v>
      </c>
      <c r="O4" s="20">
        <v>1.1380869362113792</v>
      </c>
      <c r="P4" s="22">
        <f t="shared" si="5"/>
        <v>90.260148942839933</v>
      </c>
    </row>
    <row r="5" spans="1:16">
      <c r="A5" s="6">
        <v>1930</v>
      </c>
      <c r="B5" s="12">
        <v>5.4221973583644862</v>
      </c>
      <c r="C5" s="13"/>
      <c r="D5" s="13"/>
      <c r="E5" s="13"/>
      <c r="F5" s="14">
        <v>0.6</v>
      </c>
      <c r="G5" s="12">
        <v>0</v>
      </c>
      <c r="H5" s="12">
        <f t="shared" si="0"/>
        <v>3.2533184150186916</v>
      </c>
      <c r="I5" s="16">
        <v>0.95</v>
      </c>
      <c r="J5" s="12">
        <f t="shared" si="1"/>
        <v>3.0906524942677569</v>
      </c>
      <c r="K5" s="17">
        <f t="shared" si="2"/>
        <v>2.1873087346263743E-2</v>
      </c>
      <c r="L5" s="18">
        <f t="shared" si="3"/>
        <v>2.1873087346263743E-2</v>
      </c>
      <c r="M5" s="19">
        <f t="shared" si="4"/>
        <v>109.70096305600222</v>
      </c>
      <c r="N5" s="12">
        <v>59.555976640888261</v>
      </c>
      <c r="O5" s="20">
        <v>1.259867456158442</v>
      </c>
      <c r="P5" s="22">
        <f t="shared" si="5"/>
        <v>138.20867326349673</v>
      </c>
    </row>
    <row r="6" spans="1:16">
      <c r="A6" s="6">
        <v>1940</v>
      </c>
      <c r="B6" s="12">
        <v>5.3914570508642354</v>
      </c>
      <c r="C6" s="13"/>
      <c r="D6" s="13"/>
      <c r="E6" s="13"/>
      <c r="F6" s="14">
        <v>0.6</v>
      </c>
      <c r="G6" s="12">
        <v>0</v>
      </c>
      <c r="H6" s="12">
        <f t="shared" si="0"/>
        <v>3.2348742305185412</v>
      </c>
      <c r="I6" s="16">
        <v>0.95</v>
      </c>
      <c r="J6" s="12">
        <f t="shared" si="1"/>
        <v>3.0731305189926141</v>
      </c>
      <c r="K6" s="17">
        <f t="shared" si="2"/>
        <v>1.6456326348392603E-2</v>
      </c>
      <c r="L6" s="18">
        <f t="shared" si="3"/>
        <v>1.6456326348392603E-2</v>
      </c>
      <c r="M6" s="19">
        <f t="shared" si="4"/>
        <v>168.09423637428685</v>
      </c>
      <c r="N6" s="12">
        <v>91.257324786331779</v>
      </c>
      <c r="O6" s="20">
        <v>1.0926698025694435</v>
      </c>
      <c r="P6" s="22">
        <f t="shared" si="5"/>
        <v>183.67149607215339</v>
      </c>
    </row>
    <row r="7" spans="1:16">
      <c r="A7" s="6">
        <v>1950</v>
      </c>
      <c r="B7" s="12">
        <v>10.153800684717867</v>
      </c>
      <c r="C7" s="13"/>
      <c r="D7" s="13"/>
      <c r="E7" s="13"/>
      <c r="F7" s="14">
        <f t="shared" ref="F7:F10" si="6">F$14</f>
        <v>0.39527154127910602</v>
      </c>
      <c r="G7" s="12">
        <v>6.71394949304783E-2</v>
      </c>
      <c r="H7" s="12">
        <f t="shared" si="0"/>
        <v>4.080647941419751</v>
      </c>
      <c r="I7" s="16">
        <v>0.95</v>
      </c>
      <c r="J7" s="12">
        <f t="shared" si="1"/>
        <v>3.8766155443487631</v>
      </c>
      <c r="K7" s="17">
        <f t="shared" si="2"/>
        <v>1.9907962528576569E-2</v>
      </c>
      <c r="L7" s="18">
        <f t="shared" si="3"/>
        <v>1.9907962528576569E-2</v>
      </c>
      <c r="M7" s="19">
        <f t="shared" si="4"/>
        <v>248.79231567330996</v>
      </c>
      <c r="N7" s="12">
        <v>135.06781461078012</v>
      </c>
      <c r="O7" s="20">
        <v>0.76710677203035749</v>
      </c>
      <c r="P7" s="22">
        <f t="shared" si="5"/>
        <v>190.85027018211051</v>
      </c>
    </row>
    <row r="8" spans="1:16">
      <c r="A8" s="6">
        <v>1960</v>
      </c>
      <c r="B8" s="12">
        <v>35.747344173170021</v>
      </c>
      <c r="C8" s="13"/>
      <c r="D8" s="13"/>
      <c r="E8" s="13"/>
      <c r="F8" s="14">
        <f t="shared" si="6"/>
        <v>0.39527154127910602</v>
      </c>
      <c r="G8" s="19">
        <v>2.0409204258133182</v>
      </c>
      <c r="H8" s="12">
        <f t="shared" si="0"/>
        <v>16.1708282537769</v>
      </c>
      <c r="I8" s="16">
        <v>0.9</v>
      </c>
      <c r="J8" s="19">
        <f t="shared" si="1"/>
        <v>14.55374542839921</v>
      </c>
      <c r="K8" s="17">
        <f t="shared" si="2"/>
        <v>3.1770214254707885E-2</v>
      </c>
      <c r="L8" s="18">
        <f t="shared" si="3"/>
        <v>3.1770214254707885E-2</v>
      </c>
      <c r="M8" s="19">
        <f t="shared" si="4"/>
        <v>512.33675923702413</v>
      </c>
      <c r="N8" s="12">
        <v>278.1444685204076</v>
      </c>
      <c r="O8" s="20">
        <v>0.86572020236855751</v>
      </c>
      <c r="P8" s="22">
        <f t="shared" si="5"/>
        <v>443.54028288752744</v>
      </c>
    </row>
    <row r="9" spans="1:16">
      <c r="A9" s="6">
        <v>1970</v>
      </c>
      <c r="B9" s="19">
        <v>172.92128204894613</v>
      </c>
      <c r="C9" s="13"/>
      <c r="D9" s="13"/>
      <c r="E9" s="13"/>
      <c r="F9" s="14">
        <f t="shared" si="6"/>
        <v>0.39527154127910602</v>
      </c>
      <c r="G9" s="19">
        <v>25.359544374037757</v>
      </c>
      <c r="H9" s="19">
        <f t="shared" si="0"/>
        <v>93.710406049483694</v>
      </c>
      <c r="I9" s="16">
        <v>0.75</v>
      </c>
      <c r="J9" s="19">
        <f t="shared" si="1"/>
        <v>70.282804537112767</v>
      </c>
      <c r="K9" s="17">
        <f t="shared" si="2"/>
        <v>4.5471192531421685E-2</v>
      </c>
      <c r="L9" s="18">
        <f t="shared" si="3"/>
        <v>4.5471192531421685E-2</v>
      </c>
      <c r="M9" s="19">
        <f t="shared" si="4"/>
        <v>1608.7279501164817</v>
      </c>
      <c r="N9" s="19">
        <v>873.36848783880487</v>
      </c>
      <c r="O9" s="20">
        <v>0.91710523268775113</v>
      </c>
      <c r="P9" s="23">
        <f t="shared" si="5"/>
        <v>1475.3728210228649</v>
      </c>
    </row>
    <row r="10" spans="1:16">
      <c r="A10" s="6">
        <v>1980</v>
      </c>
      <c r="B10" s="19">
        <v>575.09997268536404</v>
      </c>
      <c r="C10" s="13"/>
      <c r="D10" s="13"/>
      <c r="E10" s="13"/>
      <c r="F10" s="14">
        <f t="shared" si="6"/>
        <v>0.39527154127910602</v>
      </c>
      <c r="G10" s="19">
        <v>134.26863273101907</v>
      </c>
      <c r="H10" s="19">
        <f t="shared" si="0"/>
        <v>361.58928532393469</v>
      </c>
      <c r="I10" s="16">
        <v>0.6</v>
      </c>
      <c r="J10" s="19">
        <f t="shared" si="1"/>
        <v>216.95357119436082</v>
      </c>
      <c r="K10" s="17">
        <f t="shared" si="2"/>
        <v>5.5363673821882231E-2</v>
      </c>
      <c r="L10" s="24">
        <f>L9+(L$14-L$9)/5</f>
        <v>6.0376954025137347E-2</v>
      </c>
      <c r="M10" s="19">
        <v>3500.2016121822771</v>
      </c>
      <c r="N10" s="19">
        <v>1900.237879836202</v>
      </c>
      <c r="O10" s="20">
        <v>1.0575806201946178</v>
      </c>
      <c r="P10" s="23">
        <f t="shared" si="5"/>
        <v>3701.745391817934</v>
      </c>
    </row>
    <row r="11" spans="1:16">
      <c r="A11" s="6">
        <v>1990</v>
      </c>
      <c r="B11" s="19">
        <v>1488.6753062617606</v>
      </c>
      <c r="C11" s="13"/>
      <c r="D11" s="13"/>
      <c r="E11" s="13"/>
      <c r="F11" s="14">
        <v>0.44</v>
      </c>
      <c r="G11" s="19">
        <v>288.50349295511677</v>
      </c>
      <c r="H11" s="19">
        <f t="shared" si="0"/>
        <v>943.52062771029136</v>
      </c>
      <c r="I11" s="16">
        <v>0.6</v>
      </c>
      <c r="J11" s="19">
        <f t="shared" si="1"/>
        <v>566.11237662617475</v>
      </c>
      <c r="K11" s="17">
        <f t="shared" si="2"/>
        <v>5.4864763141778003E-2</v>
      </c>
      <c r="L11" s="24">
        <f>L10+(L$14-L$9)/5</f>
        <v>7.5282715518853016E-2</v>
      </c>
      <c r="M11" s="19">
        <v>7242.2765574748137</v>
      </c>
      <c r="N11" s="19">
        <v>4074.2314414472407</v>
      </c>
      <c r="O11" s="20">
        <v>1.346567074371571</v>
      </c>
      <c r="P11" s="23">
        <f t="shared" si="5"/>
        <v>9752.2111557886728</v>
      </c>
    </row>
    <row r="12" spans="1:16">
      <c r="A12" s="6">
        <v>2000</v>
      </c>
      <c r="B12" s="19">
        <v>3258.9020079898182</v>
      </c>
      <c r="C12" s="25">
        <v>1305.7729871631432</v>
      </c>
      <c r="D12" s="25">
        <v>124.31399499999999</v>
      </c>
      <c r="E12" s="26">
        <v>0</v>
      </c>
      <c r="F12" s="27">
        <f>(C12+D12+E12)/B12</f>
        <v>0.43882478781412049</v>
      </c>
      <c r="G12" s="19">
        <v>407.11989402065825</v>
      </c>
      <c r="H12" s="19">
        <f t="shared" si="0"/>
        <v>1837.2068761838013</v>
      </c>
      <c r="I12" s="16">
        <v>0.6</v>
      </c>
      <c r="J12" s="19">
        <f t="shared" si="1"/>
        <v>1102.3241257102807</v>
      </c>
      <c r="K12" s="17">
        <f t="shared" si="2"/>
        <v>5.8807266189131353E-2</v>
      </c>
      <c r="L12" s="24">
        <f>L11+(L$14-L$9)/5</f>
        <v>9.0188477012568685E-2</v>
      </c>
      <c r="M12" s="19">
        <v>11305.141368123035</v>
      </c>
      <c r="N12" s="19">
        <v>6006.356080706928</v>
      </c>
      <c r="O12" s="20">
        <v>1.5605615066393419</v>
      </c>
      <c r="P12" s="23">
        <f t="shared" si="5"/>
        <v>17642.368446208835</v>
      </c>
    </row>
    <row r="13" spans="1:16">
      <c r="A13" s="6">
        <v>2010</v>
      </c>
      <c r="B13" s="19">
        <v>4768.6796876676235</v>
      </c>
      <c r="C13" s="25">
        <v>1765.1029352767603</v>
      </c>
      <c r="D13" s="28">
        <v>77</v>
      </c>
      <c r="E13" s="28">
        <v>100</v>
      </c>
      <c r="F13" s="27">
        <f>(C13+D13+E13)/B13</f>
        <v>0.40726219047575601</v>
      </c>
      <c r="G13" s="19">
        <v>269.08861761459229</v>
      </c>
      <c r="H13" s="19">
        <f>G13+F13*B13</f>
        <v>2211.1915528913528</v>
      </c>
      <c r="I13" s="16">
        <v>0.6</v>
      </c>
      <c r="J13" s="19">
        <f>I13*H13</f>
        <v>1326.7149317348117</v>
      </c>
      <c r="K13" s="17">
        <f t="shared" si="2"/>
        <v>5.6981403051921412E-2</v>
      </c>
      <c r="L13" s="24">
        <f>L12+(L$14-L$9)/5</f>
        <v>0.10509423850628435</v>
      </c>
      <c r="M13" s="19">
        <v>14364.581409752698</v>
      </c>
      <c r="N13" s="19">
        <v>7123.7847835333741</v>
      </c>
      <c r="O13" s="20">
        <v>1.5285222353163317</v>
      </c>
      <c r="P13" s="23">
        <f t="shared" si="5"/>
        <v>21956.582085818616</v>
      </c>
    </row>
    <row r="14" spans="1:16" ht="16" thickBot="1">
      <c r="A14" s="7">
        <v>2013</v>
      </c>
      <c r="B14" s="29">
        <v>5245.6449128709892</v>
      </c>
      <c r="C14" s="30">
        <v>1896.454149713418</v>
      </c>
      <c r="D14" s="31">
        <v>77</v>
      </c>
      <c r="E14" s="31">
        <v>100</v>
      </c>
      <c r="F14" s="32">
        <f>(C14+D14+E14)/B14</f>
        <v>0.39527154127910602</v>
      </c>
      <c r="G14" s="29">
        <v>213.06184486373166</v>
      </c>
      <c r="H14" s="33">
        <f>G14+E14+D14+C14</f>
        <v>2286.5159945771497</v>
      </c>
      <c r="I14" s="34">
        <v>0.6</v>
      </c>
      <c r="J14" s="29">
        <f>I14*H14</f>
        <v>1371.9095967462897</v>
      </c>
      <c r="K14" s="35">
        <f t="shared" si="2"/>
        <v>6.0299855645400885E-2</v>
      </c>
      <c r="L14" s="36">
        <v>0.12</v>
      </c>
      <c r="M14" s="29">
        <v>14311.368240000002</v>
      </c>
      <c r="N14" s="37"/>
      <c r="O14" s="38">
        <v>1.4938856607885034</v>
      </c>
      <c r="P14" s="39">
        <f t="shared" si="5"/>
        <v>21379.547800000004</v>
      </c>
    </row>
    <row r="15" spans="1:16">
      <c r="A15" s="44" t="s">
        <v>60</v>
      </c>
      <c r="B15" s="45">
        <f>B14/1.3</f>
        <v>4035.1114714392224</v>
      </c>
      <c r="C15" s="45">
        <f t="shared" ref="C15:P15" si="7">C14/1.3</f>
        <v>1458.8108843949369</v>
      </c>
      <c r="D15" s="45">
        <f t="shared" si="7"/>
        <v>59.230769230769226</v>
      </c>
      <c r="E15" s="45">
        <f t="shared" si="7"/>
        <v>76.92307692307692</v>
      </c>
      <c r="F15" s="45"/>
      <c r="G15" s="45">
        <f t="shared" si="7"/>
        <v>163.89372681825512</v>
      </c>
      <c r="H15" s="45">
        <f t="shared" si="7"/>
        <v>1758.8584573670382</v>
      </c>
      <c r="I15" s="45"/>
      <c r="J15" s="45">
        <f t="shared" si="7"/>
        <v>1055.3150744202228</v>
      </c>
      <c r="K15" s="45"/>
      <c r="L15" s="118">
        <f>'Données-T3'!F5/P15</f>
        <v>0.12161155251375333</v>
      </c>
      <c r="M15" s="45">
        <f t="shared" si="7"/>
        <v>11008.7448</v>
      </c>
      <c r="N15" s="45"/>
      <c r="O15" s="45"/>
      <c r="P15" s="45">
        <f t="shared" si="7"/>
        <v>16445.806000000004</v>
      </c>
    </row>
    <row r="16" spans="1:16" ht="16" thickBot="1"/>
    <row r="17" spans="2:16" ht="15" customHeight="1">
      <c r="B17" s="192" t="s">
        <v>191</v>
      </c>
      <c r="C17" s="193"/>
      <c r="D17" s="193"/>
      <c r="E17" s="193"/>
      <c r="F17" s="193"/>
      <c r="G17" s="193"/>
      <c r="H17" s="193"/>
      <c r="I17" s="193"/>
      <c r="J17" s="193"/>
      <c r="K17" s="193"/>
      <c r="L17" s="193"/>
      <c r="M17" s="193"/>
      <c r="N17" s="193"/>
      <c r="O17" s="193"/>
      <c r="P17" s="194"/>
    </row>
    <row r="18" spans="2:16">
      <c r="B18" s="195"/>
      <c r="C18" s="196"/>
      <c r="D18" s="196"/>
      <c r="E18" s="196"/>
      <c r="F18" s="196"/>
      <c r="G18" s="196"/>
      <c r="H18" s="196"/>
      <c r="I18" s="196"/>
      <c r="J18" s="196"/>
      <c r="K18" s="196"/>
      <c r="L18" s="196"/>
      <c r="M18" s="196"/>
      <c r="N18" s="196"/>
      <c r="O18" s="196"/>
      <c r="P18" s="197"/>
    </row>
    <row r="19" spans="2:16">
      <c r="B19" s="195"/>
      <c r="C19" s="196"/>
      <c r="D19" s="196"/>
      <c r="E19" s="196"/>
      <c r="F19" s="196"/>
      <c r="G19" s="196"/>
      <c r="H19" s="196"/>
      <c r="I19" s="196"/>
      <c r="J19" s="196"/>
      <c r="K19" s="196"/>
      <c r="L19" s="196"/>
      <c r="M19" s="196"/>
      <c r="N19" s="196"/>
      <c r="O19" s="196"/>
      <c r="P19" s="197"/>
    </row>
    <row r="20" spans="2:16">
      <c r="B20" s="195"/>
      <c r="C20" s="196"/>
      <c r="D20" s="196"/>
      <c r="E20" s="196"/>
      <c r="F20" s="196"/>
      <c r="G20" s="196"/>
      <c r="H20" s="196"/>
      <c r="I20" s="196"/>
      <c r="J20" s="196"/>
      <c r="K20" s="196"/>
      <c r="L20" s="196"/>
      <c r="M20" s="196"/>
      <c r="N20" s="196"/>
      <c r="O20" s="196"/>
      <c r="P20" s="197"/>
    </row>
    <row r="21" spans="2:16">
      <c r="B21" s="195"/>
      <c r="C21" s="196"/>
      <c r="D21" s="196"/>
      <c r="E21" s="196"/>
      <c r="F21" s="196"/>
      <c r="G21" s="196"/>
      <c r="H21" s="196"/>
      <c r="I21" s="196"/>
      <c r="J21" s="196"/>
      <c r="K21" s="196"/>
      <c r="L21" s="196"/>
      <c r="M21" s="196"/>
      <c r="N21" s="196"/>
      <c r="O21" s="196"/>
      <c r="P21" s="197"/>
    </row>
    <row r="22" spans="2:16">
      <c r="B22" s="195"/>
      <c r="C22" s="196"/>
      <c r="D22" s="196"/>
      <c r="E22" s="196"/>
      <c r="F22" s="196"/>
      <c r="G22" s="196"/>
      <c r="H22" s="196"/>
      <c r="I22" s="196"/>
      <c r="J22" s="196"/>
      <c r="K22" s="196"/>
      <c r="L22" s="196"/>
      <c r="M22" s="196"/>
      <c r="N22" s="196"/>
      <c r="O22" s="196"/>
      <c r="P22" s="197"/>
    </row>
    <row r="23" spans="2:16" ht="16" thickBot="1">
      <c r="B23" s="198"/>
      <c r="C23" s="199"/>
      <c r="D23" s="199"/>
      <c r="E23" s="199"/>
      <c r="F23" s="199"/>
      <c r="G23" s="199"/>
      <c r="H23" s="199"/>
      <c r="I23" s="199"/>
      <c r="J23" s="199"/>
      <c r="K23" s="199"/>
      <c r="L23" s="199"/>
      <c r="M23" s="199"/>
      <c r="N23" s="199"/>
      <c r="O23" s="199"/>
      <c r="P23" s="200"/>
    </row>
    <row r="25" spans="2:16">
      <c r="B25" s="40"/>
      <c r="L25" s="46"/>
    </row>
    <row r="26" spans="2:16">
      <c r="K26" s="40"/>
    </row>
    <row r="27" spans="2:16">
      <c r="K27" s="40"/>
    </row>
    <row r="28" spans="2:16">
      <c r="K28" s="40"/>
    </row>
  </sheetData>
  <mergeCells count="1">
    <mergeCell ref="B17:P23"/>
  </mergeCells>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3"/>
  <sheetViews>
    <sheetView workbookViewId="0">
      <selection activeCell="H8" sqref="H8"/>
    </sheetView>
  </sheetViews>
  <sheetFormatPr baseColWidth="10" defaultRowHeight="15" x14ac:dyDescent="0"/>
  <cols>
    <col min="1" max="1" width="20.6640625" style="138" customWidth="1"/>
    <col min="2" max="2" width="30.83203125" style="138" customWidth="1"/>
    <col min="3" max="4" width="21.6640625" style="139" customWidth="1"/>
    <col min="5" max="5" width="33" style="139" customWidth="1"/>
    <col min="6" max="6" width="17.1640625" style="139" customWidth="1"/>
    <col min="7" max="8" width="22.6640625" style="138" customWidth="1"/>
    <col min="9" max="12" width="10.83203125" style="138"/>
    <col min="13" max="13" width="0" style="138" hidden="1" customWidth="1"/>
    <col min="14" max="16384" width="10.83203125" style="138"/>
  </cols>
  <sheetData>
    <row r="1" spans="2:13" ht="12" customHeight="1"/>
    <row r="2" spans="2:13" ht="13" customHeight="1" thickBot="1">
      <c r="B2" s="140"/>
      <c r="C2" s="141"/>
      <c r="D2" s="141"/>
      <c r="E2" s="141"/>
      <c r="F2" s="141"/>
    </row>
    <row r="3" spans="2:13" ht="13" customHeight="1" thickTop="1">
      <c r="B3" s="201" t="s">
        <v>149</v>
      </c>
      <c r="C3" s="201"/>
      <c r="D3" s="201"/>
      <c r="E3" s="201"/>
      <c r="F3" s="201"/>
    </row>
    <row r="4" spans="2:13" ht="13" customHeight="1">
      <c r="B4" s="202"/>
      <c r="C4" s="202"/>
      <c r="D4" s="202"/>
      <c r="E4" s="202"/>
      <c r="F4" s="202"/>
    </row>
    <row r="5" spans="2:13" ht="14" customHeight="1">
      <c r="B5" s="202"/>
      <c r="C5" s="202"/>
      <c r="D5" s="202"/>
      <c r="E5" s="202"/>
      <c r="F5" s="202"/>
    </row>
    <row r="6" spans="2:13" ht="13" customHeight="1">
      <c r="B6" s="203"/>
      <c r="C6" s="203"/>
      <c r="D6" s="203"/>
      <c r="E6" s="203"/>
      <c r="F6" s="203"/>
    </row>
    <row r="7" spans="2:13" ht="81" customHeight="1">
      <c r="B7" s="137"/>
      <c r="C7" s="128" t="s">
        <v>168</v>
      </c>
      <c r="D7" s="128" t="s">
        <v>157</v>
      </c>
      <c r="E7" s="128" t="s">
        <v>150</v>
      </c>
      <c r="F7" s="128" t="s">
        <v>155</v>
      </c>
      <c r="I7" s="142" t="s">
        <v>158</v>
      </c>
      <c r="J7" s="142" t="s">
        <v>163</v>
      </c>
      <c r="K7" s="142" t="s">
        <v>164</v>
      </c>
      <c r="L7" s="142" t="s">
        <v>162</v>
      </c>
      <c r="M7" s="142" t="s">
        <v>161</v>
      </c>
    </row>
    <row r="8" spans="2:13" ht="56" customHeight="1">
      <c r="B8" s="131" t="s">
        <v>151</v>
      </c>
      <c r="C8" s="121">
        <v>1800</v>
      </c>
      <c r="D8" s="120">
        <f>0.8*C8*0.01/I8</f>
        <v>2.8799999999999999E-2</v>
      </c>
      <c r="E8" s="122" t="s">
        <v>156</v>
      </c>
      <c r="F8" s="123">
        <v>0.3</v>
      </c>
      <c r="I8" s="191">
        <v>500</v>
      </c>
      <c r="J8" s="143">
        <v>0.35</v>
      </c>
      <c r="K8" s="143">
        <v>0.5</v>
      </c>
      <c r="L8" s="143">
        <f>J8*F8*K8</f>
        <v>5.2499999999999998E-2</v>
      </c>
    </row>
    <row r="9" spans="2:13" ht="56" customHeight="1">
      <c r="B9" s="131" t="s">
        <v>152</v>
      </c>
      <c r="C9" s="121">
        <v>750</v>
      </c>
      <c r="D9" s="120">
        <f>0.8*C9*0.01/I9</f>
        <v>3.4666141282036572E-2</v>
      </c>
      <c r="E9" s="124" t="s">
        <v>169</v>
      </c>
      <c r="F9" s="123">
        <v>0.5</v>
      </c>
      <c r="I9" s="191">
        <v>173.07954615384614</v>
      </c>
      <c r="J9" s="143">
        <v>0.13</v>
      </c>
      <c r="K9" s="190">
        <v>0.5</v>
      </c>
      <c r="L9" s="143">
        <f>J9*F9*K9</f>
        <v>3.2500000000000001E-2</v>
      </c>
      <c r="M9" s="138" t="s">
        <v>160</v>
      </c>
    </row>
    <row r="10" spans="2:13" ht="56" customHeight="1">
      <c r="B10" s="131" t="s">
        <v>153</v>
      </c>
      <c r="C10" s="121">
        <v>750</v>
      </c>
      <c r="D10" s="120">
        <f>0.8*C10*0.01/I10</f>
        <v>3.5024824293254056E-2</v>
      </c>
      <c r="E10" s="124" t="s">
        <v>169</v>
      </c>
      <c r="F10" s="123">
        <v>0.55000000000000004</v>
      </c>
      <c r="I10" s="191">
        <v>171.30706923076923</v>
      </c>
      <c r="M10" s="138" t="s">
        <v>165</v>
      </c>
    </row>
    <row r="11" spans="2:13" ht="56" customHeight="1">
      <c r="B11" s="131" t="s">
        <v>154</v>
      </c>
      <c r="C11" s="121">
        <v>500</v>
      </c>
      <c r="D11" s="120">
        <f>0.8*C11*0.01/I11</f>
        <v>9.4631483166515026E-2</v>
      </c>
      <c r="E11" s="124" t="s">
        <v>166</v>
      </c>
      <c r="F11" s="123">
        <v>0.4</v>
      </c>
      <c r="I11" s="191">
        <v>42.269230769230766</v>
      </c>
      <c r="J11" s="143">
        <v>0.56000000000000005</v>
      </c>
      <c r="K11" s="143">
        <v>0.5</v>
      </c>
      <c r="L11" s="143">
        <f>J11*F11*K11</f>
        <v>0.11200000000000002</v>
      </c>
    </row>
    <row r="12" spans="2:13" ht="56" customHeight="1" thickBot="1">
      <c r="B12" s="132" t="s">
        <v>159</v>
      </c>
      <c r="C12" s="133">
        <v>500</v>
      </c>
      <c r="D12" s="134">
        <f>0.8*C12*0.01/I12</f>
        <v>0.4</v>
      </c>
      <c r="E12" s="135" t="s">
        <v>167</v>
      </c>
      <c r="F12" s="136">
        <v>1</v>
      </c>
      <c r="I12" s="144">
        <v>10</v>
      </c>
      <c r="L12" s="143"/>
    </row>
    <row r="13" spans="2:13" ht="30" customHeight="1" thickTop="1">
      <c r="B13" s="125"/>
      <c r="C13" s="145"/>
      <c r="D13" s="145"/>
      <c r="E13" s="145"/>
      <c r="F13" s="145"/>
    </row>
  </sheetData>
  <mergeCells count="1">
    <mergeCell ref="B3:F6"/>
  </mergeCells>
  <hyperlinks>
    <hyperlink ref="I12" r:id="rId1" display="http://www.imf.org/external/pubs/ft/wp/2010/wp1038.pdf"/>
  </hyperlinks>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RowHeight="15" x14ac:dyDescent="0"/>
  <cols>
    <col min="1" max="16384" width="10.83203125" style="138"/>
  </cols>
  <sheetData>
    <row r="1" spans="1:3">
      <c r="B1" s="138" t="s">
        <v>184</v>
      </c>
      <c r="C1" s="138" t="s">
        <v>185</v>
      </c>
    </row>
    <row r="2" spans="1:3">
      <c r="A2" s="138">
        <v>1970</v>
      </c>
      <c r="B2" s="189">
        <v>1.8088810694264948E-2</v>
      </c>
      <c r="C2" s="189">
        <v>0.4501281765954856</v>
      </c>
    </row>
    <row r="3" spans="1:3" ht="15" customHeight="1">
      <c r="A3" s="138">
        <v>1971</v>
      </c>
      <c r="B3" s="189">
        <v>4.142795814542459E-2</v>
      </c>
      <c r="C3" s="189">
        <v>0.3905309971975392</v>
      </c>
    </row>
    <row r="4" spans="1:3">
      <c r="A4" s="138">
        <v>1972</v>
      </c>
      <c r="B4" s="189">
        <v>7.3390782418514322E-2</v>
      </c>
      <c r="C4" s="189">
        <v>0.36250888539773279</v>
      </c>
    </row>
    <row r="5" spans="1:3">
      <c r="A5" s="138">
        <v>1973</v>
      </c>
      <c r="B5" s="189">
        <v>6.3235995744883186E-2</v>
      </c>
      <c r="C5" s="189">
        <v>0.39211404201147315</v>
      </c>
    </row>
    <row r="6" spans="1:3">
      <c r="A6" s="138">
        <v>1974</v>
      </c>
      <c r="B6" s="189">
        <v>6.0347297604539746E-2</v>
      </c>
      <c r="C6" s="189">
        <v>0.41294521991809602</v>
      </c>
    </row>
    <row r="7" spans="1:3">
      <c r="A7" s="138">
        <v>1975</v>
      </c>
      <c r="B7" s="189">
        <v>0.15858148517669662</v>
      </c>
      <c r="C7" s="189">
        <v>0.2783343389317573</v>
      </c>
    </row>
    <row r="8" spans="1:3">
      <c r="A8" s="138">
        <v>1976</v>
      </c>
      <c r="B8" s="189">
        <v>0.17454679743415494</v>
      </c>
      <c r="C8" s="189">
        <v>0.29064718741234047</v>
      </c>
    </row>
    <row r="9" spans="1:3">
      <c r="A9" s="138">
        <v>1977</v>
      </c>
      <c r="B9" s="189">
        <v>0.19524552331394593</v>
      </c>
      <c r="C9" s="189">
        <v>0.25920674627773438</v>
      </c>
    </row>
    <row r="10" spans="1:3">
      <c r="A10" s="138">
        <v>1978</v>
      </c>
      <c r="B10" s="189">
        <v>0.18482959501195032</v>
      </c>
      <c r="C10" s="189">
        <v>0.26856303851948898</v>
      </c>
    </row>
    <row r="11" spans="1:3">
      <c r="A11" s="138">
        <v>1979</v>
      </c>
      <c r="B11" s="189">
        <v>0.14042651177288545</v>
      </c>
      <c r="C11" s="189">
        <v>0.28289279754717983</v>
      </c>
    </row>
    <row r="12" spans="1:3">
      <c r="A12" s="138">
        <v>1980</v>
      </c>
      <c r="B12" s="189">
        <v>0.11177974899383951</v>
      </c>
      <c r="C12" s="189">
        <v>0.27925049524945472</v>
      </c>
    </row>
    <row r="13" spans="1:3">
      <c r="A13" s="138">
        <v>1981</v>
      </c>
      <c r="B13" s="189">
        <v>0.13803882544276927</v>
      </c>
      <c r="C13" s="189">
        <v>0.26420699276414378</v>
      </c>
    </row>
    <row r="14" spans="1:3">
      <c r="A14" s="138">
        <v>1982</v>
      </c>
      <c r="B14" s="189">
        <v>0.24799876209308336</v>
      </c>
      <c r="C14" s="189">
        <v>0.2398964287271485</v>
      </c>
    </row>
    <row r="15" spans="1:3">
      <c r="A15" s="138">
        <v>1983</v>
      </c>
      <c r="B15" s="189">
        <v>0.29805198988466047</v>
      </c>
      <c r="C15" s="189">
        <v>0.21848151167627147</v>
      </c>
    </row>
    <row r="16" spans="1:3">
      <c r="A16" s="138">
        <v>1984</v>
      </c>
      <c r="B16" s="189">
        <v>0.26489531623047047</v>
      </c>
      <c r="C16" s="189">
        <v>0.237873228866501</v>
      </c>
    </row>
    <row r="17" spans="1:3">
      <c r="A17" s="138">
        <v>1985</v>
      </c>
      <c r="B17" s="189">
        <v>0.26145909168646453</v>
      </c>
      <c r="C17" s="189">
        <v>0.24214290578095105</v>
      </c>
    </row>
    <row r="18" spans="1:3">
      <c r="A18" s="138">
        <v>1986</v>
      </c>
      <c r="B18" s="189">
        <v>0.25223737741729912</v>
      </c>
      <c r="C18" s="189">
        <v>0.24536283524159438</v>
      </c>
    </row>
    <row r="19" spans="1:3">
      <c r="A19" s="138">
        <v>1987</v>
      </c>
      <c r="B19" s="189">
        <v>0.24499974695108018</v>
      </c>
      <c r="C19" s="189">
        <v>0.22181087212122438</v>
      </c>
    </row>
    <row r="20" spans="1:3">
      <c r="A20" s="138">
        <v>1988</v>
      </c>
      <c r="B20" s="189">
        <v>0.2358332037928704</v>
      </c>
      <c r="C20" s="189">
        <v>0.22655664910315215</v>
      </c>
    </row>
    <row r="21" spans="1:3">
      <c r="A21" s="138">
        <v>1989</v>
      </c>
      <c r="B21" s="189">
        <v>0.20877019468400854</v>
      </c>
      <c r="C21" s="189">
        <v>0.24344312892237768</v>
      </c>
    </row>
    <row r="22" spans="1:3">
      <c r="A22" s="138">
        <v>1990</v>
      </c>
      <c r="B22" s="189">
        <v>0.21470665341310718</v>
      </c>
      <c r="C22" s="189">
        <v>0.22227828901152349</v>
      </c>
    </row>
    <row r="23" spans="1:3">
      <c r="A23" s="138">
        <v>1991</v>
      </c>
      <c r="B23" s="189">
        <v>0.24069849481941821</v>
      </c>
      <c r="C23" s="189">
        <v>0.19186689125642009</v>
      </c>
    </row>
    <row r="24" spans="1:3">
      <c r="A24" s="138">
        <v>1992</v>
      </c>
      <c r="B24" s="189">
        <v>0.24666613651773098</v>
      </c>
      <c r="C24" s="189">
        <v>0.18102710864760582</v>
      </c>
    </row>
    <row r="25" spans="1:3">
      <c r="A25" s="138">
        <v>1993</v>
      </c>
      <c r="B25" s="189">
        <v>0.23963026405713489</v>
      </c>
      <c r="C25" s="189">
        <v>0.17392705549881154</v>
      </c>
    </row>
    <row r="26" spans="1:3">
      <c r="A26" s="138">
        <v>1994</v>
      </c>
      <c r="B26" s="189">
        <v>0.29767833123160053</v>
      </c>
      <c r="C26" s="189">
        <v>0.15700687180597195</v>
      </c>
    </row>
    <row r="27" spans="1:3">
      <c r="A27" s="138">
        <v>1995</v>
      </c>
      <c r="B27" s="189">
        <v>0.30950279391091551</v>
      </c>
      <c r="C27" s="189">
        <v>0.15273237829892722</v>
      </c>
    </row>
    <row r="28" spans="1:3">
      <c r="A28" s="138">
        <v>1996</v>
      </c>
      <c r="B28" s="189">
        <v>0.31973753173687292</v>
      </c>
      <c r="C28" s="189">
        <v>0.14069443766176687</v>
      </c>
    </row>
    <row r="29" spans="1:3">
      <c r="A29" s="138">
        <v>1997</v>
      </c>
      <c r="B29" s="189">
        <v>0.2921764722786146</v>
      </c>
      <c r="C29" s="189">
        <v>0.14703750618103489</v>
      </c>
    </row>
    <row r="30" spans="1:3">
      <c r="A30" s="138">
        <v>1998</v>
      </c>
      <c r="B30" s="189">
        <v>0.29787345974550261</v>
      </c>
      <c r="C30" s="189">
        <v>0.14623818235316691</v>
      </c>
    </row>
    <row r="31" spans="1:3">
      <c r="A31" s="138">
        <v>1999</v>
      </c>
      <c r="B31" s="189">
        <v>0.33338294665777085</v>
      </c>
      <c r="C31" s="189">
        <v>0.1287063733354275</v>
      </c>
    </row>
    <row r="32" spans="1:3">
      <c r="A32" s="138">
        <v>2000</v>
      </c>
      <c r="B32" s="189">
        <v>0.35342619548606485</v>
      </c>
      <c r="C32" s="189">
        <v>0.12613002843543933</v>
      </c>
    </row>
    <row r="33" spans="1:3">
      <c r="A33" s="138">
        <v>2001</v>
      </c>
      <c r="B33" s="189">
        <v>0.32718071378555852</v>
      </c>
      <c r="C33" s="189">
        <v>0.12429339515611898</v>
      </c>
    </row>
    <row r="34" spans="1:3">
      <c r="A34" s="138">
        <v>2002</v>
      </c>
      <c r="B34" s="189">
        <v>0.33196906383721297</v>
      </c>
      <c r="C34" s="189">
        <v>0.11716073567230831</v>
      </c>
    </row>
    <row r="35" spans="1:3">
      <c r="A35" s="138">
        <v>2003</v>
      </c>
      <c r="B35" s="189">
        <v>0.34382027034740031</v>
      </c>
      <c r="C35" s="189">
        <v>0.11546175232619194</v>
      </c>
    </row>
    <row r="36" spans="1:3">
      <c r="A36" s="138">
        <v>2004</v>
      </c>
      <c r="B36" s="189">
        <v>0.33950227099823183</v>
      </c>
      <c r="C36" s="189">
        <v>0.11392405063291139</v>
      </c>
    </row>
    <row r="37" spans="1:3">
      <c r="A37" s="138">
        <v>2005</v>
      </c>
      <c r="B37" s="189">
        <v>0.36719102258222469</v>
      </c>
      <c r="C37" s="189">
        <v>0.10552463127878758</v>
      </c>
    </row>
    <row r="38" spans="1:3">
      <c r="A38" s="138">
        <v>2006</v>
      </c>
      <c r="B38" s="189">
        <v>0.40077527399992957</v>
      </c>
      <c r="C38" s="189">
        <v>9.7869402765326768E-2</v>
      </c>
    </row>
    <row r="39" spans="1:3">
      <c r="A39" s="138">
        <v>2007</v>
      </c>
      <c r="B39" s="189">
        <v>0.39638010103410887</v>
      </c>
      <c r="C39" s="189">
        <v>0.10611972041375924</v>
      </c>
    </row>
    <row r="40" spans="1:3">
      <c r="A40" s="138">
        <v>2008</v>
      </c>
      <c r="B40" s="189">
        <v>0.39913957715204207</v>
      </c>
      <c r="C40" s="189">
        <v>8.8367100421236133E-2</v>
      </c>
    </row>
    <row r="41" spans="1:3">
      <c r="A41" s="138">
        <v>2009</v>
      </c>
      <c r="B41" s="189">
        <v>0.41350205560902464</v>
      </c>
      <c r="C41" s="189">
        <v>6.6464532923149744E-2</v>
      </c>
    </row>
    <row r="42" spans="1:3">
      <c r="A42" s="138">
        <v>2010</v>
      </c>
      <c r="B42" s="189">
        <v>0.41832831253370034</v>
      </c>
      <c r="C42" s="189">
        <v>7.2844983206240485E-2</v>
      </c>
    </row>
    <row r="43" spans="1:3">
      <c r="A43" s="138">
        <v>2011</v>
      </c>
      <c r="B43" s="189">
        <v>0.40805416844911302</v>
      </c>
      <c r="C43" s="189">
        <v>7.7748390509489215E-2</v>
      </c>
    </row>
    <row r="44" spans="1:3">
      <c r="A44" s="138">
        <v>2012</v>
      </c>
      <c r="B44" s="189">
        <v>0.40805416844911291</v>
      </c>
      <c r="C44" s="189">
        <v>7.7748390509489201E-2</v>
      </c>
    </row>
    <row r="45" spans="1:3">
      <c r="A45" s="138">
        <v>2013</v>
      </c>
      <c r="B45" s="189">
        <v>0.40805416844911302</v>
      </c>
      <c r="C45" s="189">
        <v>7.7748390509489215E-2</v>
      </c>
    </row>
    <row r="48" spans="1:3">
      <c r="B48" s="138" t="s">
        <v>186</v>
      </c>
    </row>
  </sheetData>
  <pageMargins left="0.75" right="0.75"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6"/>
  <sheetViews>
    <sheetView workbookViewId="0">
      <selection activeCell="B3" sqref="B3:F6"/>
    </sheetView>
  </sheetViews>
  <sheetFormatPr baseColWidth="10" defaultRowHeight="12" x14ac:dyDescent="0"/>
  <cols>
    <col min="1" max="1" width="20.6640625" style="43" customWidth="1"/>
    <col min="2" max="2" width="22.6640625" style="43" customWidth="1"/>
    <col min="3" max="3" width="5.6640625" style="43" customWidth="1"/>
    <col min="4" max="4" width="24.1640625" style="43" customWidth="1"/>
    <col min="5" max="5" width="5.6640625" style="43" customWidth="1"/>
    <col min="6" max="6" width="22.6640625" style="43" customWidth="1"/>
    <col min="7" max="9" width="20.6640625" style="43" customWidth="1"/>
    <col min="10" max="16384" width="10.83203125" style="43"/>
  </cols>
  <sheetData>
    <row r="2" spans="2:6" ht="13" thickBot="1">
      <c r="B2" s="127"/>
      <c r="C2" s="127"/>
      <c r="D2" s="127"/>
      <c r="E2" s="127"/>
      <c r="F2" s="127"/>
    </row>
    <row r="3" spans="2:6" ht="13" thickTop="1">
      <c r="B3" s="201" t="s">
        <v>170</v>
      </c>
      <c r="C3" s="201"/>
      <c r="D3" s="201"/>
      <c r="E3" s="201"/>
      <c r="F3" s="201"/>
    </row>
    <row r="4" spans="2:6">
      <c r="B4" s="202"/>
      <c r="C4" s="202"/>
      <c r="D4" s="202"/>
      <c r="E4" s="202"/>
      <c r="F4" s="202"/>
    </row>
    <row r="5" spans="2:6">
      <c r="B5" s="202"/>
      <c r="C5" s="202"/>
      <c r="D5" s="202"/>
      <c r="E5" s="202"/>
      <c r="F5" s="202"/>
    </row>
    <row r="6" spans="2:6">
      <c r="B6" s="203"/>
      <c r="C6" s="203"/>
      <c r="D6" s="203"/>
      <c r="E6" s="203"/>
      <c r="F6" s="203"/>
    </row>
    <row r="7" spans="2:6">
      <c r="B7" s="216" t="s">
        <v>182</v>
      </c>
      <c r="C7" s="216"/>
      <c r="D7" s="216"/>
      <c r="E7" s="216"/>
      <c r="F7" s="216"/>
    </row>
    <row r="8" spans="2:6">
      <c r="B8" s="217"/>
      <c r="C8" s="217"/>
      <c r="D8" s="217"/>
      <c r="E8" s="217"/>
      <c r="F8" s="217"/>
    </row>
    <row r="9" spans="2:6">
      <c r="B9" s="217"/>
      <c r="C9" s="217"/>
      <c r="D9" s="217"/>
      <c r="E9" s="217"/>
      <c r="F9" s="217"/>
    </row>
    <row r="10" spans="2:6">
      <c r="B10" s="217"/>
      <c r="C10" s="217"/>
      <c r="D10" s="217"/>
      <c r="E10" s="217"/>
      <c r="F10" s="217"/>
    </row>
    <row r="11" spans="2:6">
      <c r="B11" s="217"/>
      <c r="C11" s="217"/>
      <c r="D11" s="217"/>
      <c r="E11" s="217"/>
      <c r="F11" s="217"/>
    </row>
    <row r="12" spans="2:6">
      <c r="B12" s="217"/>
      <c r="C12" s="217"/>
      <c r="D12" s="217"/>
      <c r="E12" s="217"/>
      <c r="F12" s="217"/>
    </row>
    <row r="13" spans="2:6">
      <c r="B13" s="217"/>
      <c r="C13" s="217"/>
      <c r="D13" s="217"/>
      <c r="E13" s="217"/>
      <c r="F13" s="217"/>
    </row>
    <row r="14" spans="2:6">
      <c r="B14" s="218"/>
      <c r="C14" s="218"/>
      <c r="D14" s="218"/>
      <c r="E14" s="218"/>
      <c r="F14" s="218"/>
    </row>
    <row r="15" spans="2:6" ht="24" customHeight="1" thickBot="1">
      <c r="B15" s="108"/>
      <c r="C15" s="108"/>
      <c r="D15" s="108"/>
      <c r="E15" s="108"/>
      <c r="F15" s="108"/>
    </row>
    <row r="16" spans="2:6" ht="15" customHeight="1">
      <c r="B16" s="241" t="s">
        <v>181</v>
      </c>
      <c r="C16" s="108"/>
      <c r="D16" s="254" t="s">
        <v>148</v>
      </c>
      <c r="E16" s="108"/>
      <c r="F16" s="241" t="s">
        <v>176</v>
      </c>
    </row>
    <row r="17" spans="2:6" ht="15" customHeight="1">
      <c r="B17" s="221"/>
      <c r="C17" s="108"/>
      <c r="D17" s="255"/>
      <c r="E17" s="108"/>
      <c r="F17" s="221"/>
    </row>
    <row r="18" spans="2:6" ht="15" customHeight="1">
      <c r="B18" s="221"/>
      <c r="C18" s="108"/>
      <c r="D18" s="255"/>
      <c r="E18" s="108"/>
      <c r="F18" s="221"/>
    </row>
    <row r="19" spans="2:6" ht="15" customHeight="1" thickBot="1">
      <c r="B19" s="222"/>
      <c r="C19" s="108"/>
      <c r="D19" s="255"/>
      <c r="E19" s="108"/>
      <c r="F19" s="222"/>
    </row>
    <row r="20" spans="2:6" ht="15" customHeight="1" thickBot="1">
      <c r="B20" s="116"/>
      <c r="C20" s="108"/>
      <c r="D20" s="255"/>
      <c r="E20" s="108"/>
      <c r="F20" s="108"/>
    </row>
    <row r="21" spans="2:6" ht="15" customHeight="1">
      <c r="B21" s="241" t="s">
        <v>179</v>
      </c>
      <c r="C21" s="108"/>
      <c r="D21" s="255"/>
      <c r="E21" s="108"/>
      <c r="F21" s="241" t="s">
        <v>177</v>
      </c>
    </row>
    <row r="22" spans="2:6" ht="15" customHeight="1">
      <c r="B22" s="221"/>
      <c r="C22" s="108"/>
      <c r="D22" s="255"/>
      <c r="E22" s="108"/>
      <c r="F22" s="221"/>
    </row>
    <row r="23" spans="2:6" ht="15" customHeight="1">
      <c r="B23" s="221"/>
      <c r="C23" s="108"/>
      <c r="D23" s="255"/>
      <c r="E23" s="108"/>
      <c r="F23" s="221"/>
    </row>
    <row r="24" spans="2:6" ht="15" customHeight="1" thickBot="1">
      <c r="B24" s="222"/>
      <c r="C24" s="108"/>
      <c r="D24" s="255"/>
      <c r="E24" s="108"/>
      <c r="F24" s="222"/>
    </row>
    <row r="25" spans="2:6" ht="15" customHeight="1" thickBot="1">
      <c r="B25" s="116"/>
      <c r="C25" s="108"/>
      <c r="D25" s="255"/>
      <c r="E25" s="108"/>
      <c r="F25" s="108"/>
    </row>
    <row r="26" spans="2:6" ht="15" customHeight="1">
      <c r="B26" s="241" t="s">
        <v>180</v>
      </c>
      <c r="C26" s="108"/>
      <c r="D26" s="255"/>
      <c r="E26" s="108"/>
      <c r="F26" s="241" t="s">
        <v>178</v>
      </c>
    </row>
    <row r="27" spans="2:6" ht="15" customHeight="1">
      <c r="B27" s="221"/>
      <c r="C27" s="108"/>
      <c r="D27" s="255"/>
      <c r="E27" s="108"/>
      <c r="F27" s="221"/>
    </row>
    <row r="28" spans="2:6" ht="15" customHeight="1">
      <c r="B28" s="221"/>
      <c r="C28" s="108"/>
      <c r="D28" s="255"/>
      <c r="E28" s="108"/>
      <c r="F28" s="221"/>
    </row>
    <row r="29" spans="2:6" ht="15" customHeight="1" thickBot="1">
      <c r="B29" s="222"/>
      <c r="C29" s="108"/>
      <c r="D29" s="255"/>
      <c r="E29" s="108"/>
      <c r="F29" s="222"/>
    </row>
    <row r="30" spans="2:6" ht="15" customHeight="1" thickBot="1">
      <c r="B30" s="116"/>
      <c r="C30" s="108"/>
      <c r="D30" s="255"/>
      <c r="E30" s="108"/>
      <c r="F30" s="108"/>
    </row>
    <row r="31" spans="2:6" ht="15" customHeight="1">
      <c r="B31" s="241" t="s">
        <v>171</v>
      </c>
      <c r="C31" s="108"/>
      <c r="D31" s="255"/>
      <c r="E31" s="108"/>
      <c r="F31" s="241" t="s">
        <v>172</v>
      </c>
    </row>
    <row r="32" spans="2:6" ht="15" customHeight="1">
      <c r="B32" s="221"/>
      <c r="C32" s="108"/>
      <c r="D32" s="255"/>
      <c r="E32" s="108"/>
      <c r="F32" s="221"/>
    </row>
    <row r="33" spans="2:6" ht="15" customHeight="1">
      <c r="B33" s="221"/>
      <c r="C33" s="108"/>
      <c r="D33" s="255"/>
      <c r="E33" s="108"/>
      <c r="F33" s="221"/>
    </row>
    <row r="34" spans="2:6" ht="15" customHeight="1" thickBot="1">
      <c r="B34" s="222"/>
      <c r="C34" s="108"/>
      <c r="D34" s="256"/>
      <c r="E34" s="108"/>
      <c r="F34" s="222"/>
    </row>
    <row r="35" spans="2:6" ht="24" customHeight="1" thickBot="1">
      <c r="B35" s="126"/>
      <c r="C35" s="127"/>
      <c r="D35" s="127"/>
      <c r="E35" s="127"/>
      <c r="F35" s="127"/>
    </row>
    <row r="36" spans="2:6" ht="7" customHeight="1" thickTop="1">
      <c r="B36" s="108"/>
      <c r="C36" s="108"/>
      <c r="D36" s="108"/>
      <c r="E36" s="108"/>
      <c r="F36" s="108"/>
    </row>
  </sheetData>
  <mergeCells count="11">
    <mergeCell ref="B31:B34"/>
    <mergeCell ref="D16:D34"/>
    <mergeCell ref="F16:F19"/>
    <mergeCell ref="F21:F24"/>
    <mergeCell ref="F26:F29"/>
    <mergeCell ref="F31:F34"/>
    <mergeCell ref="B3:F6"/>
    <mergeCell ref="B7:F14"/>
    <mergeCell ref="B16:B19"/>
    <mergeCell ref="B21:B24"/>
    <mergeCell ref="B26:B29"/>
  </mergeCells>
  <printOptions horizontalCentered="1" verticalCentered="1"/>
  <pageMargins left="0.78740157480314965" right="0.78740157480314965" top="0.98425196850393704" bottom="0.98425196850393704" header="0.51181102362204722" footer="0.51181102362204722"/>
  <pageSetup paperSize="9"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H44"/>
  <sheetViews>
    <sheetView workbookViewId="0">
      <selection activeCell="C2" sqref="C2:G5"/>
    </sheetView>
  </sheetViews>
  <sheetFormatPr baseColWidth="10" defaultRowHeight="12" x14ac:dyDescent="0"/>
  <cols>
    <col min="1" max="1" width="18.83203125" style="43" customWidth="1"/>
    <col min="2" max="2" width="5.5" style="43" customWidth="1"/>
    <col min="3" max="3" width="28.6640625" style="43" customWidth="1"/>
    <col min="4" max="4" width="13.83203125" style="43" customWidth="1"/>
    <col min="5" max="5" width="22.6640625" style="43" customWidth="1"/>
    <col min="6" max="6" width="13.83203125" style="43" customWidth="1"/>
    <col min="7" max="7" width="28.6640625" style="43" customWidth="1"/>
    <col min="8" max="8" width="5.6640625" style="43" customWidth="1"/>
    <col min="9" max="10" width="20.6640625" style="43" customWidth="1"/>
    <col min="11" max="16384" width="10.83203125" style="43"/>
  </cols>
  <sheetData>
    <row r="1" spans="2:8" ht="13" thickBot="1">
      <c r="B1" s="104"/>
      <c r="C1" s="127"/>
      <c r="D1" s="127"/>
      <c r="E1" s="127"/>
      <c r="F1" s="127"/>
      <c r="G1" s="127"/>
      <c r="H1" s="104"/>
    </row>
    <row r="2" spans="2:8" ht="13" thickTop="1">
      <c r="B2" s="104"/>
      <c r="C2" s="201" t="s">
        <v>189</v>
      </c>
      <c r="D2" s="201"/>
      <c r="E2" s="201"/>
      <c r="F2" s="201"/>
      <c r="G2" s="201"/>
      <c r="H2" s="104"/>
    </row>
    <row r="3" spans="2:8">
      <c r="B3" s="104"/>
      <c r="C3" s="202"/>
      <c r="D3" s="202"/>
      <c r="E3" s="202"/>
      <c r="F3" s="202"/>
      <c r="G3" s="202"/>
      <c r="H3" s="104"/>
    </row>
    <row r="4" spans="2:8">
      <c r="B4" s="104"/>
      <c r="C4" s="202"/>
      <c r="D4" s="202"/>
      <c r="E4" s="202"/>
      <c r="F4" s="202"/>
      <c r="G4" s="202"/>
      <c r="H4" s="104"/>
    </row>
    <row r="5" spans="2:8">
      <c r="B5" s="104"/>
      <c r="C5" s="203"/>
      <c r="D5" s="203"/>
      <c r="E5" s="203"/>
      <c r="F5" s="203"/>
      <c r="G5" s="203"/>
      <c r="H5" s="104"/>
    </row>
    <row r="6" spans="2:8" ht="18" customHeight="1">
      <c r="B6" s="104"/>
      <c r="C6" s="204" t="s">
        <v>77</v>
      </c>
      <c r="D6" s="204"/>
      <c r="E6" s="204"/>
      <c r="F6" s="204"/>
      <c r="G6" s="204"/>
      <c r="H6" s="104"/>
    </row>
    <row r="7" spans="2:8" ht="18" customHeight="1">
      <c r="B7" s="104"/>
      <c r="C7" s="205"/>
      <c r="D7" s="205"/>
      <c r="E7" s="205"/>
      <c r="F7" s="205"/>
      <c r="G7" s="205"/>
      <c r="H7" s="104"/>
    </row>
    <row r="8" spans="2:8" ht="18" customHeight="1">
      <c r="B8" s="104"/>
      <c r="C8" s="205"/>
      <c r="D8" s="205"/>
      <c r="E8" s="205"/>
      <c r="F8" s="205"/>
      <c r="G8" s="205"/>
      <c r="H8" s="104"/>
    </row>
    <row r="9" spans="2:8" ht="18" customHeight="1">
      <c r="B9" s="104"/>
      <c r="C9" s="206"/>
      <c r="D9" s="206"/>
      <c r="E9" s="206"/>
      <c r="F9" s="206"/>
      <c r="G9" s="206"/>
      <c r="H9" s="104"/>
    </row>
    <row r="10" spans="2:8" ht="18">
      <c r="B10" s="104"/>
      <c r="C10" s="119"/>
      <c r="D10" s="119"/>
      <c r="E10" s="119"/>
      <c r="F10" s="119"/>
      <c r="G10" s="119"/>
      <c r="H10" s="104"/>
    </row>
    <row r="11" spans="2:8" ht="36">
      <c r="B11" s="104"/>
      <c r="C11" s="109" t="s">
        <v>64</v>
      </c>
      <c r="D11" s="119"/>
      <c r="E11" s="119"/>
      <c r="F11" s="119"/>
      <c r="G11" s="109" t="s">
        <v>65</v>
      </c>
      <c r="H11" s="104"/>
    </row>
    <row r="12" spans="2:8" ht="18" customHeight="1">
      <c r="B12" s="104"/>
      <c r="C12" s="104"/>
      <c r="D12" s="104"/>
      <c r="E12" s="104"/>
      <c r="F12" s="104"/>
      <c r="G12" s="104"/>
      <c r="H12" s="104"/>
    </row>
    <row r="13" spans="2:8" ht="16" customHeight="1">
      <c r="B13" s="104"/>
      <c r="C13" s="207" t="s">
        <v>187</v>
      </c>
      <c r="D13" s="104"/>
      <c r="E13" s="104"/>
      <c r="F13" s="104"/>
      <c r="G13" s="207" t="s">
        <v>74</v>
      </c>
      <c r="H13" s="104"/>
    </row>
    <row r="14" spans="2:8" ht="16" customHeight="1">
      <c r="B14" s="104"/>
      <c r="C14" s="208"/>
      <c r="D14" s="104"/>
      <c r="E14" s="104"/>
      <c r="F14" s="104"/>
      <c r="G14" s="208"/>
      <c r="H14" s="104"/>
    </row>
    <row r="15" spans="2:8" ht="16" customHeight="1">
      <c r="B15" s="104"/>
      <c r="C15" s="208"/>
      <c r="D15" s="104"/>
      <c r="E15" s="104"/>
      <c r="F15" s="104"/>
      <c r="G15" s="208"/>
      <c r="H15" s="104"/>
    </row>
    <row r="16" spans="2:8" ht="16" customHeight="1" thickBot="1">
      <c r="B16" s="104"/>
      <c r="C16" s="208"/>
      <c r="D16" s="104"/>
      <c r="E16" s="104"/>
      <c r="F16" s="104"/>
      <c r="G16" s="208"/>
      <c r="H16" s="104"/>
    </row>
    <row r="17" spans="2:8" ht="16" customHeight="1">
      <c r="B17" s="104"/>
      <c r="C17" s="208"/>
      <c r="D17" s="104"/>
      <c r="E17" s="210" t="s">
        <v>70</v>
      </c>
      <c r="F17" s="104"/>
      <c r="G17" s="208"/>
      <c r="H17" s="104"/>
    </row>
    <row r="18" spans="2:8" ht="16" customHeight="1">
      <c r="B18" s="104"/>
      <c r="C18" s="208"/>
      <c r="D18" s="104"/>
      <c r="E18" s="211"/>
      <c r="F18" s="104"/>
      <c r="G18" s="208"/>
      <c r="H18" s="104"/>
    </row>
    <row r="19" spans="2:8" ht="16" customHeight="1">
      <c r="B19" s="104"/>
      <c r="C19" s="208"/>
      <c r="D19" s="104"/>
      <c r="E19" s="211"/>
      <c r="F19" s="104"/>
      <c r="G19" s="208"/>
      <c r="H19" s="104"/>
    </row>
    <row r="20" spans="2:8" ht="16" customHeight="1">
      <c r="B20" s="104"/>
      <c r="C20" s="208"/>
      <c r="D20" s="104"/>
      <c r="E20" s="211"/>
      <c r="F20" s="104"/>
      <c r="G20" s="208"/>
      <c r="H20" s="104"/>
    </row>
    <row r="21" spans="2:8" ht="16" customHeight="1">
      <c r="B21" s="104"/>
      <c r="C21" s="208"/>
      <c r="D21" s="104"/>
      <c r="E21" s="211"/>
      <c r="F21" s="104"/>
      <c r="G21" s="208"/>
      <c r="H21" s="104"/>
    </row>
    <row r="22" spans="2:8" ht="16" customHeight="1">
      <c r="B22" s="104"/>
      <c r="C22" s="208"/>
      <c r="D22" s="104"/>
      <c r="E22" s="211"/>
      <c r="F22" s="104"/>
      <c r="G22" s="209"/>
      <c r="H22" s="104"/>
    </row>
    <row r="23" spans="2:8" ht="16" customHeight="1">
      <c r="B23" s="104"/>
      <c r="C23" s="208"/>
      <c r="D23" s="104"/>
      <c r="E23" s="211"/>
      <c r="F23" s="104"/>
      <c r="G23" s="110"/>
      <c r="H23" s="104"/>
    </row>
    <row r="24" spans="2:8" ht="16" customHeight="1">
      <c r="B24" s="104"/>
      <c r="C24" s="208"/>
      <c r="D24" s="104"/>
      <c r="E24" s="211"/>
      <c r="F24" s="104"/>
      <c r="G24" s="207" t="s">
        <v>71</v>
      </c>
      <c r="H24" s="104"/>
    </row>
    <row r="25" spans="2:8" ht="16" customHeight="1">
      <c r="B25" s="104"/>
      <c r="C25" s="208"/>
      <c r="D25" s="104"/>
      <c r="E25" s="211"/>
      <c r="F25" s="104"/>
      <c r="G25" s="209"/>
      <c r="H25" s="104"/>
    </row>
    <row r="26" spans="2:8" ht="16" customHeight="1">
      <c r="B26" s="104"/>
      <c r="C26" s="208"/>
      <c r="D26" s="104"/>
      <c r="E26" s="211"/>
      <c r="F26" s="104"/>
      <c r="G26" s="110"/>
      <c r="H26" s="104"/>
    </row>
    <row r="27" spans="2:8" ht="16" customHeight="1">
      <c r="B27" s="104"/>
      <c r="C27" s="209"/>
      <c r="D27" s="104"/>
      <c r="E27" s="211"/>
      <c r="F27" s="104"/>
      <c r="G27" s="207" t="s">
        <v>75</v>
      </c>
      <c r="H27" s="104"/>
    </row>
    <row r="28" spans="2:8" ht="16" customHeight="1">
      <c r="B28" s="104"/>
      <c r="C28" s="111"/>
      <c r="D28" s="104"/>
      <c r="E28" s="211"/>
      <c r="F28" s="104"/>
      <c r="G28" s="208"/>
      <c r="H28" s="104"/>
    </row>
    <row r="29" spans="2:8" ht="16" customHeight="1">
      <c r="B29" s="104"/>
      <c r="C29" s="214" t="s">
        <v>63</v>
      </c>
      <c r="D29" s="104"/>
      <c r="E29" s="211"/>
      <c r="F29" s="104"/>
      <c r="G29" s="208"/>
      <c r="H29" s="104"/>
    </row>
    <row r="30" spans="2:8" ht="16" customHeight="1">
      <c r="B30" s="104"/>
      <c r="C30" s="215"/>
      <c r="D30" s="104"/>
      <c r="E30" s="211"/>
      <c r="F30" s="104"/>
      <c r="G30" s="208"/>
      <c r="H30" s="104"/>
    </row>
    <row r="31" spans="2:8" ht="16" customHeight="1">
      <c r="B31" s="104"/>
      <c r="C31" s="111"/>
      <c r="D31" s="104"/>
      <c r="E31" s="211"/>
      <c r="F31" s="104"/>
      <c r="G31" s="208"/>
      <c r="H31" s="104"/>
    </row>
    <row r="32" spans="2:8" ht="16" customHeight="1">
      <c r="B32" s="104"/>
      <c r="C32" s="214" t="s">
        <v>69</v>
      </c>
      <c r="D32" s="104"/>
      <c r="E32" s="211"/>
      <c r="F32" s="104"/>
      <c r="G32" s="209"/>
      <c r="H32" s="104"/>
    </row>
    <row r="33" spans="2:8" ht="16" customHeight="1">
      <c r="B33" s="104"/>
      <c r="C33" s="215"/>
      <c r="D33" s="104"/>
      <c r="E33" s="211"/>
      <c r="F33" s="104"/>
      <c r="G33" s="110"/>
      <c r="H33" s="104"/>
    </row>
    <row r="34" spans="2:8" ht="16" customHeight="1">
      <c r="B34" s="104"/>
      <c r="C34" s="111"/>
      <c r="D34" s="104"/>
      <c r="E34" s="211"/>
      <c r="F34" s="104"/>
      <c r="G34" s="207" t="s">
        <v>72</v>
      </c>
      <c r="H34" s="104"/>
    </row>
    <row r="35" spans="2:8" ht="16" customHeight="1">
      <c r="B35" s="104"/>
      <c r="C35" s="214" t="s">
        <v>68</v>
      </c>
      <c r="D35" s="104"/>
      <c r="E35" s="211"/>
      <c r="F35" s="104"/>
      <c r="G35" s="208"/>
      <c r="H35" s="104"/>
    </row>
    <row r="36" spans="2:8" ht="16" customHeight="1">
      <c r="B36" s="104"/>
      <c r="C36" s="215"/>
      <c r="D36" s="104"/>
      <c r="E36" s="211"/>
      <c r="F36" s="104"/>
      <c r="G36" s="208"/>
      <c r="H36" s="104"/>
    </row>
    <row r="37" spans="2:8" ht="16" customHeight="1">
      <c r="B37" s="104"/>
      <c r="C37" s="111"/>
      <c r="D37" s="104"/>
      <c r="E37" s="211"/>
      <c r="F37" s="104"/>
      <c r="G37" s="208"/>
      <c r="H37" s="104"/>
    </row>
    <row r="38" spans="2:8" ht="28" customHeight="1" thickBot="1">
      <c r="B38" s="104"/>
      <c r="C38" s="112" t="s">
        <v>67</v>
      </c>
      <c r="D38" s="104"/>
      <c r="E38" s="212"/>
      <c r="F38" s="104"/>
      <c r="G38" s="208"/>
      <c r="H38" s="104"/>
    </row>
    <row r="39" spans="2:8" ht="16" customHeight="1">
      <c r="B39" s="104"/>
      <c r="C39" s="111"/>
      <c r="D39" s="104"/>
      <c r="E39" s="104"/>
      <c r="F39" s="104"/>
      <c r="G39" s="113"/>
      <c r="H39" s="104"/>
    </row>
    <row r="40" spans="2:8" ht="20" customHeight="1">
      <c r="B40" s="104"/>
      <c r="C40" s="112" t="s">
        <v>103</v>
      </c>
      <c r="D40" s="104"/>
      <c r="E40" s="104"/>
      <c r="F40" s="104"/>
      <c r="G40" s="207" t="s">
        <v>73</v>
      </c>
      <c r="H40" s="104"/>
    </row>
    <row r="41" spans="2:8" ht="16" customHeight="1">
      <c r="B41" s="104"/>
      <c r="C41" s="111"/>
      <c r="D41" s="104"/>
      <c r="E41" s="104"/>
      <c r="F41" s="104"/>
      <c r="G41" s="208"/>
      <c r="H41" s="104"/>
    </row>
    <row r="42" spans="2:8" ht="16" customHeight="1">
      <c r="B42" s="104"/>
      <c r="C42" s="112" t="s">
        <v>66</v>
      </c>
      <c r="D42" s="104"/>
      <c r="E42" s="104"/>
      <c r="F42" s="104"/>
      <c r="G42" s="209"/>
      <c r="H42" s="104"/>
    </row>
    <row r="43" spans="2:8" ht="16" customHeight="1" thickBot="1">
      <c r="B43" s="104"/>
      <c r="C43" s="111"/>
      <c r="D43" s="104"/>
      <c r="E43" s="104"/>
      <c r="F43" s="104"/>
      <c r="G43" s="110"/>
      <c r="H43" s="104"/>
    </row>
    <row r="44" spans="2:8" s="117" customFormat="1" ht="17" customHeight="1" thickTop="1">
      <c r="B44" s="129"/>
      <c r="C44" s="213"/>
      <c r="D44" s="213"/>
      <c r="E44" s="213"/>
      <c r="F44" s="213"/>
      <c r="G44" s="213"/>
      <c r="H44" s="129"/>
    </row>
  </sheetData>
  <mergeCells count="13">
    <mergeCell ref="C44:G44"/>
    <mergeCell ref="C29:C30"/>
    <mergeCell ref="C32:C33"/>
    <mergeCell ref="C35:C36"/>
    <mergeCell ref="G27:G32"/>
    <mergeCell ref="G40:G42"/>
    <mergeCell ref="C2:G5"/>
    <mergeCell ref="C6:G9"/>
    <mergeCell ref="C13:C27"/>
    <mergeCell ref="G13:G22"/>
    <mergeCell ref="G24:G25"/>
    <mergeCell ref="E17:E38"/>
    <mergeCell ref="G34:G38"/>
  </mergeCells>
  <phoneticPr fontId="56" type="noConversion"/>
  <printOptions horizontalCentered="1" verticalCentered="1"/>
  <pageMargins left="0.78740157480314965" right="0.78740157480314965" top="0.98425196850393704" bottom="0.98425196850393704" header="0.51181102362204722" footer="0.51181102362204722"/>
  <pageSetup paperSize="9" scale="74" orientation="portrait"/>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workbookViewId="0">
      <pane xSplit="1" ySplit="3" topLeftCell="B4" activePane="bottomRight" state="frozen"/>
      <selection pane="topRight" activeCell="B1" sqref="B1"/>
      <selection pane="bottomLeft" activeCell="A3" sqref="A3"/>
      <selection pane="bottomRight" activeCell="A2" sqref="A2"/>
    </sheetView>
  </sheetViews>
  <sheetFormatPr baseColWidth="10" defaultRowHeight="15" x14ac:dyDescent="0"/>
  <cols>
    <col min="1" max="1" width="29.5" style="138" customWidth="1"/>
    <col min="2" max="4" width="10.83203125" style="138" customWidth="1"/>
    <col min="5" max="16384" width="10.83203125" style="138"/>
  </cols>
  <sheetData>
    <row r="2" spans="1:17" ht="16" thickBot="1">
      <c r="F2" s="138" t="s">
        <v>43</v>
      </c>
    </row>
    <row r="3" spans="1:17" s="142" customFormat="1" ht="45">
      <c r="A3" s="157"/>
      <c r="B3" s="158" t="s">
        <v>30</v>
      </c>
      <c r="C3" s="158" t="s">
        <v>44</v>
      </c>
      <c r="D3" s="159" t="s">
        <v>141</v>
      </c>
      <c r="F3" s="142" t="s">
        <v>38</v>
      </c>
      <c r="G3" s="142">
        <v>2012</v>
      </c>
      <c r="H3" s="142">
        <v>2011</v>
      </c>
      <c r="I3" s="142">
        <v>2010</v>
      </c>
      <c r="J3" s="142">
        <v>2009</v>
      </c>
      <c r="K3" s="142">
        <v>2008</v>
      </c>
    </row>
    <row r="4" spans="1:17">
      <c r="A4" s="151" t="s">
        <v>16</v>
      </c>
      <c r="B4" s="160">
        <f>ROUND(C4*B$23,-2)</f>
        <v>1000</v>
      </c>
      <c r="C4" s="161">
        <v>0.56000000000000005</v>
      </c>
      <c r="D4" s="162">
        <f>SUM(D5:D16)</f>
        <v>25.894685454545456</v>
      </c>
      <c r="F4" s="146">
        <f>AVERAGE(G4:K4)</f>
        <v>19116.651499999996</v>
      </c>
      <c r="G4" s="146">
        <v>8933.8829999999962</v>
      </c>
      <c r="H4" s="146">
        <v>14220.773999999998</v>
      </c>
      <c r="I4" s="146">
        <v>15565.084750000004</v>
      </c>
      <c r="J4" s="146">
        <v>19608.090749999996</v>
      </c>
      <c r="K4" s="146">
        <v>37255.424999999988</v>
      </c>
      <c r="L4" s="146"/>
      <c r="M4" s="146"/>
      <c r="N4" s="146"/>
      <c r="O4" s="146"/>
      <c r="P4" s="146"/>
      <c r="Q4" s="146"/>
    </row>
    <row r="5" spans="1:17">
      <c r="A5" s="163" t="s">
        <v>18</v>
      </c>
      <c r="B5" s="164">
        <f t="shared" ref="B5:B16" si="0">ROUND(B$4*F5/F$4,-1)</f>
        <v>200</v>
      </c>
      <c r="C5" s="165">
        <f t="shared" ref="C5:C16" si="1">B5/B$23</f>
        <v>0.1111111111111111</v>
      </c>
      <c r="D5" s="162">
        <f>'Données-T3'!B6*(1-'Données-T3'!H6)*('Données-T3'!N$3*'Données-T3'!J6+'Données-T3'!O$3*'Données-T3'!K6+'Données-T3'!L6)</f>
        <v>4.4712000000000005</v>
      </c>
      <c r="F5" s="146">
        <f t="shared" ref="F5:F16" si="2">AVERAGE(G5:K5)</f>
        <v>3803.3951999999999</v>
      </c>
      <c r="G5" s="146">
        <v>1733.569</v>
      </c>
      <c r="H5" s="146">
        <v>2663.0279999999998</v>
      </c>
      <c r="I5" s="146">
        <v>2624.386</v>
      </c>
      <c r="J5" s="146">
        <v>4133.2389999999996</v>
      </c>
      <c r="K5" s="146">
        <v>7862.7539999999999</v>
      </c>
      <c r="L5" s="146"/>
      <c r="M5" s="146"/>
      <c r="N5" s="146"/>
      <c r="O5" s="146"/>
      <c r="P5" s="146"/>
      <c r="Q5" s="146"/>
    </row>
    <row r="6" spans="1:17">
      <c r="A6" s="163" t="s">
        <v>19</v>
      </c>
      <c r="B6" s="164">
        <f t="shared" si="0"/>
        <v>180</v>
      </c>
      <c r="C6" s="165">
        <f t="shared" si="1"/>
        <v>0.1</v>
      </c>
      <c r="D6" s="162">
        <f>'Données-T3'!B7*(1-'Données-T3'!H7)*('Données-T3'!N$3*'Données-T3'!J7+'Données-T3'!O$3*'Données-T3'!K7+'Données-T3'!L7)</f>
        <v>8.6346000000000007</v>
      </c>
      <c r="F6" s="146">
        <f t="shared" si="2"/>
        <v>3498.1585999999998</v>
      </c>
      <c r="G6" s="146">
        <v>1659.261</v>
      </c>
      <c r="H6" s="146">
        <v>2573.71</v>
      </c>
      <c r="I6" s="146">
        <v>2868.6219999999998</v>
      </c>
      <c r="J6" s="146">
        <v>3794.5050000000001</v>
      </c>
      <c r="K6" s="146">
        <v>6594.6949999999997</v>
      </c>
      <c r="L6" s="146"/>
      <c r="M6" s="146"/>
      <c r="N6" s="146"/>
      <c r="O6" s="146"/>
      <c r="P6" s="146"/>
      <c r="Q6" s="146"/>
    </row>
    <row r="7" spans="1:17">
      <c r="A7" s="166" t="s">
        <v>21</v>
      </c>
      <c r="B7" s="164">
        <f t="shared" si="0"/>
        <v>120</v>
      </c>
      <c r="C7" s="167">
        <f t="shared" si="1"/>
        <v>6.6666666666666666E-2</v>
      </c>
      <c r="D7" s="162">
        <f>'Données-T3'!B8*(1-'Données-T3'!H8)*('Données-T3'!N$3*'Données-T3'!J8+'Données-T3'!O$3*'Données-T3'!K8+'Données-T3'!L8)</f>
        <v>1.4256</v>
      </c>
      <c r="F7" s="146">
        <f t="shared" si="2"/>
        <v>2214.1675999999998</v>
      </c>
      <c r="G7" s="147">
        <v>575.78300000000002</v>
      </c>
      <c r="H7" s="147">
        <v>1148.6780000000001</v>
      </c>
      <c r="I7" s="147">
        <v>1275.5029999999999</v>
      </c>
      <c r="J7" s="147">
        <v>2004.6479999999999</v>
      </c>
      <c r="K7" s="147">
        <v>6066.2259999999997</v>
      </c>
      <c r="L7" s="147"/>
      <c r="M7" s="147"/>
      <c r="N7" s="147"/>
      <c r="O7" s="147"/>
      <c r="P7" s="147"/>
      <c r="Q7" s="147"/>
    </row>
    <row r="8" spans="1:17">
      <c r="A8" s="163" t="s">
        <v>20</v>
      </c>
      <c r="B8" s="164">
        <f t="shared" si="0"/>
        <v>110</v>
      </c>
      <c r="C8" s="165">
        <f t="shared" si="1"/>
        <v>6.1111111111111109E-2</v>
      </c>
      <c r="D8" s="162">
        <f>'Données-T3'!B9*(1-'Données-T3'!H9)*('Données-T3'!N$3*'Données-T3'!J9+'Données-T3'!O$3*'Données-T3'!K9+'Données-T3'!L9)</f>
        <v>3.0056399999999996</v>
      </c>
      <c r="F8" s="146">
        <f t="shared" si="2"/>
        <v>2071.9290999999998</v>
      </c>
      <c r="G8" s="147">
        <v>1010.675</v>
      </c>
      <c r="H8" s="147">
        <v>1527.7439999999999</v>
      </c>
      <c r="I8" s="147">
        <v>1884.59275</v>
      </c>
      <c r="J8" s="147">
        <v>2272.2327500000001</v>
      </c>
      <c r="K8" s="147">
        <v>3664.4009999999998</v>
      </c>
      <c r="L8" s="147"/>
      <c r="M8" s="147"/>
      <c r="N8" s="147"/>
      <c r="O8" s="147"/>
      <c r="P8" s="147"/>
      <c r="Q8" s="147"/>
    </row>
    <row r="9" spans="1:17">
      <c r="A9" s="163" t="s">
        <v>22</v>
      </c>
      <c r="B9" s="164">
        <f t="shared" si="0"/>
        <v>80</v>
      </c>
      <c r="C9" s="165">
        <f t="shared" si="1"/>
        <v>4.4444444444444446E-2</v>
      </c>
      <c r="D9" s="162">
        <f>'Données-T3'!B10*(1-'Données-T3'!H10)*('Données-T3'!N$3*'Données-T3'!J10+'Données-T3'!O$3*'Données-T3'!K10+'Données-T3'!L10)</f>
        <v>1.9008</v>
      </c>
      <c r="F9" s="146">
        <f t="shared" si="2"/>
        <v>1591.5214000000001</v>
      </c>
      <c r="G9" s="146">
        <v>758.64200000000005</v>
      </c>
      <c r="H9" s="146">
        <v>1227.5429999999999</v>
      </c>
      <c r="I9" s="146">
        <v>1202.0540000000001</v>
      </c>
      <c r="J9" s="146">
        <v>1604.115</v>
      </c>
      <c r="K9" s="146">
        <v>3165.2530000000002</v>
      </c>
      <c r="L9" s="146"/>
      <c r="M9" s="146"/>
      <c r="N9" s="146"/>
      <c r="O9" s="146"/>
      <c r="P9" s="146"/>
      <c r="Q9" s="146"/>
    </row>
    <row r="10" spans="1:17">
      <c r="A10" s="163" t="s">
        <v>23</v>
      </c>
      <c r="B10" s="164">
        <f t="shared" si="0"/>
        <v>60</v>
      </c>
      <c r="C10" s="165">
        <f t="shared" si="1"/>
        <v>3.3333333333333333E-2</v>
      </c>
      <c r="D10" s="162">
        <f>'Données-T3'!B11*(1-'Données-T3'!H11)*('Données-T3'!N$3*'Données-T3'!J11+'Données-T3'!O$3*'Données-T3'!K11+'Données-T3'!L11)</f>
        <v>0.64800000000000002</v>
      </c>
      <c r="F10" s="146">
        <f>AVERAGE(G10:K10)</f>
        <v>1123.6378</v>
      </c>
      <c r="G10" s="146">
        <v>859.09699999999998</v>
      </c>
      <c r="H10" s="146">
        <v>1158.3810000000001</v>
      </c>
      <c r="I10" s="146">
        <v>1308.538</v>
      </c>
      <c r="J10" s="146">
        <v>934.84400000000005</v>
      </c>
      <c r="K10" s="146">
        <v>1357.329</v>
      </c>
      <c r="L10" s="146"/>
      <c r="M10" s="146"/>
      <c r="N10" s="146"/>
      <c r="O10" s="146"/>
      <c r="P10" s="146"/>
      <c r="Q10" s="146"/>
    </row>
    <row r="11" spans="1:17">
      <c r="A11" s="163" t="s">
        <v>25</v>
      </c>
      <c r="B11" s="164">
        <f t="shared" si="0"/>
        <v>60</v>
      </c>
      <c r="C11" s="165">
        <f t="shared" si="1"/>
        <v>3.3333333333333333E-2</v>
      </c>
      <c r="D11" s="162">
        <f>'Données-T3'!B12*(1-'Données-T3'!H12)*('Données-T3'!N$3*'Données-T3'!J12+'Données-T3'!O$3*'Données-T3'!K12+'Données-T3'!L12)</f>
        <v>1.296</v>
      </c>
      <c r="F11" s="146">
        <f t="shared" si="2"/>
        <v>1069.1792</v>
      </c>
      <c r="G11" s="146">
        <v>420.98500000000001</v>
      </c>
      <c r="H11" s="146">
        <v>624.18600000000004</v>
      </c>
      <c r="I11" s="146">
        <v>692.98800000000006</v>
      </c>
      <c r="J11" s="146">
        <v>1197.3330000000001</v>
      </c>
      <c r="K11" s="146">
        <v>2410.404</v>
      </c>
      <c r="L11" s="146"/>
      <c r="M11" s="146"/>
      <c r="N11" s="146"/>
      <c r="O11" s="146"/>
      <c r="P11" s="146"/>
      <c r="Q11" s="146"/>
    </row>
    <row r="12" spans="1:17">
      <c r="A12" s="163" t="s">
        <v>24</v>
      </c>
      <c r="B12" s="164">
        <f t="shared" si="0"/>
        <v>30</v>
      </c>
      <c r="C12" s="165">
        <f t="shared" si="1"/>
        <v>1.6666666666666666E-2</v>
      </c>
      <c r="D12" s="162">
        <f>'Données-T3'!B13*(1-'Données-T3'!H13)*('Données-T3'!N$3*'Données-T3'!J13+'Données-T3'!O$3*'Données-T3'!K13+'Données-T3'!L13)</f>
        <v>0.45360000000000006</v>
      </c>
      <c r="F12" s="146">
        <f t="shared" si="2"/>
        <v>494.262</v>
      </c>
      <c r="G12" s="146">
        <v>299.05500000000001</v>
      </c>
      <c r="H12" s="146">
        <v>485.327</v>
      </c>
      <c r="I12" s="146">
        <v>343.27100000000002</v>
      </c>
      <c r="J12" s="146">
        <v>436.65300000000002</v>
      </c>
      <c r="K12" s="146">
        <v>907.00400000000002</v>
      </c>
      <c r="L12" s="146"/>
      <c r="M12" s="146"/>
      <c r="N12" s="146"/>
      <c r="O12" s="146"/>
      <c r="P12" s="146"/>
      <c r="Q12" s="146"/>
    </row>
    <row r="13" spans="1:17">
      <c r="A13" s="163" t="s">
        <v>31</v>
      </c>
      <c r="B13" s="164">
        <f t="shared" si="0"/>
        <v>10</v>
      </c>
      <c r="C13" s="165">
        <f t="shared" si="1"/>
        <v>5.5555555555555558E-3</v>
      </c>
      <c r="D13" s="162">
        <f>'Données-T3'!B14*(1-'Données-T3'!H14)*('Données-T3'!N$3*'Données-T3'!J14+'Données-T3'!O$3*'Données-T3'!K14+'Données-T3'!L14)</f>
        <v>0.11070000000000001</v>
      </c>
      <c r="F13" s="146">
        <f t="shared" si="2"/>
        <v>222.3674</v>
      </c>
      <c r="G13" s="146">
        <v>207.27199999999999</v>
      </c>
      <c r="H13" s="146">
        <v>190.661</v>
      </c>
      <c r="I13" s="146">
        <v>195.089</v>
      </c>
      <c r="J13" s="146">
        <v>206.91399999999999</v>
      </c>
      <c r="K13" s="146">
        <v>311.90100000000001</v>
      </c>
      <c r="L13" s="146"/>
      <c r="M13" s="146"/>
      <c r="N13" s="146"/>
      <c r="O13" s="146"/>
      <c r="P13" s="146"/>
      <c r="Q13" s="146"/>
    </row>
    <row r="14" spans="1:17">
      <c r="A14" s="163" t="s">
        <v>26</v>
      </c>
      <c r="B14" s="164">
        <f t="shared" si="0"/>
        <v>10</v>
      </c>
      <c r="C14" s="165">
        <f t="shared" si="1"/>
        <v>5.5555555555555558E-3</v>
      </c>
      <c r="D14" s="162">
        <f>'Données-T3'!B15*(1-'Données-T3'!H15)*('Données-T3'!N$3*'Données-T3'!J15+'Données-T3'!O$3*'Données-T3'!K15+'Données-T3'!L15)</f>
        <v>0.16199999999999998</v>
      </c>
      <c r="F14" s="146">
        <f t="shared" si="2"/>
        <v>255.36219999999997</v>
      </c>
      <c r="G14" s="146">
        <v>179.59800000000001</v>
      </c>
      <c r="H14" s="146">
        <v>195.38900000000001</v>
      </c>
      <c r="I14" s="146">
        <v>217.95599999999999</v>
      </c>
      <c r="J14" s="146">
        <v>180.98699999999999</v>
      </c>
      <c r="K14" s="146">
        <v>502.88099999999997</v>
      </c>
      <c r="L14" s="146"/>
      <c r="M14" s="146"/>
      <c r="N14" s="146"/>
      <c r="O14" s="146"/>
      <c r="P14" s="146"/>
      <c r="Q14" s="146"/>
    </row>
    <row r="15" spans="1:17">
      <c r="A15" s="163" t="s">
        <v>27</v>
      </c>
      <c r="B15" s="164">
        <f t="shared" si="0"/>
        <v>10</v>
      </c>
      <c r="C15" s="165">
        <f t="shared" si="1"/>
        <v>5.5555555555555558E-3</v>
      </c>
      <c r="D15" s="162">
        <f>'Données-T3'!B16*(1-'Données-T3'!H16)*('Données-T3'!N$3*'Données-T3'!J16+'Données-T3'!O$3*'Données-T3'!K16+'Données-T3'!L16)</f>
        <v>0.29520000000000002</v>
      </c>
      <c r="F15" s="146">
        <f t="shared" si="2"/>
        <v>104.42359999999999</v>
      </c>
      <c r="G15" s="146">
        <v>58.908000000000001</v>
      </c>
      <c r="H15" s="146">
        <v>65.48</v>
      </c>
      <c r="I15" s="146">
        <v>93.710999999999999</v>
      </c>
      <c r="J15" s="146">
        <v>137.815</v>
      </c>
      <c r="K15" s="146">
        <v>166.20400000000001</v>
      </c>
      <c r="L15" s="146"/>
      <c r="M15" s="146"/>
      <c r="N15" s="146"/>
      <c r="O15" s="146"/>
      <c r="P15" s="146"/>
      <c r="Q15" s="146"/>
    </row>
    <row r="16" spans="1:17">
      <c r="A16" s="163" t="s">
        <v>35</v>
      </c>
      <c r="B16" s="164">
        <f t="shared" si="0"/>
        <v>140</v>
      </c>
      <c r="C16" s="165">
        <f t="shared" si="1"/>
        <v>7.7777777777777779E-2</v>
      </c>
      <c r="D16" s="162">
        <f>'Données-T3'!B17*(1-'Données-T3'!H17)*('Données-T3'!N$3*'Données-T3'!J17+'Données-T3'!O$3*'Données-T3'!K17+'Données-T3'!L17)</f>
        <v>3.4913454545454541</v>
      </c>
      <c r="F16" s="146">
        <f t="shared" si="2"/>
        <v>2668.2473999999966</v>
      </c>
      <c r="G16" s="146">
        <f>G4-SUM(G5:G15)</f>
        <v>1171.0379999999968</v>
      </c>
      <c r="H16" s="146">
        <f>H4-SUM(H5:H15)</f>
        <v>2360.6470000000008</v>
      </c>
      <c r="I16" s="146">
        <f>I4-SUM(I5:I15)</f>
        <v>2858.3740000000034</v>
      </c>
      <c r="J16" s="146">
        <f>J4-SUM(J5:J15)</f>
        <v>2704.8049999999967</v>
      </c>
      <c r="K16" s="146">
        <f>K4-SUM(K5:K15)</f>
        <v>4246.372999999985</v>
      </c>
      <c r="L16" s="146"/>
      <c r="M16" s="146"/>
      <c r="N16" s="146"/>
      <c r="O16" s="146"/>
      <c r="P16" s="146"/>
      <c r="Q16" s="146"/>
    </row>
    <row r="17" spans="1:17">
      <c r="A17" s="151" t="s">
        <v>17</v>
      </c>
      <c r="B17" s="160">
        <f t="shared" ref="B17:B22" si="3">ROUND(C17*B$23,-1)</f>
        <v>180</v>
      </c>
      <c r="C17" s="161">
        <v>0.1</v>
      </c>
      <c r="D17" s="162">
        <f>'Données-T3'!B18*(1-'Données-T3'!H18)*('Données-T3'!N$3*'Données-T3'!J18+'Données-T3'!O$3*'Données-T3'!K18+'Données-T3'!L18)</f>
        <v>0</v>
      </c>
      <c r="G17" s="146"/>
      <c r="H17" s="146"/>
      <c r="I17" s="146"/>
      <c r="J17" s="146"/>
      <c r="K17" s="146"/>
      <c r="L17" s="146"/>
      <c r="M17" s="146"/>
      <c r="N17" s="146"/>
      <c r="O17" s="146"/>
      <c r="P17" s="146"/>
      <c r="Q17" s="146"/>
    </row>
    <row r="18" spans="1:17">
      <c r="A18" s="151" t="s">
        <v>36</v>
      </c>
      <c r="B18" s="160">
        <f t="shared" si="3"/>
        <v>180</v>
      </c>
      <c r="C18" s="161">
        <f>13%-3%</f>
        <v>0.1</v>
      </c>
      <c r="D18" s="162">
        <f>'Données-T3'!B19*(1-'Données-T3'!H19)*('Données-T3'!N$3*'Données-T3'!J19+'Données-T3'!O$3*'Données-T3'!K19+'Données-T3'!L19)</f>
        <v>4.3739999999999997</v>
      </c>
      <c r="G18" s="146"/>
      <c r="H18" s="146"/>
      <c r="I18" s="146"/>
      <c r="J18" s="146"/>
      <c r="K18" s="146"/>
      <c r="L18" s="146"/>
      <c r="M18" s="146"/>
      <c r="N18" s="146"/>
      <c r="O18" s="146"/>
      <c r="P18" s="146"/>
      <c r="Q18" s="146"/>
    </row>
    <row r="19" spans="1:17">
      <c r="A19" s="151" t="s">
        <v>33</v>
      </c>
      <c r="B19" s="160">
        <f t="shared" si="3"/>
        <v>170</v>
      </c>
      <c r="C19" s="161">
        <v>9.5000000000000001E-2</v>
      </c>
      <c r="D19" s="162">
        <f>'Données-T3'!B20*(1-'Données-T3'!H20)*('Données-T3'!N$3*'Données-T3'!J20+'Données-T3'!O$3*'Données-T3'!K20+'Données-T3'!L20)</f>
        <v>4.59</v>
      </c>
      <c r="G19" s="146"/>
      <c r="H19" s="146"/>
      <c r="I19" s="146"/>
      <c r="J19" s="146"/>
      <c r="K19" s="146"/>
      <c r="L19" s="146"/>
      <c r="M19" s="146"/>
      <c r="N19" s="146"/>
      <c r="O19" s="146"/>
      <c r="P19" s="146"/>
      <c r="Q19" s="146"/>
    </row>
    <row r="20" spans="1:17">
      <c r="A20" s="151" t="s">
        <v>34</v>
      </c>
      <c r="B20" s="160">
        <f t="shared" si="3"/>
        <v>120</v>
      </c>
      <c r="C20" s="161">
        <v>6.5000000000000002E-2</v>
      </c>
      <c r="D20" s="162">
        <f>'Données-T3'!B21*(1-'Données-T3'!H21)*('Données-T3'!N$3*'Données-T3'!J21+'Données-T3'!O$3*'Données-T3'!K21+'Données-T3'!L21)</f>
        <v>3.2399999999999998</v>
      </c>
      <c r="G20" s="146"/>
      <c r="H20" s="146"/>
      <c r="I20" s="146"/>
      <c r="J20" s="146"/>
      <c r="K20" s="146"/>
      <c r="L20" s="146"/>
      <c r="M20" s="146"/>
      <c r="N20" s="146"/>
      <c r="O20" s="146"/>
      <c r="P20" s="146"/>
      <c r="Q20" s="146"/>
    </row>
    <row r="21" spans="1:17">
      <c r="A21" s="151" t="s">
        <v>102</v>
      </c>
      <c r="B21" s="160">
        <f t="shared" si="3"/>
        <v>90</v>
      </c>
      <c r="C21" s="161">
        <v>0.05</v>
      </c>
      <c r="D21" s="162">
        <f>'Données-T3'!B22*(1-'Données-T3'!H22)*('Données-T3'!N$3*'Données-T3'!J22+'Données-T3'!O$3*'Données-T3'!K22+'Données-T3'!L22)</f>
        <v>2.3230799999999996</v>
      </c>
      <c r="G21" s="146"/>
      <c r="H21" s="146"/>
      <c r="I21" s="146"/>
      <c r="J21" s="146"/>
      <c r="K21" s="146"/>
      <c r="L21" s="146"/>
      <c r="M21" s="146"/>
      <c r="N21" s="146"/>
      <c r="O21" s="146"/>
      <c r="P21" s="146"/>
      <c r="Q21" s="146"/>
    </row>
    <row r="22" spans="1:17">
      <c r="A22" s="151" t="s">
        <v>32</v>
      </c>
      <c r="B22" s="160">
        <f t="shared" si="3"/>
        <v>50</v>
      </c>
      <c r="C22" s="168">
        <v>0.03</v>
      </c>
      <c r="D22" s="162">
        <f>'Données-T3'!B23*(1-'Données-T3'!H23)*('Données-T3'!N$3*'Données-T3'!J23+'Données-T3'!O$3*'Données-T3'!K23+'Données-T3'!L23)</f>
        <v>0.24299999999999997</v>
      </c>
      <c r="G22" s="146"/>
      <c r="H22" s="146"/>
      <c r="I22" s="146"/>
      <c r="J22" s="146"/>
      <c r="K22" s="146"/>
      <c r="L22" s="146"/>
      <c r="M22" s="146"/>
      <c r="N22" s="146"/>
      <c r="O22" s="146"/>
      <c r="P22" s="146"/>
      <c r="Q22" s="146"/>
    </row>
    <row r="23" spans="1:17">
      <c r="A23" s="151" t="s">
        <v>28</v>
      </c>
      <c r="B23" s="160">
        <v>1800</v>
      </c>
      <c r="C23" s="168">
        <f>C4+SUM(C17:C22)</f>
        <v>1</v>
      </c>
      <c r="D23" s="162">
        <f>D4+SUM(D17:D22)</f>
        <v>40.664765454545453</v>
      </c>
      <c r="G23" s="146"/>
      <c r="H23" s="146"/>
      <c r="I23" s="146"/>
      <c r="J23" s="146"/>
      <c r="K23" s="146"/>
      <c r="L23" s="146"/>
      <c r="M23" s="146"/>
      <c r="N23" s="146"/>
      <c r="O23" s="146"/>
      <c r="P23" s="146"/>
      <c r="Q23" s="146"/>
    </row>
    <row r="24" spans="1:17" ht="31" thickBot="1">
      <c r="A24" s="169" t="s">
        <v>29</v>
      </c>
      <c r="B24" s="170">
        <f>ROUND(C24*B23,-2)</f>
        <v>1100</v>
      </c>
      <c r="C24" s="171">
        <v>0.6</v>
      </c>
      <c r="D24" s="172"/>
      <c r="G24" s="146"/>
      <c r="H24" s="146"/>
      <c r="I24" s="146"/>
      <c r="J24" s="146"/>
      <c r="K24" s="146"/>
      <c r="L24" s="146"/>
      <c r="M24" s="146"/>
      <c r="N24" s="146"/>
      <c r="O24" s="146"/>
      <c r="P24" s="146"/>
      <c r="Q24" s="146"/>
    </row>
    <row r="25" spans="1:17">
      <c r="G25" s="146"/>
      <c r="H25" s="146"/>
      <c r="I25" s="146"/>
      <c r="J25" s="146"/>
      <c r="K25" s="146"/>
      <c r="L25" s="146"/>
      <c r="M25" s="146"/>
      <c r="N25" s="146"/>
      <c r="O25" s="146"/>
      <c r="P25" s="146"/>
      <c r="Q25" s="146"/>
    </row>
    <row r="26" spans="1:17" ht="16" thickBot="1">
      <c r="G26" s="146"/>
      <c r="H26" s="146"/>
      <c r="I26" s="146"/>
      <c r="J26" s="146"/>
      <c r="K26" s="146"/>
      <c r="L26" s="146"/>
      <c r="M26" s="146"/>
      <c r="N26" s="146"/>
      <c r="O26" s="146"/>
      <c r="P26" s="146"/>
      <c r="Q26" s="146"/>
    </row>
    <row r="27" spans="1:17">
      <c r="B27" s="148" t="s">
        <v>173</v>
      </c>
      <c r="C27" s="149"/>
      <c r="D27" s="149"/>
      <c r="E27" s="149"/>
      <c r="F27" s="149"/>
      <c r="G27" s="149"/>
      <c r="H27" s="149"/>
      <c r="I27" s="149"/>
      <c r="J27" s="149"/>
      <c r="K27" s="149"/>
      <c r="L27" s="149"/>
      <c r="M27" s="149"/>
      <c r="N27" s="149"/>
      <c r="O27" s="150"/>
    </row>
    <row r="28" spans="1:17">
      <c r="B28" s="151" t="s">
        <v>37</v>
      </c>
      <c r="C28" s="152"/>
      <c r="D28" s="152"/>
      <c r="E28" s="152"/>
      <c r="F28" s="152"/>
      <c r="G28" s="152"/>
      <c r="H28" s="152"/>
      <c r="I28" s="152"/>
      <c r="J28" s="152"/>
      <c r="K28" s="152"/>
      <c r="L28" s="152"/>
      <c r="M28" s="152"/>
      <c r="N28" s="152"/>
      <c r="O28" s="153"/>
    </row>
    <row r="29" spans="1:17">
      <c r="B29" s="151" t="s">
        <v>40</v>
      </c>
      <c r="C29" s="152"/>
      <c r="D29" s="152"/>
      <c r="E29" s="152"/>
      <c r="F29" s="152"/>
      <c r="G29" s="152"/>
      <c r="H29" s="152"/>
      <c r="I29" s="152"/>
      <c r="J29" s="152"/>
      <c r="K29" s="152"/>
      <c r="L29" s="152"/>
      <c r="M29" s="152"/>
      <c r="N29" s="152"/>
      <c r="O29" s="153"/>
    </row>
    <row r="30" spans="1:17">
      <c r="B30" s="151" t="s">
        <v>41</v>
      </c>
      <c r="C30" s="152"/>
      <c r="D30" s="152"/>
      <c r="E30" s="152"/>
      <c r="F30" s="152"/>
      <c r="G30" s="152"/>
      <c r="H30" s="152"/>
      <c r="I30" s="152"/>
      <c r="J30" s="152"/>
      <c r="K30" s="152"/>
      <c r="L30" s="152"/>
      <c r="M30" s="152"/>
      <c r="N30" s="152"/>
      <c r="O30" s="153"/>
    </row>
    <row r="31" spans="1:17">
      <c r="B31" s="151" t="s">
        <v>42</v>
      </c>
      <c r="C31" s="152"/>
      <c r="D31" s="152"/>
      <c r="E31" s="152"/>
      <c r="F31" s="152"/>
      <c r="G31" s="152"/>
      <c r="H31" s="152"/>
      <c r="I31" s="152"/>
      <c r="J31" s="152"/>
      <c r="K31" s="152"/>
      <c r="L31" s="152"/>
      <c r="M31" s="152"/>
      <c r="N31" s="152"/>
      <c r="O31" s="153"/>
    </row>
    <row r="32" spans="1:17" ht="16" thickBot="1">
      <c r="B32" s="154" t="s">
        <v>39</v>
      </c>
      <c r="C32" s="155"/>
      <c r="D32" s="155"/>
      <c r="E32" s="155"/>
      <c r="F32" s="155"/>
      <c r="G32" s="155"/>
      <c r="H32" s="155"/>
      <c r="I32" s="155"/>
      <c r="J32" s="155"/>
      <c r="K32" s="155"/>
      <c r="L32" s="155"/>
      <c r="M32" s="155"/>
      <c r="N32" s="155"/>
      <c r="O32" s="156"/>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F35"/>
  <sheetViews>
    <sheetView workbookViewId="0">
      <selection activeCell="B3" sqref="B3:F6"/>
    </sheetView>
  </sheetViews>
  <sheetFormatPr baseColWidth="10" defaultRowHeight="12" x14ac:dyDescent="0"/>
  <cols>
    <col min="1" max="1" width="18.83203125" style="43" customWidth="1"/>
    <col min="2" max="2" width="22.6640625" style="43" customWidth="1"/>
    <col min="3" max="3" width="5.6640625" style="43" customWidth="1"/>
    <col min="4" max="4" width="24.1640625" style="43" customWidth="1"/>
    <col min="5" max="5" width="5.6640625" style="43" customWidth="1"/>
    <col min="6" max="6" width="34.5" style="43" customWidth="1"/>
    <col min="7" max="7" width="4" style="43" customWidth="1"/>
    <col min="8" max="9" width="20.6640625" style="43" customWidth="1"/>
    <col min="10" max="16384" width="10.83203125" style="43"/>
  </cols>
  <sheetData>
    <row r="2" spans="2:6" ht="13" thickBot="1">
      <c r="B2" s="127"/>
      <c r="C2" s="127"/>
      <c r="D2" s="127"/>
      <c r="E2" s="127"/>
      <c r="F2" s="127"/>
    </row>
    <row r="3" spans="2:6" ht="13" thickTop="1">
      <c r="B3" s="201" t="s">
        <v>56</v>
      </c>
      <c r="C3" s="201"/>
      <c r="D3" s="201"/>
      <c r="E3" s="201"/>
      <c r="F3" s="201"/>
    </row>
    <row r="4" spans="2:6">
      <c r="B4" s="202"/>
      <c r="C4" s="202"/>
      <c r="D4" s="202"/>
      <c r="E4" s="202"/>
      <c r="F4" s="202"/>
    </row>
    <row r="5" spans="2:6">
      <c r="B5" s="202"/>
      <c r="C5" s="202"/>
      <c r="D5" s="202"/>
      <c r="E5" s="202"/>
      <c r="F5" s="202"/>
    </row>
    <row r="6" spans="2:6">
      <c r="B6" s="203"/>
      <c r="C6" s="203"/>
      <c r="D6" s="203"/>
      <c r="E6" s="203"/>
      <c r="F6" s="203"/>
    </row>
    <row r="7" spans="2:6">
      <c r="B7" s="216" t="s">
        <v>190</v>
      </c>
      <c r="C7" s="216"/>
      <c r="D7" s="216"/>
      <c r="E7" s="216"/>
      <c r="F7" s="216"/>
    </row>
    <row r="8" spans="2:6">
      <c r="B8" s="217"/>
      <c r="C8" s="217"/>
      <c r="D8" s="217"/>
      <c r="E8" s="217"/>
      <c r="F8" s="217"/>
    </row>
    <row r="9" spans="2:6">
      <c r="B9" s="217"/>
      <c r="C9" s="217"/>
      <c r="D9" s="217"/>
      <c r="E9" s="217"/>
      <c r="F9" s="217"/>
    </row>
    <row r="10" spans="2:6">
      <c r="B10" s="218"/>
      <c r="C10" s="218"/>
      <c r="D10" s="218"/>
      <c r="E10" s="218"/>
      <c r="F10" s="218"/>
    </row>
    <row r="11" spans="2:6" ht="24" customHeight="1" thickBot="1">
      <c r="B11" s="104"/>
      <c r="C11" s="104"/>
      <c r="D11" s="104"/>
      <c r="E11" s="104"/>
      <c r="F11" s="104"/>
    </row>
    <row r="12" spans="2:6" ht="15" customHeight="1">
      <c r="B12" s="219" t="s">
        <v>59</v>
      </c>
      <c r="C12" s="104"/>
      <c r="D12" s="223" t="s">
        <v>62</v>
      </c>
      <c r="E12" s="104"/>
      <c r="F12" s="104"/>
    </row>
    <row r="13" spans="2:6" ht="15" customHeight="1">
      <c r="B13" s="220"/>
      <c r="C13" s="104"/>
      <c r="D13" s="224"/>
      <c r="E13" s="104"/>
      <c r="F13" s="114"/>
    </row>
    <row r="14" spans="2:6" ht="15" customHeight="1">
      <c r="B14" s="220"/>
      <c r="C14" s="104"/>
      <c r="D14" s="224"/>
      <c r="E14" s="104"/>
      <c r="F14" s="108"/>
    </row>
    <row r="15" spans="2:6" ht="15" customHeight="1">
      <c r="B15" s="221"/>
      <c r="C15" s="104"/>
      <c r="D15" s="224"/>
      <c r="E15" s="104"/>
      <c r="F15" s="108"/>
    </row>
    <row r="16" spans="2:6" ht="15" customHeight="1">
      <c r="B16" s="221"/>
      <c r="C16" s="104"/>
      <c r="D16" s="224"/>
      <c r="E16" s="104"/>
      <c r="F16" s="108"/>
    </row>
    <row r="17" spans="2:6" ht="15" customHeight="1">
      <c r="B17" s="221"/>
      <c r="C17" s="104"/>
      <c r="D17" s="224"/>
      <c r="E17" s="104"/>
      <c r="F17" s="108"/>
    </row>
    <row r="18" spans="2:6" ht="15" customHeight="1">
      <c r="B18" s="221"/>
      <c r="C18" s="104"/>
      <c r="D18" s="224"/>
      <c r="E18" s="104"/>
      <c r="F18" s="104"/>
    </row>
    <row r="19" spans="2:6" ht="15" customHeight="1">
      <c r="B19" s="221"/>
      <c r="C19" s="104"/>
      <c r="D19" s="224"/>
      <c r="E19" s="104"/>
      <c r="F19" s="104"/>
    </row>
    <row r="20" spans="2:6" ht="15" customHeight="1">
      <c r="B20" s="221"/>
      <c r="C20" s="104"/>
      <c r="D20" s="224"/>
      <c r="E20" s="104"/>
      <c r="F20" s="104"/>
    </row>
    <row r="21" spans="2:6" ht="15" customHeight="1" thickBot="1">
      <c r="B21" s="221"/>
      <c r="C21" s="104"/>
      <c r="D21" s="224"/>
      <c r="E21" s="104"/>
      <c r="F21" s="104"/>
    </row>
    <row r="22" spans="2:6" ht="15" customHeight="1">
      <c r="B22" s="221"/>
      <c r="C22" s="104"/>
      <c r="D22" s="224"/>
      <c r="E22" s="104"/>
      <c r="F22" s="223" t="s">
        <v>57</v>
      </c>
    </row>
    <row r="23" spans="2:6" ht="15" customHeight="1" thickBot="1">
      <c r="B23" s="221"/>
      <c r="C23" s="104"/>
      <c r="D23" s="225"/>
      <c r="E23" s="104"/>
      <c r="F23" s="224"/>
    </row>
    <row r="24" spans="2:6" ht="15" customHeight="1">
      <c r="B24" s="221"/>
      <c r="C24" s="104"/>
      <c r="D24" s="104"/>
      <c r="E24" s="104"/>
      <c r="F24" s="224"/>
    </row>
    <row r="25" spans="2:6" ht="15" customHeight="1" thickBot="1">
      <c r="B25" s="221"/>
      <c r="C25" s="104"/>
      <c r="D25" s="104"/>
      <c r="E25" s="104"/>
      <c r="F25" s="225"/>
    </row>
    <row r="26" spans="2:6" ht="15" customHeight="1">
      <c r="B26" s="221"/>
      <c r="C26" s="104"/>
      <c r="D26" s="223" t="s">
        <v>61</v>
      </c>
      <c r="E26" s="104"/>
      <c r="F26" s="104"/>
    </row>
    <row r="27" spans="2:6" ht="15" customHeight="1" thickBot="1">
      <c r="B27" s="221"/>
      <c r="C27" s="104"/>
      <c r="D27" s="224"/>
      <c r="E27" s="104"/>
      <c r="F27" s="115"/>
    </row>
    <row r="28" spans="2:6" ht="15" customHeight="1">
      <c r="B28" s="221"/>
      <c r="C28" s="104"/>
      <c r="D28" s="224"/>
      <c r="E28" s="104"/>
      <c r="F28" s="223" t="s">
        <v>58</v>
      </c>
    </row>
    <row r="29" spans="2:6" ht="15" customHeight="1">
      <c r="B29" s="221"/>
      <c r="C29" s="104"/>
      <c r="D29" s="224"/>
      <c r="E29" s="104"/>
      <c r="F29" s="224"/>
    </row>
    <row r="30" spans="2:6" ht="15" customHeight="1">
      <c r="B30" s="221"/>
      <c r="C30" s="104"/>
      <c r="D30" s="224"/>
      <c r="E30" s="104"/>
      <c r="F30" s="224"/>
    </row>
    <row r="31" spans="2:6" ht="15" customHeight="1">
      <c r="B31" s="221"/>
      <c r="C31" s="104"/>
      <c r="D31" s="224"/>
      <c r="E31" s="104"/>
      <c r="F31" s="224"/>
    </row>
    <row r="32" spans="2:6" ht="15" customHeight="1">
      <c r="B32" s="221"/>
      <c r="C32" s="104"/>
      <c r="D32" s="224"/>
      <c r="E32" s="104"/>
      <c r="F32" s="224"/>
    </row>
    <row r="33" spans="2:6" ht="15" customHeight="1" thickBot="1">
      <c r="B33" s="222"/>
      <c r="C33" s="104"/>
      <c r="D33" s="225"/>
      <c r="E33" s="104"/>
      <c r="F33" s="225"/>
    </row>
    <row r="34" spans="2:6" ht="18" thickBot="1">
      <c r="B34" s="126"/>
      <c r="C34" s="127"/>
      <c r="D34" s="127"/>
      <c r="E34" s="127"/>
      <c r="F34" s="127"/>
    </row>
    <row r="35" spans="2:6" ht="13" thickTop="1">
      <c r="B35" s="104"/>
      <c r="C35" s="104"/>
      <c r="D35" s="104"/>
      <c r="E35" s="104"/>
      <c r="F35" s="104"/>
    </row>
  </sheetData>
  <mergeCells count="7">
    <mergeCell ref="B3:F6"/>
    <mergeCell ref="B7:F10"/>
    <mergeCell ref="B12:B33"/>
    <mergeCell ref="D26:D33"/>
    <mergeCell ref="D12:D23"/>
    <mergeCell ref="F22:F25"/>
    <mergeCell ref="F28:F33"/>
  </mergeCells>
  <phoneticPr fontId="56" type="noConversion"/>
  <printOptions horizontalCentered="1" verticalCentered="1"/>
  <pageMargins left="0.78740157480314965" right="0.78740157480314965" top="0.98425196850393704" bottom="0.98425196850393704" header="0.51181102362204722" footer="0.51181102362204722"/>
  <pageSetup paperSize="9" scale="86" orientation="portrait"/>
  <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13"/>
  <sheetViews>
    <sheetView workbookViewId="0"/>
  </sheetViews>
  <sheetFormatPr baseColWidth="10" defaultRowHeight="15" x14ac:dyDescent="0"/>
  <cols>
    <col min="1" max="2" width="10.83203125" style="41"/>
    <col min="3" max="3" width="36" style="41" customWidth="1"/>
    <col min="4" max="16384" width="10.83203125" style="41"/>
  </cols>
  <sheetData>
    <row r="1" spans="3:8" ht="16" thickBot="1"/>
    <row r="2" spans="3:8" ht="31" thickTop="1">
      <c r="C2" s="173"/>
      <c r="D2" s="174"/>
      <c r="E2" s="174"/>
      <c r="F2" s="175" t="s">
        <v>46</v>
      </c>
      <c r="G2" s="174"/>
      <c r="H2" s="176" t="s">
        <v>49</v>
      </c>
    </row>
    <row r="3" spans="3:8">
      <c r="C3" s="177" t="s">
        <v>52</v>
      </c>
      <c r="D3" s="178"/>
      <c r="E3" s="178"/>
      <c r="F3" s="179">
        <f>ROUND(H3/E13,-3)</f>
        <v>52000</v>
      </c>
      <c r="G3" s="178"/>
      <c r="H3" s="180">
        <f>0.85*80000</f>
        <v>68000</v>
      </c>
    </row>
    <row r="4" spans="3:8">
      <c r="C4" s="177" t="s">
        <v>45</v>
      </c>
      <c r="D4" s="178"/>
      <c r="E4" s="178"/>
      <c r="F4" s="179">
        <f>ROUND(H4/E13,-3)</f>
        <v>73000</v>
      </c>
      <c r="G4" s="181">
        <f>F4/F3</f>
        <v>1.4038461538461537</v>
      </c>
      <c r="H4" s="182">
        <f>H3*0.3*4.4/(1-0.06)</f>
        <v>95489.361702127659</v>
      </c>
    </row>
    <row r="5" spans="3:8">
      <c r="C5" s="177" t="s">
        <v>47</v>
      </c>
      <c r="D5" s="178"/>
      <c r="E5" s="178"/>
      <c r="F5" s="179">
        <f>ROUND(F4*G5,-2)</f>
        <v>5800</v>
      </c>
      <c r="G5" s="183">
        <v>0.08</v>
      </c>
      <c r="H5" s="182">
        <f>F5*E$13</f>
        <v>7540</v>
      </c>
    </row>
    <row r="6" spans="3:8">
      <c r="C6" s="177" t="s">
        <v>48</v>
      </c>
      <c r="D6" s="178"/>
      <c r="E6" s="178"/>
      <c r="F6" s="179">
        <f>1800</f>
        <v>1800</v>
      </c>
      <c r="G6" s="181">
        <f>F6/F5</f>
        <v>0.31034482758620691</v>
      </c>
      <c r="H6" s="182">
        <f>F6*E$13</f>
        <v>2340</v>
      </c>
    </row>
    <row r="7" spans="3:8">
      <c r="C7" s="177" t="s">
        <v>53</v>
      </c>
      <c r="D7" s="178"/>
      <c r="E7" s="178"/>
      <c r="F7" s="179">
        <f>F5-F6</f>
        <v>4000</v>
      </c>
      <c r="G7" s="178"/>
      <c r="H7" s="182">
        <f>H5-H6</f>
        <v>5200</v>
      </c>
    </row>
    <row r="8" spans="3:8">
      <c r="C8" s="177"/>
      <c r="D8" s="178"/>
      <c r="E8" s="178"/>
      <c r="F8" s="178"/>
      <c r="G8" s="178"/>
      <c r="H8" s="180"/>
    </row>
    <row r="9" spans="3:8">
      <c r="C9" s="177" t="s">
        <v>54</v>
      </c>
      <c r="D9" s="178"/>
      <c r="E9" s="178"/>
      <c r="F9" s="179">
        <f>'Données-G1'!P14/E13+F10</f>
        <v>18445.806000000004</v>
      </c>
      <c r="G9" s="178"/>
      <c r="H9" s="182">
        <f>F9*$E$13</f>
        <v>23979.547800000008</v>
      </c>
    </row>
    <row r="10" spans="3:8" ht="16" thickBot="1">
      <c r="C10" s="184" t="s">
        <v>55</v>
      </c>
      <c r="D10" s="185"/>
      <c r="E10" s="185"/>
      <c r="F10" s="186">
        <f>ROUND(F6*0.56+F7*0.25,-2)</f>
        <v>2000</v>
      </c>
      <c r="G10" s="187">
        <f>F10/F9</f>
        <v>0.10842573103067438</v>
      </c>
      <c r="H10" s="188">
        <f>F10*$E$13</f>
        <v>2600</v>
      </c>
    </row>
    <row r="11" spans="3:8" ht="16" thickTop="1"/>
    <row r="13" spans="3:8">
      <c r="D13" s="41" t="s">
        <v>50</v>
      </c>
      <c r="E13" s="41">
        <v>1.3</v>
      </c>
      <c r="F13" s="41" t="s">
        <v>51</v>
      </c>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4"/>
  <sheetViews>
    <sheetView workbookViewId="0">
      <selection activeCell="B3" sqref="B3:H6"/>
    </sheetView>
  </sheetViews>
  <sheetFormatPr baseColWidth="10" defaultRowHeight="12" x14ac:dyDescent="0"/>
  <cols>
    <col min="1" max="1" width="20.6640625" style="43" customWidth="1"/>
    <col min="2" max="2" width="22.6640625" style="43" customWidth="1"/>
    <col min="3" max="3" width="5.6640625" style="43" customWidth="1"/>
    <col min="4" max="4" width="22.6640625" style="43" customWidth="1"/>
    <col min="5" max="5" width="5.6640625" style="43" customWidth="1"/>
    <col min="6" max="6" width="22.6640625" style="43" customWidth="1"/>
    <col min="7" max="7" width="5.6640625" style="43" customWidth="1"/>
    <col min="8" max="8" width="22.6640625" style="43" customWidth="1"/>
    <col min="9" max="10" width="20.6640625" style="43" customWidth="1"/>
    <col min="11" max="16384" width="10.83203125" style="43"/>
  </cols>
  <sheetData>
    <row r="2" spans="2:10" ht="13" thickBot="1">
      <c r="B2" s="42"/>
      <c r="C2" s="42"/>
      <c r="D2" s="42"/>
      <c r="E2" s="42"/>
      <c r="F2" s="42"/>
      <c r="G2" s="42"/>
      <c r="H2" s="42"/>
    </row>
    <row r="3" spans="2:10" ht="13" customHeight="1" thickTop="1">
      <c r="B3" s="201" t="s">
        <v>107</v>
      </c>
      <c r="C3" s="201"/>
      <c r="D3" s="201"/>
      <c r="E3" s="201"/>
      <c r="F3" s="201"/>
      <c r="G3" s="201"/>
      <c r="H3" s="201"/>
    </row>
    <row r="4" spans="2:10" ht="12" customHeight="1">
      <c r="B4" s="202"/>
      <c r="C4" s="202"/>
      <c r="D4" s="202"/>
      <c r="E4" s="202"/>
      <c r="F4" s="202"/>
      <c r="G4" s="202"/>
      <c r="H4" s="202"/>
      <c r="J4" s="103"/>
    </row>
    <row r="5" spans="2:10" ht="12" customHeight="1">
      <c r="B5" s="202"/>
      <c r="C5" s="202"/>
      <c r="D5" s="202"/>
      <c r="E5" s="202"/>
      <c r="F5" s="202"/>
      <c r="G5" s="202"/>
      <c r="H5" s="202"/>
      <c r="J5" s="103"/>
    </row>
    <row r="6" spans="2:10" ht="12" customHeight="1">
      <c r="B6" s="203"/>
      <c r="C6" s="203"/>
      <c r="D6" s="203"/>
      <c r="E6" s="203"/>
      <c r="F6" s="203"/>
      <c r="G6" s="203"/>
      <c r="H6" s="203"/>
    </row>
    <row r="7" spans="2:10" ht="12" customHeight="1">
      <c r="B7" s="238" t="s">
        <v>188</v>
      </c>
      <c r="C7" s="238"/>
      <c r="D7" s="238"/>
      <c r="E7" s="238"/>
      <c r="F7" s="238"/>
      <c r="G7" s="238"/>
      <c r="H7" s="238"/>
    </row>
    <row r="8" spans="2:10" ht="12" customHeight="1">
      <c r="B8" s="239"/>
      <c r="C8" s="239"/>
      <c r="D8" s="239"/>
      <c r="E8" s="239"/>
      <c r="F8" s="239"/>
      <c r="G8" s="239"/>
      <c r="H8" s="239"/>
    </row>
    <row r="9" spans="2:10" ht="12" customHeight="1">
      <c r="B9" s="239"/>
      <c r="C9" s="239"/>
      <c r="D9" s="239"/>
      <c r="E9" s="239"/>
      <c r="F9" s="239"/>
      <c r="G9" s="239"/>
      <c r="H9" s="239"/>
    </row>
    <row r="10" spans="2:10" ht="12" customHeight="1">
      <c r="B10" s="240"/>
      <c r="C10" s="240"/>
      <c r="D10" s="240"/>
      <c r="E10" s="240"/>
      <c r="F10" s="240"/>
      <c r="G10" s="240"/>
      <c r="H10" s="240"/>
    </row>
    <row r="11" spans="2:10" ht="24" customHeight="1" thickBot="1">
      <c r="B11" s="104"/>
      <c r="C11" s="104"/>
      <c r="D11" s="104"/>
      <c r="E11" s="104"/>
      <c r="F11" s="104"/>
      <c r="G11" s="104"/>
      <c r="H11" s="104"/>
    </row>
    <row r="12" spans="2:10" ht="16" customHeight="1">
      <c r="B12" s="229" t="s">
        <v>143</v>
      </c>
      <c r="C12" s="230"/>
      <c r="D12" s="230"/>
      <c r="E12" s="230"/>
      <c r="F12" s="230"/>
      <c r="G12" s="230"/>
      <c r="H12" s="231"/>
    </row>
    <row r="13" spans="2:10" ht="16" customHeight="1">
      <c r="B13" s="232"/>
      <c r="C13" s="233"/>
      <c r="D13" s="233"/>
      <c r="E13" s="233"/>
      <c r="F13" s="233"/>
      <c r="G13" s="233"/>
      <c r="H13" s="234"/>
    </row>
    <row r="14" spans="2:10" ht="16" customHeight="1">
      <c r="B14" s="232"/>
      <c r="C14" s="233"/>
      <c r="D14" s="233"/>
      <c r="E14" s="233"/>
      <c r="F14" s="233"/>
      <c r="G14" s="233"/>
      <c r="H14" s="234"/>
    </row>
    <row r="15" spans="2:10" ht="16" customHeight="1" thickBot="1">
      <c r="B15" s="235"/>
      <c r="C15" s="236"/>
      <c r="D15" s="236"/>
      <c r="E15" s="236"/>
      <c r="F15" s="236"/>
      <c r="G15" s="236"/>
      <c r="H15" s="237"/>
    </row>
    <row r="16" spans="2:10" ht="16" customHeight="1">
      <c r="B16" s="105"/>
      <c r="C16" s="105"/>
      <c r="D16" s="105"/>
      <c r="E16" s="105"/>
      <c r="F16" s="105"/>
      <c r="G16" s="105"/>
      <c r="H16" s="105"/>
    </row>
    <row r="17" spans="2:8" ht="16" customHeight="1" thickBot="1">
      <c r="B17" s="105"/>
      <c r="C17" s="105"/>
      <c r="D17" s="104"/>
      <c r="E17" s="106"/>
      <c r="F17" s="104"/>
      <c r="G17" s="104"/>
      <c r="H17" s="104"/>
    </row>
    <row r="18" spans="2:8" ht="16" customHeight="1">
      <c r="B18" s="241" t="s">
        <v>174</v>
      </c>
      <c r="C18" s="107"/>
      <c r="D18" s="243" t="s">
        <v>175</v>
      </c>
      <c r="E18" s="244"/>
      <c r="F18" s="244"/>
      <c r="G18" s="244"/>
      <c r="H18" s="245"/>
    </row>
    <row r="19" spans="2:8" ht="16" customHeight="1">
      <c r="B19" s="220"/>
      <c r="C19" s="105"/>
      <c r="D19" s="246"/>
      <c r="E19" s="247"/>
      <c r="F19" s="247"/>
      <c r="G19" s="247"/>
      <c r="H19" s="248"/>
    </row>
    <row r="20" spans="2:8" ht="16" customHeight="1">
      <c r="B20" s="220"/>
      <c r="C20" s="105"/>
      <c r="D20" s="246"/>
      <c r="E20" s="247"/>
      <c r="F20" s="247"/>
      <c r="G20" s="247"/>
      <c r="H20" s="248"/>
    </row>
    <row r="21" spans="2:8" ht="16" customHeight="1" thickBot="1">
      <c r="B21" s="242"/>
      <c r="C21" s="105"/>
      <c r="D21" s="249"/>
      <c r="E21" s="250"/>
      <c r="F21" s="250"/>
      <c r="G21" s="250"/>
      <c r="H21" s="251"/>
    </row>
    <row r="22" spans="2:8" ht="16" customHeight="1">
      <c r="B22" s="105"/>
      <c r="C22" s="105"/>
      <c r="D22" s="104"/>
      <c r="E22" s="106"/>
      <c r="F22" s="104"/>
      <c r="G22" s="104"/>
      <c r="H22" s="104"/>
    </row>
    <row r="23" spans="2:8" ht="16" customHeight="1" thickBot="1">
      <c r="B23" s="105"/>
      <c r="C23" s="105"/>
      <c r="D23" s="104"/>
      <c r="E23" s="106"/>
      <c r="F23" s="104"/>
      <c r="G23" s="104"/>
      <c r="H23" s="104"/>
    </row>
    <row r="24" spans="2:8" ht="16" customHeight="1">
      <c r="B24" s="105"/>
      <c r="C24" s="105"/>
      <c r="D24" s="243" t="s">
        <v>147</v>
      </c>
      <c r="E24" s="244"/>
      <c r="F24" s="244"/>
      <c r="G24" s="244"/>
      <c r="H24" s="245"/>
    </row>
    <row r="25" spans="2:8" ht="16" customHeight="1">
      <c r="B25" s="105"/>
      <c r="C25" s="105"/>
      <c r="D25" s="246"/>
      <c r="E25" s="247"/>
      <c r="F25" s="247"/>
      <c r="G25" s="247"/>
      <c r="H25" s="248"/>
    </row>
    <row r="26" spans="2:8" ht="16" customHeight="1">
      <c r="B26" s="105"/>
      <c r="C26" s="105"/>
      <c r="D26" s="246"/>
      <c r="E26" s="247"/>
      <c r="F26" s="247"/>
      <c r="G26" s="247"/>
      <c r="H26" s="248"/>
    </row>
    <row r="27" spans="2:8" ht="16" customHeight="1" thickBot="1">
      <c r="B27" s="105"/>
      <c r="C27" s="105"/>
      <c r="D27" s="249"/>
      <c r="E27" s="250"/>
      <c r="F27" s="250"/>
      <c r="G27" s="250"/>
      <c r="H27" s="251"/>
    </row>
    <row r="28" spans="2:8" ht="16" customHeight="1">
      <c r="B28" s="105"/>
      <c r="C28" s="105"/>
      <c r="D28" s="104"/>
      <c r="E28" s="106"/>
      <c r="F28" s="104"/>
      <c r="G28" s="104"/>
      <c r="H28" s="104"/>
    </row>
    <row r="29" spans="2:8" ht="16" customHeight="1" thickBot="1">
      <c r="B29" s="105"/>
      <c r="C29" s="105"/>
      <c r="D29" s="104"/>
      <c r="E29" s="106"/>
      <c r="F29" s="104"/>
      <c r="G29" s="104"/>
      <c r="H29" s="104"/>
    </row>
    <row r="30" spans="2:8" ht="16" customHeight="1">
      <c r="B30" s="105"/>
      <c r="C30" s="105"/>
      <c r="D30" s="226" t="s">
        <v>144</v>
      </c>
      <c r="E30" s="106"/>
      <c r="F30" s="226" t="s">
        <v>145</v>
      </c>
      <c r="G30" s="104"/>
      <c r="H30" s="226" t="s">
        <v>146</v>
      </c>
    </row>
    <row r="31" spans="2:8" ht="16" customHeight="1">
      <c r="B31" s="105"/>
      <c r="C31" s="105"/>
      <c r="D31" s="227"/>
      <c r="E31" s="106"/>
      <c r="F31" s="227"/>
      <c r="G31" s="104"/>
      <c r="H31" s="227"/>
    </row>
    <row r="32" spans="2:8" ht="16" customHeight="1">
      <c r="B32" s="105"/>
      <c r="C32" s="105"/>
      <c r="D32" s="227"/>
      <c r="E32" s="106"/>
      <c r="F32" s="227"/>
      <c r="G32" s="104"/>
      <c r="H32" s="227"/>
    </row>
    <row r="33" spans="2:8" ht="16" customHeight="1">
      <c r="B33" s="105"/>
      <c r="C33" s="105"/>
      <c r="D33" s="227"/>
      <c r="E33" s="106"/>
      <c r="F33" s="227"/>
      <c r="G33" s="104"/>
      <c r="H33" s="227"/>
    </row>
    <row r="34" spans="2:8" ht="16" customHeight="1">
      <c r="B34" s="105"/>
      <c r="C34" s="105"/>
      <c r="D34" s="227"/>
      <c r="E34" s="106"/>
      <c r="F34" s="227"/>
      <c r="G34" s="104"/>
      <c r="H34" s="227"/>
    </row>
    <row r="35" spans="2:8" ht="16" customHeight="1">
      <c r="B35" s="105"/>
      <c r="C35" s="105"/>
      <c r="D35" s="227"/>
      <c r="E35" s="106"/>
      <c r="F35" s="227"/>
      <c r="G35" s="104"/>
      <c r="H35" s="227"/>
    </row>
    <row r="36" spans="2:8" ht="16" customHeight="1">
      <c r="B36" s="105"/>
      <c r="C36" s="105"/>
      <c r="D36" s="227"/>
      <c r="E36" s="106"/>
      <c r="F36" s="227"/>
      <c r="G36" s="104"/>
      <c r="H36" s="227"/>
    </row>
    <row r="37" spans="2:8" ht="16" customHeight="1">
      <c r="B37" s="105"/>
      <c r="C37" s="105"/>
      <c r="D37" s="227"/>
      <c r="E37" s="106"/>
      <c r="F37" s="227"/>
      <c r="G37" s="104"/>
      <c r="H37" s="227"/>
    </row>
    <row r="38" spans="2:8" ht="16" customHeight="1">
      <c r="B38" s="105"/>
      <c r="C38" s="105"/>
      <c r="D38" s="227"/>
      <c r="E38" s="106"/>
      <c r="F38" s="227"/>
      <c r="G38" s="104"/>
      <c r="H38" s="227"/>
    </row>
    <row r="39" spans="2:8" ht="16" customHeight="1">
      <c r="B39" s="105"/>
      <c r="C39" s="105"/>
      <c r="D39" s="227"/>
      <c r="E39" s="106"/>
      <c r="F39" s="227"/>
      <c r="G39" s="104"/>
      <c r="H39" s="227"/>
    </row>
    <row r="40" spans="2:8" ht="16" customHeight="1">
      <c r="B40" s="105"/>
      <c r="C40" s="105"/>
      <c r="D40" s="227"/>
      <c r="E40" s="106"/>
      <c r="F40" s="227"/>
      <c r="G40" s="104"/>
      <c r="H40" s="227"/>
    </row>
    <row r="41" spans="2:8" ht="16" customHeight="1" thickBot="1">
      <c r="B41" s="105"/>
      <c r="C41" s="105"/>
      <c r="D41" s="228"/>
      <c r="E41" s="106"/>
      <c r="F41" s="228"/>
      <c r="G41" s="104"/>
      <c r="H41" s="228"/>
    </row>
    <row r="42" spans="2:8" ht="24" customHeight="1">
      <c r="B42" s="130"/>
      <c r="C42" s="130"/>
      <c r="D42" s="108"/>
      <c r="E42" s="108"/>
      <c r="F42" s="108"/>
      <c r="G42" s="108"/>
      <c r="H42" s="108"/>
    </row>
    <row r="43" spans="2:8" ht="7" customHeight="1" thickBot="1">
      <c r="B43" s="127"/>
      <c r="C43" s="127"/>
      <c r="D43" s="127"/>
      <c r="E43" s="127"/>
      <c r="F43" s="127"/>
      <c r="G43" s="127"/>
      <c r="H43" s="127"/>
    </row>
    <row r="44" spans="2:8" ht="13" thickTop="1"/>
  </sheetData>
  <mergeCells count="9">
    <mergeCell ref="D30:D41"/>
    <mergeCell ref="H30:H41"/>
    <mergeCell ref="F30:F41"/>
    <mergeCell ref="B12:H15"/>
    <mergeCell ref="B3:H6"/>
    <mergeCell ref="B7:H10"/>
    <mergeCell ref="B18:B21"/>
    <mergeCell ref="D18:H21"/>
    <mergeCell ref="D24:H27"/>
  </mergeCells>
  <printOptions horizontalCentered="1" verticalCentered="1"/>
  <pageMargins left="0.78740157480314965" right="0.78740157480314965" top="0.98425196850393704" bottom="0.98425196850393704" header="0.51181102362204722" footer="0.51181102362204722"/>
  <pageSetup paperSize="9"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6"/>
  <sheetViews>
    <sheetView topLeftCell="A2" workbookViewId="0">
      <pane xSplit="1" ySplit="3" topLeftCell="B5" activePane="bottomRight" state="frozen"/>
      <selection activeCell="A2" sqref="A2"/>
      <selection pane="topRight" activeCell="A2" sqref="A2"/>
      <selection pane="bottomLeft" activeCell="A2" sqref="A2"/>
      <selection pane="bottomRight" activeCell="A2" sqref="A2"/>
    </sheetView>
  </sheetViews>
  <sheetFormatPr baseColWidth="10" defaultRowHeight="15" x14ac:dyDescent="0"/>
  <cols>
    <col min="1" max="1" width="16.33203125" style="85" customWidth="1"/>
    <col min="2" max="18" width="11" style="85" customWidth="1"/>
    <col min="19" max="16384" width="10.83203125" style="85"/>
  </cols>
  <sheetData>
    <row r="2" spans="1:18">
      <c r="N2" s="85" t="s">
        <v>109</v>
      </c>
      <c r="O2" s="85" t="s">
        <v>104</v>
      </c>
    </row>
    <row r="3" spans="1:18">
      <c r="N3" s="79">
        <v>0.06</v>
      </c>
      <c r="O3" s="86">
        <v>0.03</v>
      </c>
    </row>
    <row r="4" spans="1:18" s="87" customFormat="1" ht="118" customHeight="1">
      <c r="B4" s="87" t="s">
        <v>88</v>
      </c>
      <c r="C4" s="87" t="s">
        <v>89</v>
      </c>
      <c r="D4" s="87" t="s">
        <v>90</v>
      </c>
      <c r="E4" s="87" t="s">
        <v>91</v>
      </c>
      <c r="F4" s="87" t="s">
        <v>92</v>
      </c>
      <c r="G4" s="87" t="s">
        <v>93</v>
      </c>
      <c r="H4" s="87" t="s">
        <v>100</v>
      </c>
      <c r="I4" s="87" t="s">
        <v>101</v>
      </c>
      <c r="J4" s="87" t="s">
        <v>94</v>
      </c>
      <c r="K4" s="58" t="s">
        <v>95</v>
      </c>
      <c r="L4" s="87" t="s">
        <v>108</v>
      </c>
      <c r="M4" s="87" t="s">
        <v>96</v>
      </c>
      <c r="N4" s="87" t="s">
        <v>97</v>
      </c>
      <c r="O4" s="87" t="s">
        <v>98</v>
      </c>
      <c r="P4" s="87" t="s">
        <v>99</v>
      </c>
      <c r="Q4" s="87" t="s">
        <v>105</v>
      </c>
      <c r="R4" s="87" t="s">
        <v>106</v>
      </c>
    </row>
    <row r="5" spans="1:18">
      <c r="A5" s="85" t="s">
        <v>16</v>
      </c>
      <c r="B5" s="81">
        <f>'Données-T1'!B4</f>
        <v>1000</v>
      </c>
      <c r="C5" s="80">
        <f>B5/B$24</f>
        <v>0.55555555555555558</v>
      </c>
      <c r="D5" s="81">
        <f>E5*D$24</f>
        <v>1000</v>
      </c>
      <c r="E5" s="80">
        <v>0.25</v>
      </c>
      <c r="F5" s="81">
        <f t="shared" ref="F5:F23" si="0">B5+D5</f>
        <v>2000</v>
      </c>
      <c r="G5" s="80">
        <f>F5/F$24</f>
        <v>0.34482758620689657</v>
      </c>
      <c r="H5" s="80">
        <v>0.1</v>
      </c>
      <c r="I5" s="81">
        <f t="shared" ref="I5:I22" si="1">(1-H5)*F5</f>
        <v>1800</v>
      </c>
      <c r="J5" s="80"/>
      <c r="M5" s="81">
        <f>N5+O5+P5</f>
        <v>51.789370909090898</v>
      </c>
      <c r="N5" s="81">
        <f>SUM(N6:N17)</f>
        <v>30.781570909090906</v>
      </c>
      <c r="O5" s="81">
        <f>SUM(O6:O17)</f>
        <v>16.486199999999997</v>
      </c>
      <c r="P5" s="81">
        <f>SUM(P6:P17)</f>
        <v>4.5216000000000003</v>
      </c>
      <c r="Q5" s="81">
        <f>(N5+P5)</f>
        <v>35.303170909090909</v>
      </c>
      <c r="R5" s="80">
        <f>Q5/(N$3*I5)</f>
        <v>0.32688121212121213</v>
      </c>
    </row>
    <row r="6" spans="1:18">
      <c r="A6" s="88" t="s">
        <v>18</v>
      </c>
      <c r="B6" s="81">
        <f>'Données-T1'!B5</f>
        <v>200</v>
      </c>
      <c r="C6" s="80">
        <f t="shared" ref="C6:C24" si="2">B6/B$24</f>
        <v>0.1111111111111111</v>
      </c>
      <c r="D6" s="81">
        <f t="shared" ref="D6:D23" si="3">E6*D$24</f>
        <v>199.99999999999997</v>
      </c>
      <c r="E6" s="80">
        <f>E$5*C6/C$5</f>
        <v>4.9999999999999996E-2</v>
      </c>
      <c r="F6" s="81">
        <f t="shared" si="0"/>
        <v>400</v>
      </c>
      <c r="G6" s="80">
        <f t="shared" ref="G6:G24" si="4">F6/F$24</f>
        <v>6.8965517241379309E-2</v>
      </c>
      <c r="H6" s="80">
        <v>0.1</v>
      </c>
      <c r="I6" s="81">
        <f t="shared" si="1"/>
        <v>360</v>
      </c>
      <c r="J6" s="80">
        <v>0.26400000000000001</v>
      </c>
      <c r="K6" s="86">
        <v>0.3</v>
      </c>
      <c r="L6" s="86">
        <v>0</v>
      </c>
      <c r="M6" s="81">
        <f t="shared" ref="M6:M24" si="5">N6+O6+P6</f>
        <v>8.9423999999999992</v>
      </c>
      <c r="N6" s="81">
        <f t="shared" ref="N6:N23" si="6">N$3*J6*I6</f>
        <v>5.7023999999999999</v>
      </c>
      <c r="O6" s="81">
        <f t="shared" ref="O6:O23" si="7">I6*O$3*K6</f>
        <v>3.2399999999999998</v>
      </c>
      <c r="P6" s="81">
        <f>L6*I6</f>
        <v>0</v>
      </c>
      <c r="Q6" s="81">
        <f t="shared" ref="Q6:Q24" si="8">(N6+P6)</f>
        <v>5.7023999999999999</v>
      </c>
      <c r="R6" s="80">
        <f t="shared" ref="R6:R24" si="9">Q6/(N$3*I6)</f>
        <v>0.26400000000000001</v>
      </c>
    </row>
    <row r="7" spans="1:18">
      <c r="A7" s="88" t="s">
        <v>19</v>
      </c>
      <c r="B7" s="81">
        <f>'Données-T1'!B6</f>
        <v>180</v>
      </c>
      <c r="C7" s="80">
        <f t="shared" si="2"/>
        <v>0.1</v>
      </c>
      <c r="D7" s="81">
        <f t="shared" si="3"/>
        <v>180</v>
      </c>
      <c r="E7" s="80">
        <f t="shared" ref="E7:E17" si="10">E$5*C7/C$5</f>
        <v>4.4999999999999998E-2</v>
      </c>
      <c r="F7" s="81">
        <f t="shared" si="0"/>
        <v>360</v>
      </c>
      <c r="G7" s="80">
        <f t="shared" si="4"/>
        <v>6.2068965517241378E-2</v>
      </c>
      <c r="H7" s="80">
        <v>0.1</v>
      </c>
      <c r="I7" s="81">
        <f t="shared" si="1"/>
        <v>324</v>
      </c>
      <c r="J7" s="94">
        <v>0.44</v>
      </c>
      <c r="K7" s="86">
        <v>0.45</v>
      </c>
      <c r="L7" s="89">
        <f>'Données-G2'!P48</f>
        <v>1.34E-2</v>
      </c>
      <c r="M7" s="81">
        <f t="shared" si="5"/>
        <v>17.269199999999998</v>
      </c>
      <c r="N7" s="81">
        <f t="shared" si="6"/>
        <v>8.5535999999999994</v>
      </c>
      <c r="O7" s="81">
        <f t="shared" si="7"/>
        <v>4.3739999999999997</v>
      </c>
      <c r="P7" s="81">
        <f t="shared" ref="P7:P23" si="11">L7*I7</f>
        <v>4.3416000000000006</v>
      </c>
      <c r="Q7" s="81">
        <f t="shared" si="8"/>
        <v>12.895199999999999</v>
      </c>
      <c r="R7" s="80">
        <f t="shared" si="9"/>
        <v>0.66333333333333333</v>
      </c>
    </row>
    <row r="8" spans="1:18">
      <c r="A8" s="90" t="s">
        <v>21</v>
      </c>
      <c r="B8" s="81">
        <f>'Données-T1'!B7</f>
        <v>120</v>
      </c>
      <c r="C8" s="80">
        <f t="shared" si="2"/>
        <v>6.6666666666666666E-2</v>
      </c>
      <c r="D8" s="81">
        <f t="shared" si="3"/>
        <v>120</v>
      </c>
      <c r="E8" s="80">
        <f t="shared" si="10"/>
        <v>0.03</v>
      </c>
      <c r="F8" s="81">
        <f t="shared" si="0"/>
        <v>240</v>
      </c>
      <c r="G8" s="80">
        <f t="shared" si="4"/>
        <v>4.1379310344827586E-2</v>
      </c>
      <c r="H8" s="80">
        <v>0.1</v>
      </c>
      <c r="I8" s="81">
        <f t="shared" si="1"/>
        <v>216</v>
      </c>
      <c r="J8" s="80">
        <v>0.2</v>
      </c>
      <c r="K8" s="86">
        <v>0.04</v>
      </c>
      <c r="L8" s="86">
        <v>0</v>
      </c>
      <c r="M8" s="81">
        <f t="shared" si="5"/>
        <v>2.8512</v>
      </c>
      <c r="N8" s="81">
        <f t="shared" si="6"/>
        <v>2.5920000000000001</v>
      </c>
      <c r="O8" s="81">
        <f t="shared" si="7"/>
        <v>0.25919999999999999</v>
      </c>
      <c r="P8" s="81">
        <f t="shared" si="11"/>
        <v>0</v>
      </c>
      <c r="Q8" s="81">
        <f t="shared" si="8"/>
        <v>2.5920000000000001</v>
      </c>
      <c r="R8" s="80">
        <f t="shared" si="9"/>
        <v>0.2</v>
      </c>
    </row>
    <row r="9" spans="1:18">
      <c r="A9" s="88" t="s">
        <v>20</v>
      </c>
      <c r="B9" s="81">
        <f>'Données-T1'!B8</f>
        <v>110</v>
      </c>
      <c r="C9" s="80">
        <f t="shared" si="2"/>
        <v>6.1111111111111109E-2</v>
      </c>
      <c r="D9" s="81">
        <f t="shared" si="3"/>
        <v>109.99999999999999</v>
      </c>
      <c r="E9" s="80">
        <f t="shared" si="10"/>
        <v>2.7499999999999997E-2</v>
      </c>
      <c r="F9" s="81">
        <f t="shared" si="0"/>
        <v>220</v>
      </c>
      <c r="G9" s="80">
        <f t="shared" si="4"/>
        <v>3.793103448275862E-2</v>
      </c>
      <c r="H9" s="80">
        <v>0.1</v>
      </c>
      <c r="I9" s="81">
        <f t="shared" si="1"/>
        <v>198</v>
      </c>
      <c r="J9" s="80">
        <v>0.30599999999999999</v>
      </c>
      <c r="K9" s="86">
        <v>0.4</v>
      </c>
      <c r="L9" s="86">
        <v>0</v>
      </c>
      <c r="M9" s="81">
        <f t="shared" si="5"/>
        <v>6.0112799999999993</v>
      </c>
      <c r="N9" s="81">
        <f t="shared" si="6"/>
        <v>3.6352799999999994</v>
      </c>
      <c r="O9" s="81">
        <f t="shared" si="7"/>
        <v>2.3759999999999999</v>
      </c>
      <c r="P9" s="81">
        <f t="shared" si="11"/>
        <v>0</v>
      </c>
      <c r="Q9" s="81">
        <f t="shared" si="8"/>
        <v>3.6352799999999994</v>
      </c>
      <c r="R9" s="80">
        <f t="shared" si="9"/>
        <v>0.30599999999999999</v>
      </c>
    </row>
    <row r="10" spans="1:18">
      <c r="A10" s="88" t="s">
        <v>22</v>
      </c>
      <c r="B10" s="81">
        <f>'Données-T1'!B9</f>
        <v>80</v>
      </c>
      <c r="C10" s="80">
        <f t="shared" si="2"/>
        <v>4.4444444444444446E-2</v>
      </c>
      <c r="D10" s="81">
        <f t="shared" si="3"/>
        <v>80</v>
      </c>
      <c r="E10" s="80">
        <f t="shared" si="10"/>
        <v>0.02</v>
      </c>
      <c r="F10" s="81">
        <f t="shared" si="0"/>
        <v>160</v>
      </c>
      <c r="G10" s="80">
        <f t="shared" si="4"/>
        <v>2.7586206896551724E-2</v>
      </c>
      <c r="H10" s="80">
        <v>0.1</v>
      </c>
      <c r="I10" s="81">
        <f t="shared" si="1"/>
        <v>144</v>
      </c>
      <c r="J10" s="80">
        <v>0.27</v>
      </c>
      <c r="K10" s="86">
        <v>0.34</v>
      </c>
      <c r="L10" s="86">
        <v>0</v>
      </c>
      <c r="M10" s="81">
        <f t="shared" si="5"/>
        <v>3.8015999999999996</v>
      </c>
      <c r="N10" s="81">
        <f t="shared" si="6"/>
        <v>2.3327999999999998</v>
      </c>
      <c r="O10" s="81">
        <f t="shared" si="7"/>
        <v>1.4688000000000001</v>
      </c>
      <c r="P10" s="81">
        <f t="shared" si="11"/>
        <v>0</v>
      </c>
      <c r="Q10" s="81">
        <f t="shared" si="8"/>
        <v>2.3327999999999998</v>
      </c>
      <c r="R10" s="80">
        <f t="shared" si="9"/>
        <v>0.26999999999999996</v>
      </c>
    </row>
    <row r="11" spans="1:18">
      <c r="A11" s="88" t="s">
        <v>23</v>
      </c>
      <c r="B11" s="81">
        <f>'Données-T1'!B10</f>
        <v>60</v>
      </c>
      <c r="C11" s="80">
        <f t="shared" si="2"/>
        <v>3.3333333333333333E-2</v>
      </c>
      <c r="D11" s="81">
        <f t="shared" si="3"/>
        <v>60</v>
      </c>
      <c r="E11" s="80">
        <f t="shared" si="10"/>
        <v>1.4999999999999999E-2</v>
      </c>
      <c r="F11" s="81">
        <f t="shared" si="0"/>
        <v>120</v>
      </c>
      <c r="G11" s="80">
        <f t="shared" si="4"/>
        <v>2.0689655172413793E-2</v>
      </c>
      <c r="H11" s="80">
        <v>0.1</v>
      </c>
      <c r="I11" s="81">
        <f t="shared" si="1"/>
        <v>108</v>
      </c>
      <c r="J11" s="80">
        <v>0.1</v>
      </c>
      <c r="K11" s="86">
        <v>0.2</v>
      </c>
      <c r="L11" s="86">
        <v>0</v>
      </c>
      <c r="M11" s="81">
        <f t="shared" si="5"/>
        <v>1.296</v>
      </c>
      <c r="N11" s="81">
        <f t="shared" si="6"/>
        <v>0.64800000000000002</v>
      </c>
      <c r="O11" s="81">
        <f t="shared" si="7"/>
        <v>0.64800000000000002</v>
      </c>
      <c r="P11" s="81">
        <f t="shared" si="11"/>
        <v>0</v>
      </c>
      <c r="Q11" s="81">
        <f t="shared" si="8"/>
        <v>0.64800000000000002</v>
      </c>
      <c r="R11" s="80">
        <f t="shared" si="9"/>
        <v>0.1</v>
      </c>
    </row>
    <row r="12" spans="1:18">
      <c r="A12" s="88" t="s">
        <v>25</v>
      </c>
      <c r="B12" s="81">
        <f>'Données-T1'!B11</f>
        <v>60</v>
      </c>
      <c r="C12" s="80">
        <f t="shared" si="2"/>
        <v>3.3333333333333333E-2</v>
      </c>
      <c r="D12" s="81">
        <f t="shared" si="3"/>
        <v>60</v>
      </c>
      <c r="E12" s="80">
        <f t="shared" si="10"/>
        <v>1.4999999999999999E-2</v>
      </c>
      <c r="F12" s="81">
        <f t="shared" si="0"/>
        <v>120</v>
      </c>
      <c r="G12" s="80">
        <f t="shared" si="4"/>
        <v>2.0689655172413793E-2</v>
      </c>
      <c r="H12" s="80">
        <v>0.1</v>
      </c>
      <c r="I12" s="81">
        <f t="shared" si="1"/>
        <v>108</v>
      </c>
      <c r="J12" s="80">
        <v>0.25</v>
      </c>
      <c r="K12" s="86">
        <v>0.3</v>
      </c>
      <c r="L12" s="86">
        <v>0</v>
      </c>
      <c r="M12" s="81">
        <f t="shared" si="5"/>
        <v>2.5919999999999996</v>
      </c>
      <c r="N12" s="81">
        <f t="shared" si="6"/>
        <v>1.6199999999999999</v>
      </c>
      <c r="O12" s="81">
        <f t="shared" si="7"/>
        <v>0.97199999999999986</v>
      </c>
      <c r="P12" s="81">
        <f t="shared" si="11"/>
        <v>0</v>
      </c>
      <c r="Q12" s="81">
        <f t="shared" si="8"/>
        <v>1.6199999999999999</v>
      </c>
      <c r="R12" s="80">
        <f t="shared" si="9"/>
        <v>0.25</v>
      </c>
    </row>
    <row r="13" spans="1:18">
      <c r="A13" s="88" t="s">
        <v>24</v>
      </c>
      <c r="B13" s="81">
        <f>'Données-T1'!B12</f>
        <v>30</v>
      </c>
      <c r="C13" s="80">
        <f t="shared" si="2"/>
        <v>1.6666666666666666E-2</v>
      </c>
      <c r="D13" s="81">
        <f t="shared" si="3"/>
        <v>30</v>
      </c>
      <c r="E13" s="80">
        <f t="shared" si="10"/>
        <v>7.4999999999999997E-3</v>
      </c>
      <c r="F13" s="81">
        <f t="shared" si="0"/>
        <v>60</v>
      </c>
      <c r="G13" s="80">
        <f t="shared" si="4"/>
        <v>1.0344827586206896E-2</v>
      </c>
      <c r="H13" s="80">
        <v>0.1</v>
      </c>
      <c r="I13" s="81">
        <f t="shared" si="1"/>
        <v>54</v>
      </c>
      <c r="J13" s="80">
        <v>0.28000000000000003</v>
      </c>
      <c r="K13" s="86">
        <v>0</v>
      </c>
      <c r="L13" s="86">
        <v>0</v>
      </c>
      <c r="M13" s="81">
        <f t="shared" si="5"/>
        <v>0.90720000000000012</v>
      </c>
      <c r="N13" s="81">
        <f t="shared" si="6"/>
        <v>0.90720000000000012</v>
      </c>
      <c r="O13" s="81">
        <f t="shared" si="7"/>
        <v>0</v>
      </c>
      <c r="P13" s="81">
        <f t="shared" si="11"/>
        <v>0</v>
      </c>
      <c r="Q13" s="81">
        <f t="shared" si="8"/>
        <v>0.90720000000000012</v>
      </c>
      <c r="R13" s="80">
        <f t="shared" si="9"/>
        <v>0.28000000000000008</v>
      </c>
    </row>
    <row r="14" spans="1:18">
      <c r="A14" s="88" t="s">
        <v>31</v>
      </c>
      <c r="B14" s="81">
        <f>'Données-T1'!B13</f>
        <v>10</v>
      </c>
      <c r="C14" s="80">
        <f t="shared" si="2"/>
        <v>5.5555555555555558E-3</v>
      </c>
      <c r="D14" s="81">
        <f t="shared" si="3"/>
        <v>10</v>
      </c>
      <c r="E14" s="80">
        <f t="shared" si="10"/>
        <v>2.5000000000000001E-3</v>
      </c>
      <c r="F14" s="81">
        <f t="shared" si="0"/>
        <v>20</v>
      </c>
      <c r="G14" s="80">
        <f t="shared" si="4"/>
        <v>3.4482758620689655E-3</v>
      </c>
      <c r="H14" s="80">
        <v>0.1</v>
      </c>
      <c r="I14" s="81">
        <f t="shared" si="1"/>
        <v>18</v>
      </c>
      <c r="J14" s="80">
        <v>0.19</v>
      </c>
      <c r="K14" s="86">
        <v>0.03</v>
      </c>
      <c r="L14" s="86">
        <v>0</v>
      </c>
      <c r="M14" s="81">
        <f t="shared" si="5"/>
        <v>0.22139999999999999</v>
      </c>
      <c r="N14" s="81">
        <f t="shared" si="6"/>
        <v>0.20519999999999999</v>
      </c>
      <c r="O14" s="81">
        <f t="shared" si="7"/>
        <v>1.6199999999999999E-2</v>
      </c>
      <c r="P14" s="81">
        <f t="shared" si="11"/>
        <v>0</v>
      </c>
      <c r="Q14" s="81">
        <f t="shared" si="8"/>
        <v>0.20519999999999999</v>
      </c>
      <c r="R14" s="80">
        <f t="shared" si="9"/>
        <v>0.18999999999999997</v>
      </c>
    </row>
    <row r="15" spans="1:18">
      <c r="A15" s="88" t="s">
        <v>26</v>
      </c>
      <c r="B15" s="81">
        <f>'Données-T1'!B14</f>
        <v>10</v>
      </c>
      <c r="C15" s="80">
        <f t="shared" si="2"/>
        <v>5.5555555555555558E-3</v>
      </c>
      <c r="D15" s="81">
        <f t="shared" si="3"/>
        <v>10</v>
      </c>
      <c r="E15" s="80">
        <f t="shared" si="10"/>
        <v>2.5000000000000001E-3</v>
      </c>
      <c r="F15" s="81">
        <f t="shared" si="0"/>
        <v>20</v>
      </c>
      <c r="G15" s="80">
        <f t="shared" si="4"/>
        <v>3.4482758620689655E-3</v>
      </c>
      <c r="H15" s="80">
        <v>0.1</v>
      </c>
      <c r="I15" s="81">
        <f t="shared" si="1"/>
        <v>18</v>
      </c>
      <c r="J15" s="80">
        <v>0.3</v>
      </c>
      <c r="K15" s="86">
        <v>0</v>
      </c>
      <c r="L15" s="86">
        <v>0</v>
      </c>
      <c r="M15" s="81">
        <f t="shared" si="5"/>
        <v>0.32399999999999995</v>
      </c>
      <c r="N15" s="81">
        <f t="shared" si="6"/>
        <v>0.32399999999999995</v>
      </c>
      <c r="O15" s="81">
        <f t="shared" si="7"/>
        <v>0</v>
      </c>
      <c r="P15" s="81">
        <f t="shared" si="11"/>
        <v>0</v>
      </c>
      <c r="Q15" s="81">
        <f t="shared" si="8"/>
        <v>0.32399999999999995</v>
      </c>
      <c r="R15" s="80">
        <f t="shared" si="9"/>
        <v>0.29999999999999993</v>
      </c>
    </row>
    <row r="16" spans="1:18">
      <c r="A16" s="88" t="s">
        <v>27</v>
      </c>
      <c r="B16" s="81">
        <f>'Données-T1'!B15</f>
        <v>10</v>
      </c>
      <c r="C16" s="80">
        <f t="shared" si="2"/>
        <v>5.5555555555555558E-3</v>
      </c>
      <c r="D16" s="81">
        <f t="shared" si="3"/>
        <v>10</v>
      </c>
      <c r="E16" s="80">
        <f t="shared" si="10"/>
        <v>2.5000000000000001E-3</v>
      </c>
      <c r="F16" s="81">
        <f t="shared" si="0"/>
        <v>20</v>
      </c>
      <c r="G16" s="80">
        <f t="shared" si="4"/>
        <v>3.4482758620689655E-3</v>
      </c>
      <c r="H16" s="80">
        <v>0.1</v>
      </c>
      <c r="I16" s="81">
        <f t="shared" si="1"/>
        <v>18</v>
      </c>
      <c r="J16" s="80">
        <v>0.28000000000000003</v>
      </c>
      <c r="K16" s="86">
        <v>0.2</v>
      </c>
      <c r="L16" s="89">
        <v>0.01</v>
      </c>
      <c r="M16" s="81">
        <f t="shared" si="5"/>
        <v>0.59040000000000004</v>
      </c>
      <c r="N16" s="81">
        <f t="shared" si="6"/>
        <v>0.30240000000000006</v>
      </c>
      <c r="O16" s="81">
        <f t="shared" si="7"/>
        <v>0.10800000000000001</v>
      </c>
      <c r="P16" s="81">
        <f t="shared" si="11"/>
        <v>0.18</v>
      </c>
      <c r="Q16" s="81">
        <f t="shared" si="8"/>
        <v>0.48240000000000005</v>
      </c>
      <c r="R16" s="80">
        <f t="shared" si="9"/>
        <v>0.44666666666666671</v>
      </c>
    </row>
    <row r="17" spans="1:18">
      <c r="A17" s="88" t="s">
        <v>35</v>
      </c>
      <c r="B17" s="81">
        <f>'Données-T1'!B16</f>
        <v>140</v>
      </c>
      <c r="C17" s="80">
        <f t="shared" si="2"/>
        <v>7.7777777777777779E-2</v>
      </c>
      <c r="D17" s="81">
        <f t="shared" si="3"/>
        <v>139.99999999999997</v>
      </c>
      <c r="E17" s="80">
        <f t="shared" si="10"/>
        <v>3.4999999999999996E-2</v>
      </c>
      <c r="F17" s="81">
        <f t="shared" si="0"/>
        <v>280</v>
      </c>
      <c r="G17" s="80">
        <f t="shared" si="4"/>
        <v>4.8275862068965517E-2</v>
      </c>
      <c r="H17" s="80">
        <v>0.1</v>
      </c>
      <c r="I17" s="81">
        <f t="shared" si="1"/>
        <v>252</v>
      </c>
      <c r="J17" s="80">
        <f>AVERAGE(J6:J16)</f>
        <v>0.26181818181818178</v>
      </c>
      <c r="K17" s="86">
        <v>0.4</v>
      </c>
      <c r="L17" s="86">
        <v>0</v>
      </c>
      <c r="M17" s="81">
        <f t="shared" si="5"/>
        <v>6.9826909090909082</v>
      </c>
      <c r="N17" s="81">
        <f t="shared" si="6"/>
        <v>3.9586909090909081</v>
      </c>
      <c r="O17" s="81">
        <f t="shared" si="7"/>
        <v>3.024</v>
      </c>
      <c r="P17" s="81">
        <f t="shared" si="11"/>
        <v>0</v>
      </c>
      <c r="Q17" s="81">
        <f t="shared" si="8"/>
        <v>3.9586909090909081</v>
      </c>
      <c r="R17" s="80">
        <f t="shared" si="9"/>
        <v>0.26181818181818178</v>
      </c>
    </row>
    <row r="18" spans="1:18">
      <c r="A18" s="85" t="s">
        <v>17</v>
      </c>
      <c r="B18" s="81">
        <f>'Données-T1'!B17</f>
        <v>180</v>
      </c>
      <c r="C18" s="80">
        <f t="shared" si="2"/>
        <v>0.1</v>
      </c>
      <c r="D18" s="81">
        <f t="shared" si="3"/>
        <v>400</v>
      </c>
      <c r="E18" s="80">
        <f>C18</f>
        <v>0.1</v>
      </c>
      <c r="F18" s="81">
        <f t="shared" si="0"/>
        <v>580</v>
      </c>
      <c r="G18" s="80">
        <f t="shared" si="4"/>
        <v>0.1</v>
      </c>
      <c r="H18" s="80">
        <v>1</v>
      </c>
      <c r="I18" s="81">
        <f t="shared" si="1"/>
        <v>0</v>
      </c>
      <c r="J18" s="80">
        <v>0</v>
      </c>
      <c r="K18" s="86">
        <v>0</v>
      </c>
      <c r="L18" s="86">
        <v>0</v>
      </c>
      <c r="M18" s="81">
        <f t="shared" si="5"/>
        <v>0</v>
      </c>
      <c r="N18" s="81">
        <f t="shared" si="6"/>
        <v>0</v>
      </c>
      <c r="O18" s="81">
        <f t="shared" si="7"/>
        <v>0</v>
      </c>
      <c r="P18" s="81">
        <f t="shared" si="11"/>
        <v>0</v>
      </c>
      <c r="Q18" s="81">
        <f t="shared" si="8"/>
        <v>0</v>
      </c>
      <c r="R18" s="80"/>
    </row>
    <row r="19" spans="1:18">
      <c r="A19" s="85" t="s">
        <v>36</v>
      </c>
      <c r="B19" s="81">
        <f>'Données-T1'!B18</f>
        <v>180</v>
      </c>
      <c r="C19" s="80">
        <f t="shared" si="2"/>
        <v>0.1</v>
      </c>
      <c r="D19" s="81">
        <f t="shared" si="3"/>
        <v>800</v>
      </c>
      <c r="E19" s="80">
        <v>0.2</v>
      </c>
      <c r="F19" s="81">
        <f t="shared" si="0"/>
        <v>980</v>
      </c>
      <c r="G19" s="80">
        <f t="shared" si="4"/>
        <v>0.16896551724137931</v>
      </c>
      <c r="H19" s="80">
        <v>0.1</v>
      </c>
      <c r="I19" s="81">
        <f t="shared" si="1"/>
        <v>882</v>
      </c>
      <c r="J19" s="80">
        <v>0.3</v>
      </c>
      <c r="K19" s="86">
        <v>0.3</v>
      </c>
      <c r="L19" s="86">
        <v>0</v>
      </c>
      <c r="M19" s="81">
        <f t="shared" si="5"/>
        <v>23.814</v>
      </c>
      <c r="N19" s="81">
        <f t="shared" si="6"/>
        <v>15.875999999999999</v>
      </c>
      <c r="O19" s="81">
        <f t="shared" si="7"/>
        <v>7.9379999999999988</v>
      </c>
      <c r="P19" s="81">
        <f t="shared" si="11"/>
        <v>0</v>
      </c>
      <c r="Q19" s="81">
        <f t="shared" si="8"/>
        <v>15.875999999999999</v>
      </c>
      <c r="R19" s="80">
        <f t="shared" si="9"/>
        <v>0.30000000000000004</v>
      </c>
    </row>
    <row r="20" spans="1:18">
      <c r="A20" s="85" t="s">
        <v>33</v>
      </c>
      <c r="B20" s="81">
        <f>'Données-T1'!B19</f>
        <v>170</v>
      </c>
      <c r="C20" s="80">
        <f t="shared" si="2"/>
        <v>9.4444444444444442E-2</v>
      </c>
      <c r="D20" s="81">
        <f t="shared" si="3"/>
        <v>377.77777777777777</v>
      </c>
      <c r="E20" s="80">
        <f>C20</f>
        <v>9.4444444444444442E-2</v>
      </c>
      <c r="F20" s="81">
        <f t="shared" si="0"/>
        <v>547.77777777777783</v>
      </c>
      <c r="G20" s="80">
        <f t="shared" si="4"/>
        <v>9.4444444444444456E-2</v>
      </c>
      <c r="H20" s="80">
        <v>0.1</v>
      </c>
      <c r="I20" s="81">
        <f t="shared" si="1"/>
        <v>493.00000000000006</v>
      </c>
      <c r="J20" s="80">
        <v>0.3</v>
      </c>
      <c r="K20" s="86">
        <v>0.4</v>
      </c>
      <c r="L20" s="86">
        <v>0</v>
      </c>
      <c r="M20" s="81">
        <f t="shared" si="5"/>
        <v>14.790000000000001</v>
      </c>
      <c r="N20" s="81">
        <f t="shared" si="6"/>
        <v>8.8740000000000006</v>
      </c>
      <c r="O20" s="81">
        <f t="shared" si="7"/>
        <v>5.9160000000000004</v>
      </c>
      <c r="P20" s="81">
        <f t="shared" si="11"/>
        <v>0</v>
      </c>
      <c r="Q20" s="81">
        <f t="shared" si="8"/>
        <v>8.8740000000000006</v>
      </c>
      <c r="R20" s="80">
        <f t="shared" si="9"/>
        <v>0.3</v>
      </c>
    </row>
    <row r="21" spans="1:18">
      <c r="A21" s="85" t="s">
        <v>34</v>
      </c>
      <c r="B21" s="81">
        <f>'Données-T1'!B20</f>
        <v>120</v>
      </c>
      <c r="C21" s="80">
        <f t="shared" si="2"/>
        <v>6.6666666666666666E-2</v>
      </c>
      <c r="D21" s="81">
        <f t="shared" si="3"/>
        <v>266.66666666666669</v>
      </c>
      <c r="E21" s="80">
        <f>C21</f>
        <v>6.6666666666666666E-2</v>
      </c>
      <c r="F21" s="81">
        <f t="shared" si="0"/>
        <v>386.66666666666669</v>
      </c>
      <c r="G21" s="80">
        <f t="shared" si="4"/>
        <v>6.6666666666666666E-2</v>
      </c>
      <c r="H21" s="80">
        <v>0.1</v>
      </c>
      <c r="I21" s="81">
        <f t="shared" si="1"/>
        <v>348</v>
      </c>
      <c r="J21" s="80">
        <v>0.3</v>
      </c>
      <c r="K21" s="86">
        <v>0.4</v>
      </c>
      <c r="L21" s="86">
        <v>0</v>
      </c>
      <c r="M21" s="81">
        <f t="shared" si="5"/>
        <v>10.44</v>
      </c>
      <c r="N21" s="81">
        <f t="shared" si="6"/>
        <v>6.2639999999999993</v>
      </c>
      <c r="O21" s="81">
        <f t="shared" si="7"/>
        <v>4.1760000000000002</v>
      </c>
      <c r="P21" s="81">
        <f t="shared" si="11"/>
        <v>0</v>
      </c>
      <c r="Q21" s="81">
        <f t="shared" si="8"/>
        <v>6.2639999999999993</v>
      </c>
      <c r="R21" s="80">
        <f t="shared" si="9"/>
        <v>0.3</v>
      </c>
    </row>
    <row r="22" spans="1:18">
      <c r="A22" s="85" t="s">
        <v>102</v>
      </c>
      <c r="B22" s="81">
        <f>'Données-T1'!B21</f>
        <v>90</v>
      </c>
      <c r="C22" s="80">
        <f t="shared" si="2"/>
        <v>0.05</v>
      </c>
      <c r="D22" s="81">
        <f t="shared" si="3"/>
        <v>1044.444</v>
      </c>
      <c r="E22" s="80">
        <v>0.26111099999999998</v>
      </c>
      <c r="F22" s="81">
        <f t="shared" si="0"/>
        <v>1134.444</v>
      </c>
      <c r="G22" s="80">
        <f t="shared" si="4"/>
        <v>0.19559379310344827</v>
      </c>
      <c r="H22" s="80">
        <v>0.1</v>
      </c>
      <c r="I22" s="81">
        <f t="shared" si="1"/>
        <v>1020.9996</v>
      </c>
      <c r="J22" s="80">
        <v>0.30299999999999999</v>
      </c>
      <c r="K22" s="86">
        <v>0.35</v>
      </c>
      <c r="L22" s="86">
        <v>0</v>
      </c>
      <c r="M22" s="81">
        <f t="shared" si="5"/>
        <v>29.282268527999996</v>
      </c>
      <c r="N22" s="81">
        <f t="shared" si="6"/>
        <v>18.561772727999998</v>
      </c>
      <c r="O22" s="81">
        <f t="shared" si="7"/>
        <v>10.720495799999998</v>
      </c>
      <c r="P22" s="81">
        <f t="shared" si="11"/>
        <v>0</v>
      </c>
      <c r="Q22" s="81">
        <f t="shared" si="8"/>
        <v>18.561772727999998</v>
      </c>
      <c r="R22" s="80">
        <f t="shared" si="9"/>
        <v>0.30299999999999999</v>
      </c>
    </row>
    <row r="23" spans="1:18">
      <c r="A23" s="85" t="s">
        <v>32</v>
      </c>
      <c r="B23" s="81">
        <f>'Données-T1'!B22</f>
        <v>50</v>
      </c>
      <c r="C23" s="80">
        <f t="shared" si="2"/>
        <v>2.7777777777777776E-2</v>
      </c>
      <c r="D23" s="81">
        <f t="shared" si="3"/>
        <v>111.1111111111111</v>
      </c>
      <c r="E23" s="80">
        <f>C23</f>
        <v>2.7777777777777776E-2</v>
      </c>
      <c r="F23" s="81">
        <f t="shared" si="0"/>
        <v>161.11111111111109</v>
      </c>
      <c r="G23" s="80">
        <f t="shared" si="4"/>
        <v>2.7777777777777773E-2</v>
      </c>
      <c r="H23" s="80">
        <v>0.1</v>
      </c>
      <c r="I23" s="81">
        <f>(1-H23)*F23</f>
        <v>144.99999999999997</v>
      </c>
      <c r="J23" s="80">
        <v>0.09</v>
      </c>
      <c r="K23" s="86">
        <v>0</v>
      </c>
      <c r="L23" s="86">
        <v>0</v>
      </c>
      <c r="M23" s="81">
        <f t="shared" si="5"/>
        <v>0.78299999999999981</v>
      </c>
      <c r="N23" s="81">
        <f t="shared" si="6"/>
        <v>0.78299999999999981</v>
      </c>
      <c r="O23" s="81">
        <f t="shared" si="7"/>
        <v>0</v>
      </c>
      <c r="P23" s="81">
        <f t="shared" si="11"/>
        <v>0</v>
      </c>
      <c r="Q23" s="81">
        <f t="shared" si="8"/>
        <v>0.78299999999999981</v>
      </c>
      <c r="R23" s="80">
        <f t="shared" si="9"/>
        <v>0.09</v>
      </c>
    </row>
    <row r="24" spans="1:18" s="91" customFormat="1">
      <c r="A24" s="91" t="s">
        <v>28</v>
      </c>
      <c r="B24" s="84">
        <f>'Données-T1'!B23</f>
        <v>1800</v>
      </c>
      <c r="C24" s="82">
        <f t="shared" si="2"/>
        <v>1</v>
      </c>
      <c r="D24" s="84">
        <v>4000</v>
      </c>
      <c r="E24" s="83">
        <f>SUM(E18:E23)+E5</f>
        <v>0.99999988888888891</v>
      </c>
      <c r="F24" s="84">
        <f>B24+D24</f>
        <v>5800</v>
      </c>
      <c r="G24" s="83">
        <f t="shared" si="4"/>
        <v>1</v>
      </c>
      <c r="H24" s="83">
        <f>I24/F24</f>
        <v>0.80844820689655172</v>
      </c>
      <c r="I24" s="84">
        <f>SUM(I18:I23)+I5</f>
        <v>4688.9996000000001</v>
      </c>
      <c r="J24" s="82"/>
      <c r="M24" s="84">
        <f t="shared" si="5"/>
        <v>130.89863943709091</v>
      </c>
      <c r="N24" s="84">
        <f>SUM(N18:N23)+N5</f>
        <v>81.140343637090908</v>
      </c>
      <c r="O24" s="84">
        <f>SUM(O18:O23)+O5</f>
        <v>45.236695799999993</v>
      </c>
      <c r="P24" s="84">
        <f>SUM(P18:P23)+P5</f>
        <v>4.5216000000000003</v>
      </c>
      <c r="Q24" s="84">
        <f t="shared" si="8"/>
        <v>85.661943637090914</v>
      </c>
      <c r="R24" s="82">
        <f t="shared" si="9"/>
        <v>0.30447839249510322</v>
      </c>
    </row>
    <row r="25" spans="1:18">
      <c r="J25" s="80"/>
    </row>
    <row r="26" spans="1:18">
      <c r="O26" s="85">
        <f>O24/(O$3*I24)</f>
        <v>0.32158029188144949</v>
      </c>
    </row>
  </sheetData>
  <hyperlinks>
    <hyperlink ref="K4" r:id="rId1"/>
    <hyperlink ref="N3" r:id="rId2" display="https://personal.vanguard.com/us/funds/tools/benchmarkreturns"/>
  </hyperlink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7"/>
  <sheetViews>
    <sheetView workbookViewId="0">
      <pane xSplit="1" ySplit="4" topLeftCell="B5" activePane="bottomRight" state="frozen"/>
      <selection pane="topRight" activeCell="B1" sqref="B1"/>
      <selection pane="bottomLeft" activeCell="A3" sqref="A3"/>
      <selection pane="bottomRight"/>
    </sheetView>
  </sheetViews>
  <sheetFormatPr baseColWidth="10" defaultRowHeight="15" x14ac:dyDescent="0"/>
  <cols>
    <col min="1" max="9" width="10.83203125" style="47"/>
    <col min="10" max="10" width="11.33203125" style="47" customWidth="1"/>
    <col min="11" max="14" width="10.83203125" style="47"/>
    <col min="15" max="15" width="10.83203125" style="47" customWidth="1"/>
    <col min="16" max="17" width="10.83203125" style="47"/>
    <col min="18" max="18" width="12.83203125" style="47" customWidth="1"/>
    <col min="19" max="19" width="12.5" style="47" customWidth="1"/>
    <col min="20" max="20" width="10.83203125" style="47"/>
    <col min="21" max="21" width="11.33203125" style="47" customWidth="1"/>
    <col min="22" max="26" width="10.83203125" style="47"/>
    <col min="27" max="27" width="13.33203125" style="47" customWidth="1"/>
    <col min="28" max="16384" width="10.83203125" style="47"/>
  </cols>
  <sheetData>
    <row r="1" spans="1:32">
      <c r="A1" s="52"/>
      <c r="B1" s="78" t="s">
        <v>132</v>
      </c>
      <c r="C1" s="52"/>
      <c r="D1" s="52"/>
      <c r="E1" s="52"/>
      <c r="F1" s="52"/>
      <c r="G1" s="52"/>
      <c r="H1" s="52"/>
      <c r="I1" s="52"/>
      <c r="J1" s="52"/>
      <c r="K1" s="52"/>
      <c r="L1" s="52"/>
      <c r="M1" s="52"/>
      <c r="N1" s="52"/>
      <c r="O1" s="52"/>
      <c r="P1" s="52"/>
      <c r="Q1" s="52"/>
      <c r="R1" s="253" t="s">
        <v>130</v>
      </c>
      <c r="S1" s="253"/>
      <c r="T1" s="253"/>
      <c r="U1" s="253"/>
      <c r="V1" s="72"/>
      <c r="W1" s="72"/>
      <c r="X1" s="72"/>
      <c r="Y1" s="72"/>
      <c r="Z1" s="72"/>
      <c r="AA1" s="72"/>
      <c r="AB1" s="72"/>
      <c r="AC1" s="72"/>
      <c r="AD1" s="72"/>
      <c r="AE1" s="72"/>
    </row>
    <row r="2" spans="1:32">
      <c r="A2" s="52"/>
      <c r="B2" s="52"/>
      <c r="C2" s="52"/>
      <c r="D2" s="52"/>
      <c r="E2" s="52"/>
      <c r="F2" s="52"/>
      <c r="G2" s="52"/>
      <c r="H2" s="52"/>
      <c r="I2" s="52"/>
      <c r="J2" s="52"/>
      <c r="K2" s="52"/>
      <c r="L2" s="52"/>
      <c r="M2" s="52"/>
      <c r="N2" s="52"/>
      <c r="O2" s="52"/>
      <c r="P2" s="52"/>
      <c r="Q2" s="52"/>
      <c r="R2" s="252" t="s">
        <v>129</v>
      </c>
      <c r="S2" s="52"/>
      <c r="T2" s="73" t="s">
        <v>125</v>
      </c>
      <c r="U2" s="74">
        <v>0.08</v>
      </c>
      <c r="V2" s="52"/>
      <c r="W2" s="52"/>
      <c r="X2" s="52"/>
      <c r="Y2" s="52"/>
      <c r="Z2" s="52"/>
      <c r="AA2" s="52"/>
      <c r="AB2" s="52"/>
      <c r="AC2" s="52"/>
      <c r="AD2" s="52"/>
      <c r="AE2" s="52"/>
    </row>
    <row r="3" spans="1:32">
      <c r="A3" s="69"/>
      <c r="B3" s="69"/>
      <c r="C3" s="69"/>
      <c r="D3" s="69"/>
      <c r="E3" s="69"/>
      <c r="F3" s="69"/>
      <c r="G3" s="69"/>
      <c r="H3" s="69"/>
      <c r="I3" s="69"/>
      <c r="J3" s="69"/>
      <c r="K3" s="69"/>
      <c r="L3" s="69"/>
      <c r="M3" s="69"/>
      <c r="N3" s="69"/>
      <c r="O3" s="69"/>
      <c r="P3" s="69"/>
      <c r="Q3" s="69"/>
      <c r="R3" s="252"/>
      <c r="S3" s="75">
        <v>7.0000000000000007E-2</v>
      </c>
      <c r="T3" s="73" t="s">
        <v>126</v>
      </c>
      <c r="U3" s="74">
        <v>0.06</v>
      </c>
      <c r="V3" s="52"/>
      <c r="W3" s="52"/>
      <c r="X3" s="52"/>
      <c r="Y3" s="69"/>
      <c r="Z3" s="69"/>
      <c r="AA3" s="69" t="s">
        <v>128</v>
      </c>
      <c r="AB3" s="71">
        <f>(AVERAGE(AA5:AA14)/0.04)*B5</f>
        <v>3.6324828214448912</v>
      </c>
      <c r="AC3" s="69"/>
      <c r="AD3" s="69"/>
      <c r="AE3" s="69"/>
    </row>
    <row r="4" spans="1:32" s="55" customFormat="1" ht="108" customHeight="1">
      <c r="B4" s="55" t="s">
        <v>76</v>
      </c>
      <c r="C4" s="58" t="s">
        <v>87</v>
      </c>
      <c r="D4" s="58" t="s">
        <v>86</v>
      </c>
      <c r="E4" s="58" t="s">
        <v>85</v>
      </c>
      <c r="F4" s="58" t="s">
        <v>84</v>
      </c>
      <c r="G4" s="58" t="s">
        <v>133</v>
      </c>
      <c r="H4" s="55" t="s">
        <v>83</v>
      </c>
      <c r="I4" s="55" t="s">
        <v>124</v>
      </c>
      <c r="J4" s="58" t="s">
        <v>114</v>
      </c>
      <c r="K4" s="55" t="s">
        <v>82</v>
      </c>
      <c r="L4" s="76" t="s">
        <v>118</v>
      </c>
      <c r="M4" s="56" t="s">
        <v>112</v>
      </c>
      <c r="N4" s="59" t="s">
        <v>115</v>
      </c>
      <c r="O4" s="55" t="s">
        <v>111</v>
      </c>
      <c r="P4" s="58" t="s">
        <v>116</v>
      </c>
      <c r="Q4" s="59" t="s">
        <v>117</v>
      </c>
      <c r="R4" s="59"/>
      <c r="S4" s="55" t="s">
        <v>120</v>
      </c>
      <c r="T4" s="55" t="s">
        <v>121</v>
      </c>
      <c r="U4" s="55" t="s">
        <v>127</v>
      </c>
      <c r="V4" s="55" t="s">
        <v>119</v>
      </c>
      <c r="W4" s="55" t="s">
        <v>123</v>
      </c>
      <c r="X4" s="59" t="s">
        <v>122</v>
      </c>
      <c r="Y4" s="55" t="s">
        <v>110</v>
      </c>
      <c r="Z4" s="55" t="s">
        <v>113</v>
      </c>
      <c r="AA4" s="55" t="s">
        <v>80</v>
      </c>
      <c r="AB4" s="57" t="s">
        <v>79</v>
      </c>
      <c r="AC4" s="55" t="s">
        <v>78</v>
      </c>
      <c r="AD4" s="55" t="s">
        <v>131</v>
      </c>
      <c r="AE4" s="55" t="s">
        <v>81</v>
      </c>
      <c r="AF4" s="101" t="s">
        <v>142</v>
      </c>
    </row>
    <row r="5" spans="1:32">
      <c r="A5" s="69">
        <v>1970</v>
      </c>
      <c r="B5" s="60">
        <v>123.99169999999999</v>
      </c>
      <c r="C5" s="60"/>
      <c r="D5" s="60"/>
      <c r="E5" s="60">
        <v>0.1222</v>
      </c>
      <c r="F5" s="61">
        <f t="shared" ref="F5:F47" si="0">E5/B5</f>
        <v>9.8554983922310925E-4</v>
      </c>
      <c r="G5" s="60">
        <v>1.1262000000000001</v>
      </c>
      <c r="H5" s="60">
        <f t="shared" ref="H5:H48" si="1">E5+G5</f>
        <v>1.2484000000000002</v>
      </c>
      <c r="I5" s="77">
        <f t="shared" ref="I5:I12" si="2">I$13</f>
        <v>5.1204670329670333E-2</v>
      </c>
      <c r="J5" s="60">
        <v>98.481099912634789</v>
      </c>
      <c r="K5" s="61">
        <f t="shared" ref="K5:K48" si="3">J5/B5</f>
        <v>0.79425558253201456</v>
      </c>
      <c r="L5" s="62">
        <f>(1/(1-N5))*M5-(1/(1-N5)-1)</f>
        <v>0.23599999999999999</v>
      </c>
      <c r="M5" s="62">
        <v>0.61799999999999999</v>
      </c>
      <c r="N5" s="62">
        <v>0.5</v>
      </c>
      <c r="O5" s="63">
        <v>0.2</v>
      </c>
      <c r="P5" s="64">
        <v>0</v>
      </c>
      <c r="Q5" s="64">
        <v>0</v>
      </c>
      <c r="R5" s="64"/>
      <c r="S5" s="61">
        <f>'Données-G2'!S3</f>
        <v>7.0000000000000007E-2</v>
      </c>
      <c r="T5" s="60">
        <f>S5*'Données-G2'!J5/(1-S5)</f>
        <v>7.4125559074026199</v>
      </c>
      <c r="U5" s="61">
        <f>'Données-G2'!U2</f>
        <v>0.08</v>
      </c>
      <c r="V5" s="60">
        <f t="shared" ref="V5:V48" si="4">U5*T5*L5</f>
        <v>0.13994905553176146</v>
      </c>
      <c r="W5" s="60">
        <f t="shared" ref="W5:W48" si="5">T5*X5*O5</f>
        <v>3.2587786333599343E-2</v>
      </c>
      <c r="X5" s="64">
        <v>2.1981477604138697E-2</v>
      </c>
      <c r="Y5" s="60">
        <f t="shared" ref="Y5:Y48" si="6">P5*T5</f>
        <v>0</v>
      </c>
      <c r="Z5" s="60">
        <f t="shared" ref="Z5:Z47" si="7">Y5+W5+V5</f>
        <v>0.17253684186536081</v>
      </c>
      <c r="AA5" s="64">
        <f>Z5/'Données-G2'!B5</f>
        <v>1.3915192860922208E-3</v>
      </c>
      <c r="AB5" s="60">
        <f>AB3+Z5</f>
        <v>3.8050196633102522</v>
      </c>
      <c r="AC5" s="61">
        <f>AB5/'Données-G2'!B5</f>
        <v>3.0687696541867336E-2</v>
      </c>
      <c r="AD5" s="69"/>
      <c r="AE5" s="69"/>
    </row>
    <row r="6" spans="1:32">
      <c r="A6" s="69">
        <v>1971</v>
      </c>
      <c r="B6" s="60">
        <v>138.27369999999996</v>
      </c>
      <c r="C6" s="60"/>
      <c r="D6" s="60"/>
      <c r="E6" s="60">
        <v>-0.21690000000000001</v>
      </c>
      <c r="F6" s="61">
        <f t="shared" si="0"/>
        <v>-1.5686280181986889E-3</v>
      </c>
      <c r="G6" s="60">
        <v>1.0642</v>
      </c>
      <c r="H6" s="60">
        <f t="shared" si="1"/>
        <v>0.84730000000000005</v>
      </c>
      <c r="I6" s="77">
        <f t="shared" si="2"/>
        <v>5.1204670329670333E-2</v>
      </c>
      <c r="J6" s="60">
        <v>104.0759966762149</v>
      </c>
      <c r="K6" s="61">
        <f t="shared" si="3"/>
        <v>0.75268107149960495</v>
      </c>
      <c r="L6" s="62">
        <f t="shared" ref="L6:L34" si="8">(1/(1-N6))*M6-(1/(1-N6)-1)</f>
        <v>0.22399999999999998</v>
      </c>
      <c r="M6" s="62">
        <v>0.61199999999999999</v>
      </c>
      <c r="N6" s="62">
        <v>0.5</v>
      </c>
      <c r="O6" s="63">
        <v>0.2</v>
      </c>
      <c r="P6" s="64">
        <v>0</v>
      </c>
      <c r="Q6" s="64">
        <v>0</v>
      </c>
      <c r="R6" s="64"/>
      <c r="S6" s="61">
        <f t="shared" ref="S6:S47" si="9">S5+(S$48-S$5)/43</f>
        <v>7.0883604203564612E-2</v>
      </c>
      <c r="T6" s="60">
        <f>S6*'Données-G2'!J6/(1-S6)</f>
        <v>7.9401050168365002</v>
      </c>
      <c r="U6" s="65">
        <f t="shared" ref="U6:U47" si="10">U5+(U$48-U$5)/43</f>
        <v>7.9534883720930233E-2</v>
      </c>
      <c r="V6" s="60">
        <f t="shared" si="4"/>
        <v>0.14145943375111872</v>
      </c>
      <c r="W6" s="60">
        <f t="shared" si="5"/>
        <v>3.5315551263827266E-2</v>
      </c>
      <c r="X6" s="64">
        <v>2.2238717994877165E-2</v>
      </c>
      <c r="Y6" s="60">
        <f t="shared" si="6"/>
        <v>0</v>
      </c>
      <c r="Z6" s="60">
        <f t="shared" si="7"/>
        <v>0.17677498501494598</v>
      </c>
      <c r="AA6" s="64">
        <f>Z6/'Données-G2'!B6</f>
        <v>1.2784425745094405E-3</v>
      </c>
      <c r="AB6" s="60">
        <f>AB5*(1+'Données-G2'!I6)+Z6</f>
        <v>4.1766294257829122</v>
      </c>
      <c r="AC6" s="61">
        <f>AB6/'Données-G2'!B6</f>
        <v>3.020552300099667E-2</v>
      </c>
      <c r="AD6" s="69"/>
      <c r="AE6" s="69"/>
    </row>
    <row r="7" spans="1:32">
      <c r="A7" s="69">
        <v>1972</v>
      </c>
      <c r="B7" s="60">
        <v>154.53400000000002</v>
      </c>
      <c r="C7" s="60"/>
      <c r="D7" s="60"/>
      <c r="E7" s="60">
        <v>0.54970000000000008</v>
      </c>
      <c r="F7" s="61">
        <f t="shared" si="0"/>
        <v>3.5571460002329584E-3</v>
      </c>
      <c r="G7" s="60">
        <v>0.94329999999999992</v>
      </c>
      <c r="H7" s="60">
        <f t="shared" si="1"/>
        <v>1.4929999999999999</v>
      </c>
      <c r="I7" s="77">
        <f t="shared" si="2"/>
        <v>5.1204670329670333E-2</v>
      </c>
      <c r="J7" s="60">
        <v>115.12191874384473</v>
      </c>
      <c r="K7" s="61">
        <f t="shared" si="3"/>
        <v>0.74496174786030722</v>
      </c>
      <c r="L7" s="62">
        <f t="shared" si="8"/>
        <v>0.19999999999999996</v>
      </c>
      <c r="M7" s="62">
        <v>0.6</v>
      </c>
      <c r="N7" s="62">
        <v>0.5</v>
      </c>
      <c r="O7" s="63">
        <v>0.2</v>
      </c>
      <c r="P7" s="64">
        <v>0</v>
      </c>
      <c r="Q7" s="64">
        <v>0</v>
      </c>
      <c r="R7" s="64"/>
      <c r="S7" s="61">
        <f t="shared" si="9"/>
        <v>7.1767208407129218E-2</v>
      </c>
      <c r="T7" s="60">
        <f>S7*'Données-G2'!J7/(1-S7)</f>
        <v>8.9007615433843252</v>
      </c>
      <c r="U7" s="65">
        <f t="shared" si="10"/>
        <v>7.9069767441860464E-2</v>
      </c>
      <c r="V7" s="60">
        <f t="shared" si="4"/>
        <v>0.14075622905817067</v>
      </c>
      <c r="W7" s="60">
        <f t="shared" si="5"/>
        <v>3.89750061681432E-2</v>
      </c>
      <c r="X7" s="64">
        <v>2.1894197467357261E-2</v>
      </c>
      <c r="Y7" s="60">
        <f t="shared" si="6"/>
        <v>0</v>
      </c>
      <c r="Z7" s="60">
        <f t="shared" si="7"/>
        <v>0.17973123522631387</v>
      </c>
      <c r="AA7" s="64">
        <f>Z7/'Données-G2'!B7</f>
        <v>1.1630530189234334E-3</v>
      </c>
      <c r="AB7" s="60">
        <f>AB6*(1+'Données-G2'!I7)+Z7</f>
        <v>4.5702235938456406</v>
      </c>
      <c r="AC7" s="61">
        <f>AB7/'Données-G2'!B7</f>
        <v>2.9574226991119366E-2</v>
      </c>
      <c r="AD7" s="69"/>
      <c r="AE7" s="69"/>
    </row>
    <row r="8" spans="1:32">
      <c r="A8" s="69">
        <v>1973</v>
      </c>
      <c r="B8" s="60">
        <v>177.48949999999999</v>
      </c>
      <c r="C8" s="60"/>
      <c r="D8" s="60"/>
      <c r="E8" s="60">
        <v>9.6200000000000008E-2</v>
      </c>
      <c r="F8" s="61">
        <f t="shared" si="0"/>
        <v>5.4200389318804782E-4</v>
      </c>
      <c r="G8" s="60">
        <v>0.99920000000000009</v>
      </c>
      <c r="H8" s="60">
        <f t="shared" si="1"/>
        <v>1.0954000000000002</v>
      </c>
      <c r="I8" s="77">
        <f t="shared" si="2"/>
        <v>5.1204670329670333E-2</v>
      </c>
      <c r="J8" s="60">
        <v>134.46164443178628</v>
      </c>
      <c r="K8" s="61">
        <f t="shared" si="3"/>
        <v>0.75757520547292256</v>
      </c>
      <c r="L8" s="62">
        <f t="shared" si="8"/>
        <v>0.19999999999999996</v>
      </c>
      <c r="M8" s="62">
        <v>0.6</v>
      </c>
      <c r="N8" s="62">
        <v>0.5</v>
      </c>
      <c r="O8" s="63">
        <v>0.2</v>
      </c>
      <c r="P8" s="64">
        <v>0</v>
      </c>
      <c r="Q8" s="64">
        <v>0</v>
      </c>
      <c r="R8" s="64"/>
      <c r="S8" s="61">
        <f t="shared" si="9"/>
        <v>7.2650812610693824E-2</v>
      </c>
      <c r="T8" s="60">
        <f>S8*'Données-G2'!J8/(1-S8)</f>
        <v>10.534055419232793</v>
      </c>
      <c r="U8" s="65">
        <f t="shared" si="10"/>
        <v>7.8604651162790695E-2</v>
      </c>
      <c r="V8" s="60">
        <f t="shared" si="4"/>
        <v>0.16560515031165968</v>
      </c>
      <c r="W8" s="60">
        <f t="shared" si="5"/>
        <v>4.6630900008525267E-2</v>
      </c>
      <c r="X8" s="64">
        <v>2.2133403590884775E-2</v>
      </c>
      <c r="Y8" s="60">
        <f t="shared" si="6"/>
        <v>0</v>
      </c>
      <c r="Z8" s="60">
        <f t="shared" si="7"/>
        <v>0.21223605032018494</v>
      </c>
      <c r="AA8" s="64">
        <f>Z8/'Données-G2'!B8</f>
        <v>1.1957667936423561E-3</v>
      </c>
      <c r="AB8" s="60">
        <f>AB7*(1+'Données-G2'!I8)+Z8</f>
        <v>5.0164764366215726</v>
      </c>
      <c r="AC8" s="61">
        <f>AB8/'Données-G2'!B8</f>
        <v>2.8263511005561303E-2</v>
      </c>
      <c r="AD8" s="69"/>
      <c r="AE8" s="68"/>
    </row>
    <row r="9" spans="1:32">
      <c r="A9" s="69">
        <v>1974</v>
      </c>
      <c r="B9" s="60">
        <v>206.88309999999998</v>
      </c>
      <c r="C9" s="60"/>
      <c r="D9" s="60"/>
      <c r="E9" s="60">
        <v>0.44669999999999999</v>
      </c>
      <c r="F9" s="61">
        <f t="shared" si="0"/>
        <v>2.1591903833614251E-3</v>
      </c>
      <c r="G9" s="60">
        <v>1.3020999999999998</v>
      </c>
      <c r="H9" s="60">
        <f t="shared" si="1"/>
        <v>1.7487999999999997</v>
      </c>
      <c r="I9" s="77">
        <f t="shared" si="2"/>
        <v>5.1204670329670333E-2</v>
      </c>
      <c r="J9" s="60">
        <v>151.85793180319894</v>
      </c>
      <c r="K9" s="61">
        <f t="shared" si="3"/>
        <v>0.73402772775156089</v>
      </c>
      <c r="L9" s="62">
        <f t="shared" si="8"/>
        <v>0.19999999999999996</v>
      </c>
      <c r="M9" s="62">
        <v>0.6</v>
      </c>
      <c r="N9" s="62">
        <v>0.5</v>
      </c>
      <c r="O9" s="63">
        <v>0.2</v>
      </c>
      <c r="P9" s="64">
        <v>0</v>
      </c>
      <c r="Q9" s="64">
        <v>0</v>
      </c>
      <c r="R9" s="64"/>
      <c r="S9" s="61">
        <f t="shared" si="9"/>
        <v>7.353441681425843E-2</v>
      </c>
      <c r="T9" s="60">
        <f>S9*'Données-G2'!J9/(1-S9)</f>
        <v>12.053102302375434</v>
      </c>
      <c r="U9" s="65">
        <f t="shared" si="10"/>
        <v>7.8139534883720926E-2</v>
      </c>
      <c r="V9" s="60">
        <f t="shared" si="4"/>
        <v>0.1883647615627044</v>
      </c>
      <c r="W9" s="60">
        <f t="shared" si="5"/>
        <v>5.2521348089261705E-2</v>
      </c>
      <c r="X9" s="64">
        <v>2.1787481252403686E-2</v>
      </c>
      <c r="Y9" s="60">
        <f t="shared" si="6"/>
        <v>0</v>
      </c>
      <c r="Z9" s="60">
        <f t="shared" si="7"/>
        <v>0.24088610965196611</v>
      </c>
      <c r="AA9" s="64">
        <f>Z9/'Données-G2'!B9</f>
        <v>1.1643585660306044E-3</v>
      </c>
      <c r="AB9" s="60">
        <f>AB8*(1+'Données-G2'!I9)+Z9</f>
        <v>5.5142295684273055</v>
      </c>
      <c r="AC9" s="61">
        <f>AB9/'Données-G2'!B9</f>
        <v>2.6653842524726794E-2</v>
      </c>
      <c r="AD9" s="69"/>
      <c r="AE9" s="68"/>
    </row>
    <row r="10" spans="1:32">
      <c r="A10" s="69">
        <v>1975</v>
      </c>
      <c r="B10" s="60">
        <v>232.45580000000004</v>
      </c>
      <c r="C10" s="60"/>
      <c r="D10" s="60"/>
      <c r="E10" s="60">
        <v>-6.5963000000000003</v>
      </c>
      <c r="F10" s="61">
        <f t="shared" si="0"/>
        <v>-2.8376577396649165E-2</v>
      </c>
      <c r="G10" s="60">
        <v>2.1780999999999997</v>
      </c>
      <c r="H10" s="60">
        <f t="shared" si="1"/>
        <v>-4.4182000000000006</v>
      </c>
      <c r="I10" s="77">
        <f t="shared" si="2"/>
        <v>5.1204670329670333E-2</v>
      </c>
      <c r="J10" s="60">
        <v>159.03870303760763</v>
      </c>
      <c r="K10" s="61">
        <f t="shared" si="3"/>
        <v>0.68416749781079933</v>
      </c>
      <c r="L10" s="62">
        <f t="shared" si="8"/>
        <v>0.19999999999999996</v>
      </c>
      <c r="M10" s="62">
        <v>0.6</v>
      </c>
      <c r="N10" s="62">
        <v>0.5</v>
      </c>
      <c r="O10" s="63">
        <v>0.2</v>
      </c>
      <c r="P10" s="64">
        <v>0</v>
      </c>
      <c r="Q10" s="64">
        <v>0</v>
      </c>
      <c r="R10" s="64"/>
      <c r="S10" s="61">
        <f t="shared" si="9"/>
        <v>7.4418021017823036E-2</v>
      </c>
      <c r="T10" s="60">
        <f>S10*'Données-G2'!J10/(1-S10)</f>
        <v>12.786923053876681</v>
      </c>
      <c r="U10" s="65">
        <f t="shared" si="10"/>
        <v>7.7674418604651158E-2</v>
      </c>
      <c r="V10" s="60">
        <f t="shared" si="4"/>
        <v>0.1986433627904563</v>
      </c>
      <c r="W10" s="60">
        <f t="shared" si="5"/>
        <v>5.6366933050331872E-2</v>
      </c>
      <c r="X10" s="64">
        <v>2.2040850958762438E-2</v>
      </c>
      <c r="Y10" s="60">
        <f t="shared" si="6"/>
        <v>0</v>
      </c>
      <c r="Z10" s="60">
        <f t="shared" si="7"/>
        <v>0.25501029584078816</v>
      </c>
      <c r="AA10" s="64">
        <f>Z10/'Données-G2'!B10</f>
        <v>1.097027029830136E-3</v>
      </c>
      <c r="AB10" s="60">
        <f>AB9*(1+'Données-G2'!I10)+Z10</f>
        <v>6.0515941714415336</v>
      </c>
      <c r="AC10" s="61">
        <f>AB10/'Données-G2'!B10</f>
        <v>2.6033311156105948E-2</v>
      </c>
      <c r="AD10" s="69"/>
      <c r="AE10" s="68"/>
    </row>
    <row r="11" spans="1:32">
      <c r="A11" s="69">
        <v>1976</v>
      </c>
      <c r="B11" s="60">
        <v>268.9144</v>
      </c>
      <c r="C11" s="60"/>
      <c r="D11" s="60"/>
      <c r="E11" s="60">
        <v>-4.0984999999999996</v>
      </c>
      <c r="F11" s="61">
        <f t="shared" si="0"/>
        <v>-1.5240909374879142E-2</v>
      </c>
      <c r="G11" s="60">
        <v>2.2898000000000001</v>
      </c>
      <c r="H11" s="60">
        <f t="shared" si="1"/>
        <v>-1.8086999999999995</v>
      </c>
      <c r="I11" s="77">
        <f t="shared" si="2"/>
        <v>5.1204670329670333E-2</v>
      </c>
      <c r="J11" s="60">
        <v>188.50764096650803</v>
      </c>
      <c r="K11" s="61">
        <f t="shared" si="3"/>
        <v>0.70099496704716457</v>
      </c>
      <c r="L11" s="62">
        <f t="shared" si="8"/>
        <v>0.19999999999999996</v>
      </c>
      <c r="M11" s="62">
        <v>0.6</v>
      </c>
      <c r="N11" s="62">
        <v>0.5</v>
      </c>
      <c r="O11" s="63">
        <v>0.2</v>
      </c>
      <c r="P11" s="64">
        <v>0</v>
      </c>
      <c r="Q11" s="64">
        <v>0</v>
      </c>
      <c r="R11" s="64"/>
      <c r="S11" s="61">
        <f t="shared" si="9"/>
        <v>7.5301625221387641E-2</v>
      </c>
      <c r="T11" s="60">
        <f>S11*'Données-G2'!J11/(1-S11)</f>
        <v>15.35087777657918</v>
      </c>
      <c r="U11" s="65">
        <f t="shared" si="10"/>
        <v>7.7209302325581389E-2</v>
      </c>
      <c r="V11" s="60">
        <f t="shared" si="4"/>
        <v>0.23704611264299005</v>
      </c>
      <c r="W11" s="60">
        <f t="shared" si="5"/>
        <v>6.696515367270979E-2</v>
      </c>
      <c r="X11" s="64">
        <v>2.1811506367042561E-2</v>
      </c>
      <c r="Y11" s="60">
        <f t="shared" si="6"/>
        <v>0</v>
      </c>
      <c r="Z11" s="60">
        <f t="shared" si="7"/>
        <v>0.30401126631569986</v>
      </c>
      <c r="AA11" s="64">
        <f>Z11/'Données-G2'!B11</f>
        <v>1.1305131533145857E-3</v>
      </c>
      <c r="AB11" s="60">
        <f>AB10*(1+'Données-G2'!I11)+Z11</f>
        <v>6.6654753222748511</v>
      </c>
      <c r="AC11" s="61">
        <f>AB11/'Données-G2'!B11</f>
        <v>2.4786606155248105E-2</v>
      </c>
      <c r="AD11" s="69"/>
      <c r="AE11" s="68"/>
    </row>
    <row r="12" spans="1:32">
      <c r="A12" s="69">
        <v>1977</v>
      </c>
      <c r="B12" s="60">
        <v>303.15079999999995</v>
      </c>
      <c r="C12" s="60"/>
      <c r="D12" s="60"/>
      <c r="E12" s="60">
        <v>-3.1917</v>
      </c>
      <c r="F12" s="61">
        <f t="shared" si="0"/>
        <v>-1.0528423477688334E-2</v>
      </c>
      <c r="G12" s="60">
        <v>2.9429000000000003</v>
      </c>
      <c r="H12" s="60">
        <f t="shared" si="1"/>
        <v>-0.24879999999999969</v>
      </c>
      <c r="I12" s="77">
        <f t="shared" si="2"/>
        <v>5.1204670329670333E-2</v>
      </c>
      <c r="J12" s="60">
        <v>206.01037057363376</v>
      </c>
      <c r="K12" s="61">
        <f t="shared" si="3"/>
        <v>0.67956400106360859</v>
      </c>
      <c r="L12" s="62">
        <f t="shared" si="8"/>
        <v>0.19999999999999996</v>
      </c>
      <c r="M12" s="62">
        <v>0.6</v>
      </c>
      <c r="N12" s="62">
        <v>0.5</v>
      </c>
      <c r="O12" s="63">
        <v>0.2</v>
      </c>
      <c r="P12" s="64">
        <v>0</v>
      </c>
      <c r="Q12" s="64">
        <v>0</v>
      </c>
      <c r="R12" s="64"/>
      <c r="S12" s="61">
        <f t="shared" si="9"/>
        <v>7.6185229424952247E-2</v>
      </c>
      <c r="T12" s="60">
        <f>S12*'Données-G2'!J12/(1-S12)</f>
        <v>16.989279502753643</v>
      </c>
      <c r="U12" s="65">
        <f t="shared" si="10"/>
        <v>7.674418604651162E-2</v>
      </c>
      <c r="V12" s="60">
        <f t="shared" si="4"/>
        <v>0.26076568539110234</v>
      </c>
      <c r="W12" s="60">
        <f t="shared" si="5"/>
        <v>7.0586476739186776E-2</v>
      </c>
      <c r="X12" s="64">
        <v>2.0773828792370518E-2</v>
      </c>
      <c r="Y12" s="60">
        <f t="shared" si="6"/>
        <v>0</v>
      </c>
      <c r="Z12" s="60">
        <f t="shared" si="7"/>
        <v>0.33135216213028912</v>
      </c>
      <c r="AA12" s="64">
        <f>Z12/'Données-G2'!B12</f>
        <v>1.0930275035734333E-3</v>
      </c>
      <c r="AB12" s="60">
        <f>AB11*(1+'Données-G2'!I12)+Z12</f>
        <v>7.3381309508727766</v>
      </c>
      <c r="AC12" s="61">
        <f>AB12/'Données-G2'!B12</f>
        <v>2.4206206781815447E-2</v>
      </c>
      <c r="AD12" s="69"/>
      <c r="AE12" s="68"/>
    </row>
    <row r="13" spans="1:32">
      <c r="A13" s="69">
        <v>1978</v>
      </c>
      <c r="B13" s="60">
        <v>344.04500000000002</v>
      </c>
      <c r="C13" s="60">
        <v>72.8</v>
      </c>
      <c r="D13" s="65">
        <f t="shared" ref="D13:D47" si="11">C13/B13</f>
        <v>0.21160022671452861</v>
      </c>
      <c r="E13" s="60">
        <v>-5.9</v>
      </c>
      <c r="F13" s="61">
        <f t="shared" si="0"/>
        <v>-1.7148919472743392E-2</v>
      </c>
      <c r="G13" s="60">
        <v>3.7277</v>
      </c>
      <c r="H13" s="60">
        <f t="shared" si="1"/>
        <v>-2.1723000000000003</v>
      </c>
      <c r="I13" s="64">
        <f t="shared" ref="I13:I47" si="12">G13/C13</f>
        <v>5.1204670329670333E-2</v>
      </c>
      <c r="J13" s="60">
        <v>232.67229321184914</v>
      </c>
      <c r="K13" s="61">
        <f t="shared" si="3"/>
        <v>0.67628447793704061</v>
      </c>
      <c r="L13" s="62">
        <f t="shared" si="8"/>
        <v>0.19999999999999996</v>
      </c>
      <c r="M13" s="62">
        <v>0.6</v>
      </c>
      <c r="N13" s="62">
        <v>0.5</v>
      </c>
      <c r="O13" s="63">
        <v>0.2</v>
      </c>
      <c r="P13" s="64">
        <v>0</v>
      </c>
      <c r="Q13" s="64">
        <v>0</v>
      </c>
      <c r="R13" s="64"/>
      <c r="S13" s="61">
        <f t="shared" si="9"/>
        <v>7.7068833628516853E-2</v>
      </c>
      <c r="T13" s="60">
        <f>S13*'Données-G2'!J13/(1-S13)</f>
        <v>19.429165368863362</v>
      </c>
      <c r="U13" s="65">
        <f t="shared" si="10"/>
        <v>7.6279069767441851E-2</v>
      </c>
      <c r="V13" s="60">
        <f t="shared" si="4"/>
        <v>0.29640773213893867</v>
      </c>
      <c r="W13" s="60">
        <f t="shared" si="5"/>
        <v>8.1766794238022786E-2</v>
      </c>
      <c r="X13" s="64">
        <v>2.1042281715574863E-2</v>
      </c>
      <c r="Y13" s="60">
        <f t="shared" si="6"/>
        <v>0</v>
      </c>
      <c r="Z13" s="60">
        <f t="shared" si="7"/>
        <v>0.37817452637696147</v>
      </c>
      <c r="AA13" s="64">
        <f>Z13/'Données-G2'!B13</f>
        <v>1.0992007626239634E-3</v>
      </c>
      <c r="AB13" s="60">
        <f>AB12*(1+'Données-G2'!I13)+Z13</f>
        <v>8.0920520534251281</v>
      </c>
      <c r="AC13" s="61">
        <f>AB13/'Données-G2'!B13</f>
        <v>2.3520330344650054E-2</v>
      </c>
      <c r="AD13" s="60">
        <f>'Données-G2'!C13-AB13</f>
        <v>64.707947946574876</v>
      </c>
      <c r="AE13" s="68">
        <f t="shared" ref="AE13:AE48" si="13">AD13/B13</f>
        <v>0.18807989636987857</v>
      </c>
    </row>
    <row r="14" spans="1:32">
      <c r="A14" s="69">
        <v>1979</v>
      </c>
      <c r="B14" s="60">
        <v>392.41759999999994</v>
      </c>
      <c r="C14" s="60">
        <v>82.8</v>
      </c>
      <c r="D14" s="65">
        <f t="shared" si="11"/>
        <v>0.21099971051247449</v>
      </c>
      <c r="E14" s="60">
        <v>-1.4</v>
      </c>
      <c r="F14" s="61">
        <f t="shared" si="0"/>
        <v>-3.5676279555249307E-3</v>
      </c>
      <c r="G14" s="60">
        <v>4.6196999999999999</v>
      </c>
      <c r="H14" s="60">
        <f t="shared" si="1"/>
        <v>3.2197</v>
      </c>
      <c r="I14" s="64">
        <f t="shared" si="12"/>
        <v>5.579347826086957E-2</v>
      </c>
      <c r="J14" s="60">
        <v>266.0600104493858</v>
      </c>
      <c r="K14" s="61">
        <f t="shared" si="3"/>
        <v>0.67800223651891722</v>
      </c>
      <c r="L14" s="62">
        <f t="shared" si="8"/>
        <v>0.19999999999999996</v>
      </c>
      <c r="M14" s="62">
        <v>0.6</v>
      </c>
      <c r="N14" s="62">
        <v>0.5</v>
      </c>
      <c r="O14" s="63">
        <v>0.2</v>
      </c>
      <c r="P14" s="64">
        <v>0</v>
      </c>
      <c r="Q14" s="64">
        <v>0</v>
      </c>
      <c r="R14" s="64"/>
      <c r="S14" s="61">
        <f t="shared" si="9"/>
        <v>7.7952437832081459E-2</v>
      </c>
      <c r="T14" s="60">
        <f>S14*'Données-G2'!J14/(1-S14)</f>
        <v>22.493445322272457</v>
      </c>
      <c r="U14" s="65">
        <f t="shared" si="10"/>
        <v>7.5813953488372082E-2</v>
      </c>
      <c r="V14" s="60">
        <f t="shared" si="4"/>
        <v>0.34106340349120084</v>
      </c>
      <c r="W14" s="60">
        <f t="shared" si="5"/>
        <v>9.2778667087059202E-2</v>
      </c>
      <c r="X14" s="64">
        <v>2.0623489589474325E-2</v>
      </c>
      <c r="Y14" s="60">
        <f t="shared" si="6"/>
        <v>0</v>
      </c>
      <c r="Z14" s="60">
        <f t="shared" si="7"/>
        <v>0.43384207057826008</v>
      </c>
      <c r="AA14" s="64">
        <f>Z14/'Données-G2'!B14</f>
        <v>1.1055622137698721E-3</v>
      </c>
      <c r="AB14" s="60">
        <f>AB13*(1+'Données-G2'!I14)+Z14</f>
        <v>8.9773778543319871</v>
      </c>
      <c r="AC14" s="61">
        <f>AB14/'Données-G2'!B14</f>
        <v>2.2877103000303729E-2</v>
      </c>
      <c r="AD14" s="60">
        <f>'Données-G2'!C14-AB14</f>
        <v>73.822622145668007</v>
      </c>
      <c r="AE14" s="68">
        <f t="shared" si="13"/>
        <v>0.18812260751217075</v>
      </c>
    </row>
    <row r="15" spans="1:32">
      <c r="A15" s="69">
        <v>1980</v>
      </c>
      <c r="B15" s="60">
        <v>444.70609999999999</v>
      </c>
      <c r="C15" s="60">
        <v>92.2</v>
      </c>
      <c r="D15" s="65">
        <f t="shared" si="11"/>
        <v>0.20732794085801837</v>
      </c>
      <c r="E15" s="60">
        <v>-1.2</v>
      </c>
      <c r="F15" s="61">
        <f t="shared" si="0"/>
        <v>-2.6984113777616271E-3</v>
      </c>
      <c r="G15" s="60">
        <v>5.6178999999999997</v>
      </c>
      <c r="H15" s="60">
        <f t="shared" si="1"/>
        <v>4.4178999999999995</v>
      </c>
      <c r="I15" s="64">
        <f t="shared" si="12"/>
        <v>6.0931670281995656E-2</v>
      </c>
      <c r="J15" s="60">
        <v>298.91451662468876</v>
      </c>
      <c r="K15" s="61">
        <f t="shared" si="3"/>
        <v>0.67216194386514772</v>
      </c>
      <c r="L15" s="62">
        <f t="shared" si="8"/>
        <v>0.32000000000000006</v>
      </c>
      <c r="M15" s="62">
        <v>0.66</v>
      </c>
      <c r="N15" s="62">
        <v>0.5</v>
      </c>
      <c r="O15" s="63">
        <v>0.2</v>
      </c>
      <c r="P15" s="64">
        <v>0</v>
      </c>
      <c r="Q15" s="64">
        <v>0</v>
      </c>
      <c r="R15" s="64"/>
      <c r="S15" s="61">
        <f t="shared" si="9"/>
        <v>7.8836042035646064E-2</v>
      </c>
      <c r="T15" s="60">
        <f>S15*'Données-G2'!J15/(1-S15)</f>
        <v>25.582022824432613</v>
      </c>
      <c r="U15" s="65">
        <f t="shared" si="10"/>
        <v>7.5348837209302313E-2</v>
      </c>
      <c r="V15" s="60">
        <f t="shared" si="4"/>
        <v>0.61682421545050548</v>
      </c>
      <c r="W15" s="60">
        <f t="shared" si="5"/>
        <v>0.10532463170769497</v>
      </c>
      <c r="X15" s="64">
        <v>2.0585673078030133E-2</v>
      </c>
      <c r="Y15" s="60">
        <f t="shared" si="6"/>
        <v>0</v>
      </c>
      <c r="Z15" s="60">
        <f t="shared" si="7"/>
        <v>0.72214884715820049</v>
      </c>
      <c r="AA15" s="64">
        <f>Z15/'Données-G2'!B15</f>
        <v>1.6238788880076089E-3</v>
      </c>
      <c r="AB15" s="60">
        <f>AB14*(1+'Données-G2'!I15)+Z15</f>
        <v>10.246533328907235</v>
      </c>
      <c r="AC15" s="61">
        <f>AB15/'Données-G2'!B15</f>
        <v>2.304113509778084E-2</v>
      </c>
      <c r="AD15" s="60">
        <f>'Données-G2'!C15-AB15</f>
        <v>81.95346667109277</v>
      </c>
      <c r="AE15" s="68">
        <f t="shared" si="13"/>
        <v>0.18428680576023754</v>
      </c>
    </row>
    <row r="16" spans="1:32">
      <c r="A16" s="69">
        <v>1981</v>
      </c>
      <c r="B16" s="60">
        <v>501.42530000000005</v>
      </c>
      <c r="C16" s="60">
        <v>110.1</v>
      </c>
      <c r="D16" s="65">
        <f t="shared" si="11"/>
        <v>0.21957408212150439</v>
      </c>
      <c r="E16" s="60">
        <v>-12</v>
      </c>
      <c r="F16" s="61">
        <f t="shared" si="0"/>
        <v>-2.3931780067738901E-2</v>
      </c>
      <c r="G16" s="60">
        <v>8.7973999999999997</v>
      </c>
      <c r="H16" s="60">
        <f t="shared" si="1"/>
        <v>-3.2026000000000003</v>
      </c>
      <c r="I16" s="64">
        <f t="shared" si="12"/>
        <v>7.9903723887375114E-2</v>
      </c>
      <c r="J16" s="60">
        <v>334.86969588510783</v>
      </c>
      <c r="K16" s="61">
        <f t="shared" si="3"/>
        <v>0.66783565943941758</v>
      </c>
      <c r="L16" s="62">
        <f t="shared" si="8"/>
        <v>0.32000000000000006</v>
      </c>
      <c r="M16" s="62">
        <v>0.66</v>
      </c>
      <c r="N16" s="62">
        <v>0.5</v>
      </c>
      <c r="O16" s="63">
        <v>0.2</v>
      </c>
      <c r="P16" s="64">
        <v>0</v>
      </c>
      <c r="Q16" s="64">
        <v>0</v>
      </c>
      <c r="R16" s="64"/>
      <c r="S16" s="61">
        <f t="shared" si="9"/>
        <v>7.971964623921067E-2</v>
      </c>
      <c r="T16" s="60">
        <f>S16*'Données-G2'!J16/(1-S16)</f>
        <v>29.008218618488442</v>
      </c>
      <c r="U16" s="65">
        <f t="shared" si="10"/>
        <v>7.4883720930232545E-2</v>
      </c>
      <c r="V16" s="60">
        <f t="shared" si="4"/>
        <v>0.69511787126722069</v>
      </c>
      <c r="W16" s="60">
        <f t="shared" si="5"/>
        <v>0.12022376977191317</v>
      </c>
      <c r="X16" s="64">
        <v>2.0722363436562131E-2</v>
      </c>
      <c r="Y16" s="60">
        <f t="shared" si="6"/>
        <v>0</v>
      </c>
      <c r="Z16" s="60">
        <f t="shared" si="7"/>
        <v>0.81534164103913387</v>
      </c>
      <c r="AA16" s="64">
        <f>Z16/'Données-G2'!B16</f>
        <v>1.6260480694514892E-3</v>
      </c>
      <c r="AB16" s="60">
        <f>AB15*(1+'Données-G2'!I16)+Z16</f>
        <v>11.880611139862161</v>
      </c>
      <c r="AC16" s="61">
        <f>AB16/'Données-G2'!B16</f>
        <v>2.3693681072459168E-2</v>
      </c>
      <c r="AD16" s="60">
        <f>'Données-G2'!C16-AB16</f>
        <v>98.219388860137826</v>
      </c>
      <c r="AE16" s="68">
        <f t="shared" si="13"/>
        <v>0.19588040104904522</v>
      </c>
    </row>
    <row r="17" spans="1:32">
      <c r="A17" s="69">
        <v>1982</v>
      </c>
      <c r="B17" s="60">
        <v>575.68610000000001</v>
      </c>
      <c r="C17" s="60">
        <v>145.5</v>
      </c>
      <c r="D17" s="65">
        <f t="shared" si="11"/>
        <v>0.25274190222762022</v>
      </c>
      <c r="E17" s="60">
        <v>-16.7</v>
      </c>
      <c r="F17" s="61">
        <f t="shared" si="0"/>
        <v>-2.9008864379390088E-2</v>
      </c>
      <c r="G17" s="60">
        <v>10.410600000000001</v>
      </c>
      <c r="H17" s="60">
        <f t="shared" si="1"/>
        <v>-6.2893999999999988</v>
      </c>
      <c r="I17" s="64">
        <f t="shared" si="12"/>
        <v>7.1550515463917524E-2</v>
      </c>
      <c r="J17" s="60">
        <v>359.7382746967495</v>
      </c>
      <c r="K17" s="61">
        <f t="shared" si="3"/>
        <v>0.62488615705112471</v>
      </c>
      <c r="L17" s="62">
        <f t="shared" si="8"/>
        <v>0.39100000000000024</v>
      </c>
      <c r="M17" s="62">
        <v>0.69550000000000012</v>
      </c>
      <c r="N17" s="62">
        <v>0.5</v>
      </c>
      <c r="O17" s="63">
        <v>0.2</v>
      </c>
      <c r="P17" s="66">
        <v>1.41E-2</v>
      </c>
      <c r="Q17" s="66">
        <v>1.4999999999999999E-2</v>
      </c>
      <c r="R17" s="66"/>
      <c r="S17" s="61">
        <f t="shared" si="9"/>
        <v>8.0603250442775276E-2</v>
      </c>
      <c r="T17" s="60">
        <f>S17*'Données-G2'!J17/(1-S17)</f>
        <v>31.538151797032459</v>
      </c>
      <c r="U17" s="65">
        <f t="shared" si="10"/>
        <v>7.4418604651162776E-2</v>
      </c>
      <c r="V17" s="60">
        <f t="shared" si="4"/>
        <v>0.91768687275458205</v>
      </c>
      <c r="W17" s="60">
        <f t="shared" si="5"/>
        <v>0.12667976144602511</v>
      </c>
      <c r="X17" s="64">
        <v>2.0083574056794423E-2</v>
      </c>
      <c r="Y17" s="60">
        <f t="shared" si="6"/>
        <v>0.44468794033815767</v>
      </c>
      <c r="Z17" s="60">
        <f t="shared" si="7"/>
        <v>1.4890545745387649</v>
      </c>
      <c r="AA17" s="64">
        <f>Z17/'Données-G2'!B17</f>
        <v>2.5865737848087089E-3</v>
      </c>
      <c r="AB17" s="60">
        <f>AB16*(1+'Données-G2'!I17)+Z17</f>
        <v>14.219729565484425</v>
      </c>
      <c r="AC17" s="61">
        <f>AB17/'Données-G2'!B17</f>
        <v>2.4700491405792887E-2</v>
      </c>
      <c r="AD17" s="60">
        <f>'Données-G2'!C17-AB17</f>
        <v>131.28027043451559</v>
      </c>
      <c r="AE17" s="68">
        <f t="shared" si="13"/>
        <v>0.22804141082182736</v>
      </c>
    </row>
    <row r="18" spans="1:32">
      <c r="A18" s="69">
        <v>1983</v>
      </c>
      <c r="B18" s="60">
        <v>639.44449999999995</v>
      </c>
      <c r="C18" s="60">
        <v>170</v>
      </c>
      <c r="D18" s="65">
        <f t="shared" si="11"/>
        <v>0.26585575448690235</v>
      </c>
      <c r="E18" s="60">
        <v>-16.5</v>
      </c>
      <c r="F18" s="61">
        <f t="shared" si="0"/>
        <v>-2.5803646759022872E-2</v>
      </c>
      <c r="G18" s="60">
        <v>14.491100000000001</v>
      </c>
      <c r="H18" s="60">
        <f t="shared" si="1"/>
        <v>-2.0088999999999988</v>
      </c>
      <c r="I18" s="64">
        <f t="shared" si="12"/>
        <v>8.5241764705882364E-2</v>
      </c>
      <c r="J18" s="60">
        <v>411.85963537765974</v>
      </c>
      <c r="K18" s="61">
        <f t="shared" si="3"/>
        <v>0.64408973003546011</v>
      </c>
      <c r="L18" s="62">
        <f t="shared" si="8"/>
        <v>0.40400000000000014</v>
      </c>
      <c r="M18" s="62">
        <v>0.70200000000000007</v>
      </c>
      <c r="N18" s="62">
        <v>0.5</v>
      </c>
      <c r="O18" s="63">
        <v>0.2</v>
      </c>
      <c r="P18" s="66">
        <v>1.41E-2</v>
      </c>
      <c r="Q18" s="66">
        <v>1.4999999999999999E-2</v>
      </c>
      <c r="R18" s="66"/>
      <c r="S18" s="61">
        <f t="shared" si="9"/>
        <v>8.1486854646339882E-2</v>
      </c>
      <c r="T18" s="60">
        <f>S18*'Données-G2'!J18/(1-S18)</f>
        <v>36.538558443593828</v>
      </c>
      <c r="U18" s="65">
        <f t="shared" si="10"/>
        <v>7.3953488372093007E-2</v>
      </c>
      <c r="V18" s="60">
        <f t="shared" si="4"/>
        <v>1.0916701582245085</v>
      </c>
      <c r="W18" s="60">
        <f t="shared" si="5"/>
        <v>0.1501479939034881</v>
      </c>
      <c r="X18" s="64">
        <v>2.054651309455436E-2</v>
      </c>
      <c r="Y18" s="60">
        <f t="shared" si="6"/>
        <v>0.51519367405467298</v>
      </c>
      <c r="Z18" s="60">
        <f t="shared" si="7"/>
        <v>1.7570118261826697</v>
      </c>
      <c r="AA18" s="64">
        <f>Z18/'Données-G2'!B18</f>
        <v>2.7477159099541398E-3</v>
      </c>
      <c r="AB18" s="60">
        <f>AB17*(1+'Données-G2'!I18)+Z18</f>
        <v>17.188856233469394</v>
      </c>
      <c r="AC18" s="61">
        <f>AB18/'Données-G2'!B18</f>
        <v>2.6880919663034707E-2</v>
      </c>
      <c r="AD18" s="60">
        <f>'Données-G2'!C18-AB18</f>
        <v>152.81114376653062</v>
      </c>
      <c r="AE18" s="68">
        <f t="shared" si="13"/>
        <v>0.23897483482386764</v>
      </c>
    </row>
    <row r="19" spans="1:32">
      <c r="A19" s="69">
        <v>1984</v>
      </c>
      <c r="B19" s="60">
        <v>695.04240000000004</v>
      </c>
      <c r="C19" s="60">
        <v>201.4</v>
      </c>
      <c r="D19" s="65">
        <f t="shared" si="11"/>
        <v>0.28976649482103539</v>
      </c>
      <c r="E19" s="60">
        <v>-19.5</v>
      </c>
      <c r="F19" s="61">
        <f t="shared" si="0"/>
        <v>-2.8055842348610673E-2</v>
      </c>
      <c r="G19" s="60">
        <v>16.587199999999999</v>
      </c>
      <c r="H19" s="60">
        <f t="shared" si="1"/>
        <v>-2.9128000000000007</v>
      </c>
      <c r="I19" s="64">
        <f t="shared" si="12"/>
        <v>8.235948361469711E-2</v>
      </c>
      <c r="J19" s="60">
        <v>464.60195972850124</v>
      </c>
      <c r="K19" s="61">
        <f t="shared" si="3"/>
        <v>0.66845124805119982</v>
      </c>
      <c r="L19" s="62">
        <f t="shared" si="8"/>
        <v>0.33900000000000019</v>
      </c>
      <c r="M19" s="62">
        <v>0.6695000000000001</v>
      </c>
      <c r="N19" s="62">
        <v>0.5</v>
      </c>
      <c r="O19" s="63">
        <v>0.4</v>
      </c>
      <c r="P19" s="66">
        <v>1.5299999999999999E-2</v>
      </c>
      <c r="Q19" s="66">
        <v>1.7999999999999999E-2</v>
      </c>
      <c r="R19" s="66"/>
      <c r="S19" s="61">
        <f t="shared" si="9"/>
        <v>8.2370458849904488E-2</v>
      </c>
      <c r="T19" s="60">
        <f>S19*'Données-G2'!J19/(1-S19)</f>
        <v>41.704712947053871</v>
      </c>
      <c r="U19" s="65">
        <f t="shared" si="10"/>
        <v>7.3488372093023238E-2</v>
      </c>
      <c r="V19" s="60">
        <f t="shared" si="4"/>
        <v>1.0389710859860932</v>
      </c>
      <c r="W19" s="60">
        <f t="shared" si="5"/>
        <v>0.32936948637366753</v>
      </c>
      <c r="X19" s="64">
        <v>1.9744140595801356E-2</v>
      </c>
      <c r="Y19" s="60">
        <f t="shared" si="6"/>
        <v>0.63808210808992416</v>
      </c>
      <c r="Z19" s="60">
        <f t="shared" si="7"/>
        <v>2.0064226804496847</v>
      </c>
      <c r="AA19" s="64">
        <f>Z19/'Données-G2'!B19</f>
        <v>2.8867629952499078E-3</v>
      </c>
      <c r="AB19" s="60">
        <f>AB18*(1+'Données-G2'!I19)+Z19</f>
        <v>20.610944237234886</v>
      </c>
      <c r="AC19" s="61">
        <f>AB19/'Données-G2'!B19</f>
        <v>2.9654225752608596E-2</v>
      </c>
      <c r="AD19" s="60">
        <f>'Données-G2'!C19-AB19</f>
        <v>180.78905576276512</v>
      </c>
      <c r="AE19" s="68">
        <f t="shared" si="13"/>
        <v>0.26011226906842677</v>
      </c>
    </row>
    <row r="20" spans="1:32">
      <c r="A20" s="69">
        <v>1985</v>
      </c>
      <c r="B20" s="60">
        <v>744.46539999999993</v>
      </c>
      <c r="C20" s="60">
        <v>227.7</v>
      </c>
      <c r="D20" s="65">
        <f t="shared" si="11"/>
        <v>0.30585706199374746</v>
      </c>
      <c r="E20" s="60">
        <v>-22.9</v>
      </c>
      <c r="F20" s="61">
        <f t="shared" si="0"/>
        <v>-3.0760328149568805E-2</v>
      </c>
      <c r="G20" s="60">
        <v>19.227499999999999</v>
      </c>
      <c r="H20" s="60">
        <f t="shared" si="1"/>
        <v>-3.6724999999999994</v>
      </c>
      <c r="I20" s="64">
        <f t="shared" si="12"/>
        <v>8.4442248572683357E-2</v>
      </c>
      <c r="J20" s="60">
        <v>526.12931012582067</v>
      </c>
      <c r="K20" s="61">
        <f t="shared" si="3"/>
        <v>0.70672097068019646</v>
      </c>
      <c r="L20" s="62">
        <f t="shared" si="8"/>
        <v>0.30000000000000004</v>
      </c>
      <c r="M20" s="62">
        <v>0.65</v>
      </c>
      <c r="N20" s="62">
        <v>0.5</v>
      </c>
      <c r="O20" s="63">
        <v>0.4</v>
      </c>
      <c r="P20" s="66">
        <v>1.5299999999999999E-2</v>
      </c>
      <c r="Q20" s="66">
        <v>1.7999999999999999E-2</v>
      </c>
      <c r="R20" s="66"/>
      <c r="S20" s="61">
        <f t="shared" si="9"/>
        <v>8.3254063053469093E-2</v>
      </c>
      <c r="T20" s="60">
        <f>S20*'Données-G2'!J20/(1-S20)</f>
        <v>47.780307492159672</v>
      </c>
      <c r="U20" s="65">
        <f t="shared" si="10"/>
        <v>7.3023255813953469E-2</v>
      </c>
      <c r="V20" s="60">
        <f t="shared" si="4"/>
        <v>1.0467220850608001</v>
      </c>
      <c r="W20" s="60">
        <f t="shared" si="5"/>
        <v>0.40393838657367231</v>
      </c>
      <c r="X20" s="64">
        <v>2.1135191869576971E-2</v>
      </c>
      <c r="Y20" s="60">
        <f t="shared" si="6"/>
        <v>0.73103870463004295</v>
      </c>
      <c r="Z20" s="60">
        <f t="shared" si="7"/>
        <v>2.1816991762645155</v>
      </c>
      <c r="AA20" s="64">
        <f>Z20/'Données-G2'!B20</f>
        <v>2.9305581915083168E-3</v>
      </c>
      <c r="AB20" s="60">
        <f>AB19*(1+'Données-G2'!I20)+Z20</f>
        <v>24.533077890097708</v>
      </c>
      <c r="AC20" s="61">
        <f>AB20/'Données-G2'!B20</f>
        <v>3.2953953118704658E-2</v>
      </c>
      <c r="AD20" s="60">
        <f>'Données-G2'!C20-AB20</f>
        <v>203.16692210990229</v>
      </c>
      <c r="AE20" s="68">
        <f t="shared" si="13"/>
        <v>0.27290310887504282</v>
      </c>
    </row>
    <row r="21" spans="1:32">
      <c r="A21" s="69">
        <v>1986</v>
      </c>
      <c r="B21" s="60">
        <v>800.92039999999997</v>
      </c>
      <c r="C21" s="60">
        <v>249.3</v>
      </c>
      <c r="D21" s="65">
        <f t="shared" si="11"/>
        <v>0.3112668874459934</v>
      </c>
      <c r="E21" s="60">
        <v>-26.4</v>
      </c>
      <c r="F21" s="61">
        <f t="shared" si="0"/>
        <v>-3.2962077130261634E-2</v>
      </c>
      <c r="G21" s="60">
        <v>20.896000000000001</v>
      </c>
      <c r="H21" s="60">
        <f t="shared" si="1"/>
        <v>-5.5039999999999978</v>
      </c>
      <c r="I21" s="64">
        <f t="shared" si="12"/>
        <v>8.381869233854794E-2</v>
      </c>
      <c r="J21" s="60">
        <v>590.38659242845165</v>
      </c>
      <c r="K21" s="61">
        <f t="shared" si="3"/>
        <v>0.73713516652647593</v>
      </c>
      <c r="L21" s="62">
        <f t="shared" si="8"/>
        <v>0.27586206896551724</v>
      </c>
      <c r="M21" s="62">
        <v>0.57999999999999996</v>
      </c>
      <c r="N21" s="62">
        <v>0.42</v>
      </c>
      <c r="O21" s="63">
        <v>0.4</v>
      </c>
      <c r="P21" s="66">
        <v>1.5299999999999999E-2</v>
      </c>
      <c r="Q21" s="66">
        <v>1.7999999999999999E-2</v>
      </c>
      <c r="R21" s="66"/>
      <c r="S21" s="61">
        <f t="shared" si="9"/>
        <v>8.4137667257033699E-2</v>
      </c>
      <c r="T21" s="60">
        <f>S21*'Données-G2'!J21/(1-S21)</f>
        <v>54.237136839101566</v>
      </c>
      <c r="U21" s="65">
        <f t="shared" si="10"/>
        <v>7.25581395348837E-2</v>
      </c>
      <c r="V21" s="60">
        <f t="shared" si="4"/>
        <v>1.0856126186880311</v>
      </c>
      <c r="W21" s="60">
        <f t="shared" si="5"/>
        <v>0.47560680806213046</v>
      </c>
      <c r="X21" s="64">
        <v>2.1922562462738989E-2</v>
      </c>
      <c r="Y21" s="60">
        <f t="shared" si="6"/>
        <v>0.82982819363825389</v>
      </c>
      <c r="Z21" s="60">
        <f t="shared" si="7"/>
        <v>2.3910476203884157</v>
      </c>
      <c r="AA21" s="64">
        <f>Z21/'Données-G2'!B21</f>
        <v>2.9853748517186173E-3</v>
      </c>
      <c r="AB21" s="60">
        <f>AB20*(1+'Données-G2'!I21)+Z21</f>
        <v>28.980456018273859</v>
      </c>
      <c r="AC21" s="61">
        <f>AB21/'Données-G2'!B21</f>
        <v>3.6183940399412799E-2</v>
      </c>
      <c r="AD21" s="60">
        <f>'Données-G2'!C21-AB21</f>
        <v>220.31954398172616</v>
      </c>
      <c r="AE21" s="68">
        <f t="shared" si="13"/>
        <v>0.27508294704658059</v>
      </c>
    </row>
    <row r="22" spans="1:32">
      <c r="A22" s="69">
        <v>1987</v>
      </c>
      <c r="B22" s="60">
        <v>841.06780000000003</v>
      </c>
      <c r="C22" s="60">
        <v>281.2</v>
      </c>
      <c r="D22" s="65">
        <f t="shared" si="11"/>
        <v>0.33433689888020918</v>
      </c>
      <c r="E22" s="60">
        <v>-17.899999999999999</v>
      </c>
      <c r="F22" s="61">
        <f t="shared" si="0"/>
        <v>-2.1282469736684722E-2</v>
      </c>
      <c r="G22" s="60">
        <v>21.135900000000003</v>
      </c>
      <c r="H22" s="60">
        <f t="shared" si="1"/>
        <v>3.2359000000000044</v>
      </c>
      <c r="I22" s="64">
        <f t="shared" si="12"/>
        <v>7.5163229018492192E-2</v>
      </c>
      <c r="J22" s="60">
        <v>738.7929828493377</v>
      </c>
      <c r="K22" s="61">
        <f t="shared" si="3"/>
        <v>0.87839884352883046</v>
      </c>
      <c r="L22" s="62">
        <f t="shared" si="8"/>
        <v>0.2551724137931034</v>
      </c>
      <c r="M22" s="62">
        <v>0.56799999999999995</v>
      </c>
      <c r="N22" s="62">
        <v>0.42</v>
      </c>
      <c r="O22" s="63">
        <v>0.4</v>
      </c>
      <c r="P22" s="66">
        <v>0</v>
      </c>
      <c r="Q22" s="66">
        <v>0</v>
      </c>
      <c r="R22" s="66"/>
      <c r="S22" s="61">
        <f t="shared" si="9"/>
        <v>8.5021271460598305E-2</v>
      </c>
      <c r="T22" s="60">
        <f>S22*'Données-G2'!J22/(1-S22)</f>
        <v>68.649813147337852</v>
      </c>
      <c r="U22" s="65">
        <f t="shared" si="10"/>
        <v>7.2093023255813932E-2</v>
      </c>
      <c r="V22" s="60">
        <f t="shared" si="4"/>
        <v>1.2628923124297751</v>
      </c>
      <c r="W22" s="60">
        <f t="shared" si="5"/>
        <v>0.60650751506453227</v>
      </c>
      <c r="X22" s="64">
        <v>2.2087005312120496E-2</v>
      </c>
      <c r="Y22" s="60">
        <f t="shared" si="6"/>
        <v>0</v>
      </c>
      <c r="Z22" s="60">
        <f t="shared" si="7"/>
        <v>1.8693998274943073</v>
      </c>
      <c r="AA22" s="64">
        <f>Z22/'Données-G2'!B22</f>
        <v>2.2226505728721361E-3</v>
      </c>
      <c r="AB22" s="60">
        <f>AB21*(1+'Données-G2'!I22)+Z22</f>
        <v>33.028120498530029</v>
      </c>
      <c r="AC22" s="61">
        <f>AB22/'Données-G2'!B22</f>
        <v>3.9269272344667136E-2</v>
      </c>
      <c r="AD22" s="60">
        <f>'Données-G2'!C22-AB22</f>
        <v>248.17187950146996</v>
      </c>
      <c r="AE22" s="68">
        <f t="shared" si="13"/>
        <v>0.29506762653554203</v>
      </c>
    </row>
    <row r="23" spans="1:32">
      <c r="A23" s="69">
        <v>1988</v>
      </c>
      <c r="B23" s="60">
        <v>909.15210000000025</v>
      </c>
      <c r="C23" s="60">
        <v>302.8</v>
      </c>
      <c r="D23" s="65">
        <f t="shared" si="11"/>
        <v>0.33305758189416262</v>
      </c>
      <c r="E23" s="60">
        <v>-24.5</v>
      </c>
      <c r="F23" s="61">
        <f t="shared" si="0"/>
        <v>-2.6948186117592417E-2</v>
      </c>
      <c r="G23" s="60">
        <v>21.912200000000002</v>
      </c>
      <c r="H23" s="60">
        <f t="shared" si="1"/>
        <v>-2.5877999999999979</v>
      </c>
      <c r="I23" s="64">
        <f t="shared" si="12"/>
        <v>7.2365257595772794E-2</v>
      </c>
      <c r="J23" s="60">
        <v>717.6321169487137</v>
      </c>
      <c r="K23" s="61">
        <f t="shared" si="3"/>
        <v>0.78934219802023609</v>
      </c>
      <c r="L23" s="62">
        <f t="shared" si="8"/>
        <v>0.2551724137931034</v>
      </c>
      <c r="M23" s="62">
        <v>0.56799999999999995</v>
      </c>
      <c r="N23" s="62">
        <v>0.42</v>
      </c>
      <c r="O23" s="63">
        <v>0.4</v>
      </c>
      <c r="P23" s="66">
        <v>0</v>
      </c>
      <c r="Q23" s="66">
        <v>0</v>
      </c>
      <c r="R23" s="66"/>
      <c r="S23" s="61">
        <f t="shared" si="9"/>
        <v>8.5904875664162911E-2</v>
      </c>
      <c r="T23" s="60">
        <f>S23*'Données-G2'!J23/(1-S23)</f>
        <v>67.441665684281517</v>
      </c>
      <c r="U23" s="65">
        <f t="shared" si="10"/>
        <v>7.1627906976744163E-2</v>
      </c>
      <c r="V23" s="60">
        <f t="shared" si="4"/>
        <v>1.232662746011342</v>
      </c>
      <c r="W23" s="60">
        <f t="shared" si="5"/>
        <v>0.59492303736040419</v>
      </c>
      <c r="X23" s="64">
        <v>2.2053245249956128E-2</v>
      </c>
      <c r="Y23" s="60">
        <f t="shared" si="6"/>
        <v>0</v>
      </c>
      <c r="Z23" s="60">
        <f t="shared" si="7"/>
        <v>1.8275857833717462</v>
      </c>
      <c r="AA23" s="64">
        <f>Z23/'Données-G2'!B23</f>
        <v>2.0102090545374594E-3</v>
      </c>
      <c r="AB23" s="60">
        <f>AB22*(1+'Données-G2'!I23)+Z23</f>
        <v>37.245794729682125</v>
      </c>
      <c r="AC23" s="61">
        <f>AB23/'Données-G2'!B23</f>
        <v>4.0967616672372108E-2</v>
      </c>
      <c r="AD23" s="60">
        <f>'Données-G2'!C23-AB23</f>
        <v>265.55420527031788</v>
      </c>
      <c r="AE23" s="68">
        <f t="shared" si="13"/>
        <v>0.29208996522179054</v>
      </c>
      <c r="AF23" s="102">
        <f>D23-AE23</f>
        <v>4.0967616672372087E-2</v>
      </c>
    </row>
    <row r="24" spans="1:32">
      <c r="A24" s="69">
        <v>1989</v>
      </c>
      <c r="B24" s="60">
        <v>979.41650000000004</v>
      </c>
      <c r="C24" s="60">
        <v>333.3</v>
      </c>
      <c r="D24" s="65">
        <f t="shared" si="11"/>
        <v>0.34030466098947687</v>
      </c>
      <c r="E24" s="60">
        <v>-18.600000000000001</v>
      </c>
      <c r="F24" s="61">
        <f t="shared" si="0"/>
        <v>-1.8990899173130123E-2</v>
      </c>
      <c r="G24" s="60">
        <v>24.38</v>
      </c>
      <c r="H24" s="60">
        <f t="shared" si="1"/>
        <v>5.7799999999999976</v>
      </c>
      <c r="I24" s="64">
        <f t="shared" si="12"/>
        <v>7.3147314731473137E-2</v>
      </c>
      <c r="J24" s="60">
        <v>864.87809702305969</v>
      </c>
      <c r="K24" s="61">
        <f t="shared" si="3"/>
        <v>0.88305444825879453</v>
      </c>
      <c r="L24" s="62">
        <f t="shared" si="8"/>
        <v>0.2551724137931034</v>
      </c>
      <c r="M24" s="62">
        <v>0.56799999999999995</v>
      </c>
      <c r="N24" s="62">
        <v>0.42</v>
      </c>
      <c r="O24" s="63">
        <v>0.4</v>
      </c>
      <c r="P24" s="66">
        <v>1.03E-2</v>
      </c>
      <c r="Q24" s="66">
        <v>1.0999999999999999E-2</v>
      </c>
      <c r="R24" s="66"/>
      <c r="S24" s="61">
        <f t="shared" si="9"/>
        <v>8.6788479867727517E-2</v>
      </c>
      <c r="T24" s="60">
        <f>S24*'Données-G2'!J24/(1-S24)</f>
        <v>82.195037684864246</v>
      </c>
      <c r="U24" s="65">
        <f t="shared" si="10"/>
        <v>7.1162790697674394E-2</v>
      </c>
      <c r="V24" s="60">
        <f t="shared" si="4"/>
        <v>1.492561694736219</v>
      </c>
      <c r="W24" s="60">
        <f t="shared" si="5"/>
        <v>0.73489861742777385</v>
      </c>
      <c r="X24" s="64">
        <v>2.2352280567270219E-2</v>
      </c>
      <c r="Y24" s="60">
        <f t="shared" si="6"/>
        <v>0.84660888815410174</v>
      </c>
      <c r="Z24" s="60">
        <f t="shared" si="7"/>
        <v>3.0740692003180947</v>
      </c>
      <c r="AA24" s="64">
        <f>Z24/'Données-G2'!B24</f>
        <v>3.1386740986271873E-3</v>
      </c>
      <c r="AB24" s="60">
        <f>AB23*(1+'Données-G2'!I24)+Z24</f>
        <v>43.044293799516119</v>
      </c>
      <c r="AC24" s="61">
        <f>AB24/'Données-G2'!B24</f>
        <v>4.3948916318559177E-2</v>
      </c>
      <c r="AD24" s="60">
        <f>'Données-G2'!C24-AB24</f>
        <v>290.25570620048387</v>
      </c>
      <c r="AE24" s="68">
        <f t="shared" si="13"/>
        <v>0.29635574467091769</v>
      </c>
      <c r="AF24" s="102">
        <f t="shared" ref="AF24:AF48" si="14">D24-AE24</f>
        <v>4.3948916318559184E-2</v>
      </c>
    </row>
    <row r="25" spans="1:32">
      <c r="A25" s="69">
        <v>1990</v>
      </c>
      <c r="B25" s="60">
        <v>1032.7796000000001</v>
      </c>
      <c r="C25" s="60">
        <v>363.6</v>
      </c>
      <c r="D25" s="65">
        <f t="shared" si="11"/>
        <v>0.3520596262745701</v>
      </c>
      <c r="E25" s="60">
        <v>-25.6</v>
      </c>
      <c r="F25" s="61">
        <f t="shared" si="0"/>
        <v>-2.4787476437373474E-2</v>
      </c>
      <c r="G25" s="60">
        <v>27.85</v>
      </c>
      <c r="H25" s="60">
        <f t="shared" si="1"/>
        <v>2.25</v>
      </c>
      <c r="I25" s="64">
        <f t="shared" si="12"/>
        <v>7.6595159515951597E-2</v>
      </c>
      <c r="J25" s="60">
        <v>1001.3729305425798</v>
      </c>
      <c r="K25" s="61">
        <f t="shared" si="3"/>
        <v>0.96959015315811781</v>
      </c>
      <c r="L25" s="62">
        <f t="shared" si="8"/>
        <v>0.2551724137931034</v>
      </c>
      <c r="M25" s="62">
        <v>0.56799999999999995</v>
      </c>
      <c r="N25" s="62">
        <v>0.42</v>
      </c>
      <c r="O25" s="63">
        <v>0.4</v>
      </c>
      <c r="P25" s="66">
        <v>1.3299999999999999E-2</v>
      </c>
      <c r="Q25" s="66">
        <v>1.6E-2</v>
      </c>
      <c r="R25" s="66"/>
      <c r="S25" s="61">
        <f t="shared" si="9"/>
        <v>8.7672084071292122E-2</v>
      </c>
      <c r="T25" s="60">
        <f>S25*'Données-G2'!J25/(1-S25)</f>
        <v>96.229053414283101</v>
      </c>
      <c r="U25" s="65">
        <f t="shared" si="10"/>
        <v>7.0697674418604625E-2</v>
      </c>
      <c r="V25" s="60">
        <f t="shared" si="4"/>
        <v>1.7359813838073068</v>
      </c>
      <c r="W25" s="60">
        <f t="shared" si="5"/>
        <v>0.85848685278547132</v>
      </c>
      <c r="X25" s="64">
        <v>2.2303213591053771E-2</v>
      </c>
      <c r="Y25" s="60">
        <f t="shared" si="6"/>
        <v>1.2798464104099652</v>
      </c>
      <c r="Z25" s="60">
        <f t="shared" si="7"/>
        <v>3.874314647002743</v>
      </c>
      <c r="AA25" s="64">
        <f>Z25/'Données-G2'!B25</f>
        <v>3.7513469931074769E-3</v>
      </c>
      <c r="AB25" s="60">
        <f>AB24*(1+'Données-G2'!I25)+Z25</f>
        <v>50.215592996344277</v>
      </c>
      <c r="AC25" s="61">
        <f>AB25/'Données-G2'!B25</f>
        <v>4.862179016350078E-2</v>
      </c>
      <c r="AD25" s="60">
        <f>'Données-G2'!C25-AB25</f>
        <v>313.38440700365572</v>
      </c>
      <c r="AE25" s="68">
        <f t="shared" si="13"/>
        <v>0.30343783611106928</v>
      </c>
      <c r="AF25" s="102">
        <f t="shared" si="14"/>
        <v>4.8621790163500822E-2</v>
      </c>
    </row>
    <row r="26" spans="1:32">
      <c r="A26" s="69">
        <v>1991</v>
      </c>
      <c r="B26" s="60">
        <v>1071.1731</v>
      </c>
      <c r="C26" s="60">
        <v>385.1</v>
      </c>
      <c r="D26" s="65">
        <f t="shared" si="11"/>
        <v>0.35951238880065234</v>
      </c>
      <c r="E26" s="60">
        <v>-32</v>
      </c>
      <c r="F26" s="61">
        <f t="shared" si="0"/>
        <v>-2.9873789773100165E-2</v>
      </c>
      <c r="G26" s="60">
        <v>30.2805</v>
      </c>
      <c r="H26" s="60">
        <f t="shared" si="1"/>
        <v>-1.7195</v>
      </c>
      <c r="I26" s="64">
        <f t="shared" si="12"/>
        <v>7.8630225915346658E-2</v>
      </c>
      <c r="J26" s="60">
        <v>941.22540839629846</v>
      </c>
      <c r="K26" s="61">
        <f t="shared" si="3"/>
        <v>0.87868656186035521</v>
      </c>
      <c r="L26" s="62">
        <f t="shared" si="8"/>
        <v>0.2741379310344827</v>
      </c>
      <c r="M26" s="62">
        <v>0.57899999999999996</v>
      </c>
      <c r="N26" s="62">
        <v>0.42</v>
      </c>
      <c r="O26" s="63">
        <v>0.4</v>
      </c>
      <c r="P26" s="66">
        <v>1.3299999999999999E-2</v>
      </c>
      <c r="Q26" s="66">
        <v>1.6E-2</v>
      </c>
      <c r="R26" s="66"/>
      <c r="S26" s="61">
        <f t="shared" si="9"/>
        <v>8.8555688274856728E-2</v>
      </c>
      <c r="T26" s="60">
        <f>S26*'Données-G2'!J26/(1-S26)</f>
        <v>91.449211751131926</v>
      </c>
      <c r="U26" s="65">
        <f t="shared" si="10"/>
        <v>7.0232558139534856E-2</v>
      </c>
      <c r="V26" s="60">
        <f t="shared" si="4"/>
        <v>1.7607090015500602</v>
      </c>
      <c r="W26" s="60">
        <f t="shared" si="5"/>
        <v>0.81518646612991541</v>
      </c>
      <c r="X26" s="64">
        <v>2.2285223965307313E-2</v>
      </c>
      <c r="Y26" s="60">
        <f t="shared" si="6"/>
        <v>1.2162745162900546</v>
      </c>
      <c r="Z26" s="60">
        <f t="shared" si="7"/>
        <v>3.7921699839700302</v>
      </c>
      <c r="AA26" s="64">
        <f>Z26/'Données-G2'!B26</f>
        <v>3.5402027776556657E-3</v>
      </c>
      <c r="AB26" s="60">
        <f>AB25*(1+'Données-G2'!I26)+Z26</f>
        <v>57.956226402089953</v>
      </c>
      <c r="AC26" s="61">
        <f>AB26/'Données-G2'!B26</f>
        <v>5.4105378861819771E-2</v>
      </c>
      <c r="AD26" s="60">
        <f>'Données-G2'!C26-AB26</f>
        <v>327.14377359791007</v>
      </c>
      <c r="AE26" s="68">
        <f t="shared" si="13"/>
        <v>0.30540700993883257</v>
      </c>
      <c r="AF26" s="102">
        <f t="shared" si="14"/>
        <v>5.4105378861819764E-2</v>
      </c>
    </row>
    <row r="27" spans="1:32">
      <c r="A27" s="69">
        <v>1992</v>
      </c>
      <c r="B27" s="60">
        <v>1107.9846</v>
      </c>
      <c r="C27" s="60">
        <v>440.1</v>
      </c>
      <c r="D27" s="65">
        <f t="shared" si="11"/>
        <v>0.39720768682163998</v>
      </c>
      <c r="E27" s="60">
        <v>-51</v>
      </c>
      <c r="F27" s="61">
        <f t="shared" si="0"/>
        <v>-4.6029520626911243E-2</v>
      </c>
      <c r="G27" s="60">
        <v>33.375699999999995</v>
      </c>
      <c r="H27" s="60">
        <f t="shared" si="1"/>
        <v>-17.624300000000005</v>
      </c>
      <c r="I27" s="64">
        <f t="shared" si="12"/>
        <v>7.5836628039082005E-2</v>
      </c>
      <c r="J27" s="60">
        <v>999.10202643260686</v>
      </c>
      <c r="K27" s="61">
        <f t="shared" si="3"/>
        <v>0.90172916341310783</v>
      </c>
      <c r="L27" s="62">
        <f t="shared" si="8"/>
        <v>0.2741379310344827</v>
      </c>
      <c r="M27" s="62">
        <v>0.57899999999999996</v>
      </c>
      <c r="N27" s="62">
        <v>0.42</v>
      </c>
      <c r="O27" s="63">
        <v>0.4</v>
      </c>
      <c r="P27" s="66">
        <v>1.3299999999999999E-2</v>
      </c>
      <c r="Q27" s="66">
        <v>1.6E-2</v>
      </c>
      <c r="R27" s="66"/>
      <c r="S27" s="61">
        <f t="shared" si="9"/>
        <v>8.9439292478421334E-2</v>
      </c>
      <c r="T27" s="60">
        <f>S27*'Données-G2'!J27/(1-S27)</f>
        <v>98.136211698736972</v>
      </c>
      <c r="U27" s="65">
        <f t="shared" si="10"/>
        <v>6.9767441860465088E-2</v>
      </c>
      <c r="V27" s="60">
        <f t="shared" si="4"/>
        <v>1.8769435838130517</v>
      </c>
      <c r="W27" s="60">
        <f t="shared" si="5"/>
        <v>0.87293416236240218</v>
      </c>
      <c r="X27" s="64">
        <v>2.2237819945663262E-2</v>
      </c>
      <c r="Y27" s="60">
        <f t="shared" si="6"/>
        <v>1.3052116155932016</v>
      </c>
      <c r="Z27" s="60">
        <f t="shared" si="7"/>
        <v>4.0550893617686556</v>
      </c>
      <c r="AA27" s="64">
        <f>Z27/'Données-G2'!B27</f>
        <v>3.6598788121862485E-3</v>
      </c>
      <c r="AB27" s="60">
        <f>AB26*(1+'Données-G2'!I27)+Z27</f>
        <v>66.40652054806273</v>
      </c>
      <c r="AC27" s="61">
        <f>AB27/'Données-G2'!B27</f>
        <v>5.9934515829969774E-2</v>
      </c>
      <c r="AD27" s="60">
        <f>'Données-G2'!C27-AB27</f>
        <v>373.69347945193726</v>
      </c>
      <c r="AE27" s="68">
        <f t="shared" si="13"/>
        <v>0.33727317099167015</v>
      </c>
      <c r="AF27" s="102">
        <f t="shared" si="14"/>
        <v>5.9934515829969837E-2</v>
      </c>
    </row>
    <row r="28" spans="1:32">
      <c r="A28" s="69">
        <v>1993</v>
      </c>
      <c r="B28" s="60">
        <v>1119.8327000000002</v>
      </c>
      <c r="C28" s="60">
        <v>515.4</v>
      </c>
      <c r="D28" s="65">
        <f t="shared" si="11"/>
        <v>0.46024732087212661</v>
      </c>
      <c r="E28" s="60">
        <v>-72.3</v>
      </c>
      <c r="F28" s="61">
        <f t="shared" si="0"/>
        <v>-6.456321555889552E-2</v>
      </c>
      <c r="G28" s="60">
        <v>36.790199999999999</v>
      </c>
      <c r="H28" s="60">
        <f t="shared" si="1"/>
        <v>-35.509799999999998</v>
      </c>
      <c r="I28" s="64">
        <f t="shared" si="12"/>
        <v>7.1381839348079165E-2</v>
      </c>
      <c r="J28" s="60">
        <v>1078.8629633710921</v>
      </c>
      <c r="K28" s="61">
        <f t="shared" si="3"/>
        <v>0.96341441303785103</v>
      </c>
      <c r="L28" s="62">
        <f t="shared" si="8"/>
        <v>0.38830584707646176</v>
      </c>
      <c r="M28" s="62">
        <v>0.59199999999999997</v>
      </c>
      <c r="N28" s="62">
        <v>0.33300000000000002</v>
      </c>
      <c r="O28" s="63">
        <v>0.4</v>
      </c>
      <c r="P28" s="66">
        <v>1.3299999999999999E-2</v>
      </c>
      <c r="Q28" s="66">
        <v>1.6E-2</v>
      </c>
      <c r="R28" s="66"/>
      <c r="S28" s="61">
        <f t="shared" si="9"/>
        <v>9.032289668198594E-2</v>
      </c>
      <c r="T28" s="60">
        <f>S28*'Données-G2'!J28/(1-S28)</f>
        <v>107.12155732969148</v>
      </c>
      <c r="U28" s="65">
        <f t="shared" si="10"/>
        <v>6.9302325581395319E-2</v>
      </c>
      <c r="V28" s="60">
        <f t="shared" si="4"/>
        <v>2.8826944799066436</v>
      </c>
      <c r="W28" s="60">
        <f t="shared" si="5"/>
        <v>0.97663144463623819</v>
      </c>
      <c r="X28" s="64">
        <v>2.2792598170283035E-2</v>
      </c>
      <c r="Y28" s="60">
        <f t="shared" si="6"/>
        <v>1.4247167124848967</v>
      </c>
      <c r="Z28" s="60">
        <f t="shared" si="7"/>
        <v>5.2840426370277784</v>
      </c>
      <c r="AA28" s="64">
        <f>Z28/'Données-G2'!B28</f>
        <v>4.7186000525147884E-3</v>
      </c>
      <c r="AB28" s="60">
        <f>AB27*(1+'Données-G2'!I28)+Z28</f>
        <v>76.43078276651724</v>
      </c>
      <c r="AC28" s="61">
        <f>AB28/'Données-G2'!B28</f>
        <v>6.8251965464588796E-2</v>
      </c>
      <c r="AD28" s="60">
        <f>'Données-G2'!C28-AB28</f>
        <v>438.96921723348271</v>
      </c>
      <c r="AE28" s="68">
        <f t="shared" si="13"/>
        <v>0.39199535540753777</v>
      </c>
      <c r="AF28" s="102">
        <f t="shared" si="14"/>
        <v>6.8251965464588837E-2</v>
      </c>
    </row>
    <row r="29" spans="1:32">
      <c r="A29" s="69">
        <v>1994</v>
      </c>
      <c r="B29" s="60">
        <v>1157.8812999999998</v>
      </c>
      <c r="C29" s="60">
        <v>570</v>
      </c>
      <c r="D29" s="65">
        <f t="shared" si="11"/>
        <v>0.49227843994025994</v>
      </c>
      <c r="E29" s="60">
        <v>-63.3</v>
      </c>
      <c r="F29" s="61">
        <f t="shared" si="0"/>
        <v>-5.4668816224944655E-2</v>
      </c>
      <c r="G29" s="60">
        <v>38.9009</v>
      </c>
      <c r="H29" s="60">
        <f t="shared" si="1"/>
        <v>-24.399099999999997</v>
      </c>
      <c r="I29" s="64">
        <f t="shared" si="12"/>
        <v>6.8247192982456142E-2</v>
      </c>
      <c r="J29" s="60">
        <v>1183.2240708426723</v>
      </c>
      <c r="K29" s="61">
        <f t="shared" si="3"/>
        <v>1.0218871924459549</v>
      </c>
      <c r="L29" s="62">
        <f t="shared" si="8"/>
        <v>0.38830584707646176</v>
      </c>
      <c r="M29" s="62">
        <v>0.59199999999999997</v>
      </c>
      <c r="N29" s="62">
        <v>0.33300000000000002</v>
      </c>
      <c r="O29" s="63">
        <v>0.4</v>
      </c>
      <c r="P29" s="66">
        <v>1.3299999999999999E-2</v>
      </c>
      <c r="Q29" s="66">
        <v>1.6E-2</v>
      </c>
      <c r="R29" s="66"/>
      <c r="S29" s="61">
        <f t="shared" si="9"/>
        <v>9.1206500885550545E-2</v>
      </c>
      <c r="T29" s="60">
        <f>S29*'Données-G2'!J29/(1-S29)</f>
        <v>118.74834862955619</v>
      </c>
      <c r="U29" s="65">
        <f t="shared" si="10"/>
        <v>6.883720930232555E-2</v>
      </c>
      <c r="V29" s="60">
        <f t="shared" si="4"/>
        <v>3.17413039968491</v>
      </c>
      <c r="W29" s="60">
        <f t="shared" si="5"/>
        <v>1.0603473874692282</v>
      </c>
      <c r="X29" s="64">
        <v>2.2323413329667769E-2</v>
      </c>
      <c r="Y29" s="60">
        <f t="shared" si="6"/>
        <v>1.5793530367730972</v>
      </c>
      <c r="Z29" s="60">
        <f t="shared" si="7"/>
        <v>5.8138308239272352</v>
      </c>
      <c r="AA29" s="64">
        <f>Z29/'Données-G2'!B29</f>
        <v>5.0210939790868341E-3</v>
      </c>
      <c r="AB29" s="60">
        <f>AB28*(1+'Données-G2'!I29)+Z29</f>
        <v>87.460799971711168</v>
      </c>
      <c r="AC29" s="61">
        <f>AB29/'Données-G2'!B29</f>
        <v>7.5535203800001935E-2</v>
      </c>
      <c r="AD29" s="60">
        <f>'Données-G2'!C29-AB29</f>
        <v>482.53920002828886</v>
      </c>
      <c r="AE29" s="68">
        <f t="shared" si="13"/>
        <v>0.41674323614025804</v>
      </c>
      <c r="AF29" s="102">
        <f t="shared" si="14"/>
        <v>7.5535203800001893E-2</v>
      </c>
    </row>
    <row r="30" spans="1:32">
      <c r="A30" s="69">
        <v>1995</v>
      </c>
      <c r="B30" s="60">
        <v>1196.1804999999999</v>
      </c>
      <c r="C30" s="60">
        <v>663.5</v>
      </c>
      <c r="D30" s="65">
        <f t="shared" si="11"/>
        <v>0.55468217380236517</v>
      </c>
      <c r="E30" s="60">
        <v>-65.400000000000006</v>
      </c>
      <c r="F30" s="61">
        <f t="shared" si="0"/>
        <v>-5.4674022858590327E-2</v>
      </c>
      <c r="G30" s="60">
        <v>41.658699999999996</v>
      </c>
      <c r="H30" s="60">
        <f t="shared" si="1"/>
        <v>-23.74130000000001</v>
      </c>
      <c r="I30" s="64">
        <f t="shared" si="12"/>
        <v>6.2786284853051988E-2</v>
      </c>
      <c r="J30" s="60">
        <v>1144.2824665633216</v>
      </c>
      <c r="K30" s="61">
        <f t="shared" si="3"/>
        <v>0.956613543326715</v>
      </c>
      <c r="L30" s="62">
        <f t="shared" si="8"/>
        <v>0.38830584707646176</v>
      </c>
      <c r="M30" s="62">
        <v>0.59199999999999997</v>
      </c>
      <c r="N30" s="62">
        <v>0.33300000000000002</v>
      </c>
      <c r="O30" s="63">
        <v>0.4</v>
      </c>
      <c r="P30" s="66">
        <v>1.34E-2</v>
      </c>
      <c r="Q30" s="66">
        <f>1.6*1.1/100</f>
        <v>1.7600000000000001E-2</v>
      </c>
      <c r="R30" s="66"/>
      <c r="S30" s="61">
        <f t="shared" si="9"/>
        <v>9.2090105089115151E-2</v>
      </c>
      <c r="T30" s="60">
        <f>S30*'Données-G2'!J30/(1-S30)</f>
        <v>116.06558446836995</v>
      </c>
      <c r="U30" s="65">
        <f t="shared" si="10"/>
        <v>6.8372093023255781E-2</v>
      </c>
      <c r="V30" s="60">
        <f t="shared" si="4"/>
        <v>3.0814581063869788</v>
      </c>
      <c r="W30" s="60">
        <f t="shared" si="5"/>
        <v>1.0877174163544281</v>
      </c>
      <c r="X30" s="64">
        <v>2.3428939365114976E-2</v>
      </c>
      <c r="Y30" s="60">
        <f t="shared" si="6"/>
        <v>1.5552788318761575</v>
      </c>
      <c r="Z30" s="60">
        <f t="shared" si="7"/>
        <v>5.7244543546175644</v>
      </c>
      <c r="AA30" s="64">
        <f>Z30/'Données-G2'!B30</f>
        <v>4.7856108293167837E-3</v>
      </c>
      <c r="AB30" s="60">
        <f>AB29*(1+'Données-G2'!I30)+Z30</f>
        <v>98.6765930268284</v>
      </c>
      <c r="AC30" s="61">
        <f>AB30/'Données-G2'!B30</f>
        <v>8.2493062733281816E-2</v>
      </c>
      <c r="AD30" s="60">
        <f>'Données-G2'!C30-AB30</f>
        <v>564.82340697317159</v>
      </c>
      <c r="AE30" s="68">
        <f t="shared" si="13"/>
        <v>0.47218911106908329</v>
      </c>
      <c r="AF30" s="102">
        <f t="shared" si="14"/>
        <v>8.2493062733281886E-2</v>
      </c>
    </row>
    <row r="31" spans="1:32">
      <c r="A31" s="69">
        <v>1996</v>
      </c>
      <c r="B31" s="60">
        <v>1226.6071999999999</v>
      </c>
      <c r="C31" s="60">
        <v>712.7</v>
      </c>
      <c r="D31" s="65">
        <f t="shared" si="11"/>
        <v>0.58103360228115419</v>
      </c>
      <c r="E31" s="60">
        <v>-49.4</v>
      </c>
      <c r="F31" s="61">
        <f t="shared" si="0"/>
        <v>-4.0273691528958905E-2</v>
      </c>
      <c r="G31" s="60">
        <v>45.1798</v>
      </c>
      <c r="H31" s="60">
        <f t="shared" si="1"/>
        <v>-4.2201999999999984</v>
      </c>
      <c r="I31" s="64">
        <f t="shared" si="12"/>
        <v>6.33924512417567E-2</v>
      </c>
      <c r="J31" s="60">
        <v>1214.5377346104558</v>
      </c>
      <c r="K31" s="61">
        <f t="shared" si="3"/>
        <v>0.99016028489842212</v>
      </c>
      <c r="L31" s="62">
        <f t="shared" si="8"/>
        <v>0.36881559220389815</v>
      </c>
      <c r="M31" s="62">
        <v>0.57900000000000007</v>
      </c>
      <c r="N31" s="62">
        <v>0.33300000000000002</v>
      </c>
      <c r="O31" s="63">
        <v>0.4</v>
      </c>
      <c r="P31" s="66">
        <v>1.34E-2</v>
      </c>
      <c r="Q31" s="66">
        <f t="shared" ref="Q31:Q32" si="15">1.6*1.1/100</f>
        <v>1.7600000000000001E-2</v>
      </c>
      <c r="R31" s="66"/>
      <c r="S31" s="61">
        <f t="shared" si="9"/>
        <v>9.2973709292679757E-2</v>
      </c>
      <c r="T31" s="60">
        <f>S31*'Données-G2'!J31/(1-S31)</f>
        <v>124.49482382104344</v>
      </c>
      <c r="U31" s="65">
        <f t="shared" si="10"/>
        <v>6.7906976744186012E-2</v>
      </c>
      <c r="V31" s="60">
        <f t="shared" si="4"/>
        <v>3.1179917662261394</v>
      </c>
      <c r="W31" s="60">
        <f t="shared" si="5"/>
        <v>1.2073714103295812</v>
      </c>
      <c r="X31" s="64">
        <v>2.4245413850802571E-2</v>
      </c>
      <c r="Y31" s="60">
        <f t="shared" si="6"/>
        <v>1.6682306392019821</v>
      </c>
      <c r="Z31" s="60">
        <f t="shared" si="7"/>
        <v>5.9935938157577029</v>
      </c>
      <c r="AA31" s="64">
        <f>Z31/'Données-G2'!B31</f>
        <v>4.8863187952571151E-3</v>
      </c>
      <c r="AB31" s="60">
        <f>AB30*(1+'Données-G2'!I31)+Z31</f>
        <v>110.925537954742</v>
      </c>
      <c r="AC31" s="61">
        <f>AB31/'Données-G2'!B31</f>
        <v>9.0432811705933244E-2</v>
      </c>
      <c r="AD31" s="60">
        <f>'Données-G2'!C31-AB31</f>
        <v>601.77446204525802</v>
      </c>
      <c r="AE31" s="68">
        <f t="shared" si="13"/>
        <v>0.49060079057522088</v>
      </c>
      <c r="AF31" s="102">
        <f t="shared" si="14"/>
        <v>9.0432811705933314E-2</v>
      </c>
    </row>
    <row r="32" spans="1:32">
      <c r="A32" s="69">
        <v>1997</v>
      </c>
      <c r="B32" s="60">
        <v>1264.8432</v>
      </c>
      <c r="C32" s="60">
        <v>752.5</v>
      </c>
      <c r="D32" s="65">
        <f t="shared" si="11"/>
        <v>0.59493540385084887</v>
      </c>
      <c r="E32" s="60">
        <v>-41.8</v>
      </c>
      <c r="F32" s="61">
        <f t="shared" si="0"/>
        <v>-3.3047574592645158E-2</v>
      </c>
      <c r="G32" s="60">
        <v>45.058900000000001</v>
      </c>
      <c r="H32" s="60">
        <f t="shared" si="1"/>
        <v>3.2589000000000041</v>
      </c>
      <c r="I32" s="64">
        <f t="shared" si="12"/>
        <v>5.9878936877076412E-2</v>
      </c>
      <c r="J32" s="60">
        <v>1353.6610000000001</v>
      </c>
      <c r="K32" s="61">
        <f t="shared" si="3"/>
        <v>1.070220403604178</v>
      </c>
      <c r="L32" s="62">
        <f t="shared" si="8"/>
        <v>0.36881559220389815</v>
      </c>
      <c r="M32" s="62">
        <v>0.57900000000000007</v>
      </c>
      <c r="N32" s="62">
        <v>0.33300000000000002</v>
      </c>
      <c r="O32" s="63">
        <v>0.4</v>
      </c>
      <c r="P32" s="66">
        <v>1.3299999999999999E-2</v>
      </c>
      <c r="Q32" s="66">
        <f t="shared" si="15"/>
        <v>1.7600000000000001E-2</v>
      </c>
      <c r="R32" s="66"/>
      <c r="S32" s="61">
        <f t="shared" si="9"/>
        <v>9.3857313496244363E-2</v>
      </c>
      <c r="T32" s="60">
        <f>S32*'Données-G2'!J32/(1-S32)</f>
        <v>140.21079321938893</v>
      </c>
      <c r="U32" s="65">
        <f t="shared" si="10"/>
        <v>6.7441860465116243E-2</v>
      </c>
      <c r="V32" s="60">
        <f t="shared" si="4"/>
        <v>3.4875485472163463</v>
      </c>
      <c r="W32" s="60">
        <f t="shared" si="5"/>
        <v>1.3799420050563667</v>
      </c>
      <c r="X32" s="64">
        <v>2.4604774949407077E-2</v>
      </c>
      <c r="Y32" s="60">
        <f t="shared" si="6"/>
        <v>1.8648035498178728</v>
      </c>
      <c r="Z32" s="60">
        <f t="shared" si="7"/>
        <v>6.7322941020905862</v>
      </c>
      <c r="AA32" s="64">
        <f>Z32/'Données-G2'!B32</f>
        <v>5.3226313760398013E-3</v>
      </c>
      <c r="AB32" s="60">
        <f>AB31*(1+'Données-G2'!I32)+Z32</f>
        <v>124.29993534208033</v>
      </c>
      <c r="AC32" s="61">
        <f>AB32/'Données-G2'!B32</f>
        <v>9.8272999643023204E-2</v>
      </c>
      <c r="AD32" s="60">
        <f>'Données-G2'!C32-AB32</f>
        <v>628.20006465791971</v>
      </c>
      <c r="AE32" s="68">
        <f t="shared" si="13"/>
        <v>0.4966624042078257</v>
      </c>
      <c r="AF32" s="102">
        <f t="shared" si="14"/>
        <v>9.8272999643023162E-2</v>
      </c>
    </row>
    <row r="33" spans="1:32">
      <c r="A33" s="69">
        <v>1998</v>
      </c>
      <c r="B33" s="60">
        <v>1321.1034999999999</v>
      </c>
      <c r="C33" s="60">
        <v>787.4</v>
      </c>
      <c r="D33" s="65">
        <f t="shared" si="11"/>
        <v>0.59601689042531492</v>
      </c>
      <c r="E33" s="60">
        <v>-34.6</v>
      </c>
      <c r="F33" s="61">
        <f t="shared" si="0"/>
        <v>-2.6190226579522347E-2</v>
      </c>
      <c r="G33" s="60">
        <v>45.157800000000002</v>
      </c>
      <c r="H33" s="60">
        <f t="shared" si="1"/>
        <v>10.5578</v>
      </c>
      <c r="I33" s="64">
        <f t="shared" si="12"/>
        <v>5.7350520701041408E-2</v>
      </c>
      <c r="J33" s="60">
        <v>1468.252</v>
      </c>
      <c r="K33" s="61">
        <f t="shared" si="3"/>
        <v>1.1113830218449956</v>
      </c>
      <c r="L33" s="62">
        <f t="shared" si="8"/>
        <v>0.43028485757121437</v>
      </c>
      <c r="M33" s="62">
        <v>0.62</v>
      </c>
      <c r="N33" s="62">
        <v>0.33300000000000002</v>
      </c>
      <c r="O33" s="63">
        <v>0.4</v>
      </c>
      <c r="P33" s="66">
        <v>1.34E-2</v>
      </c>
      <c r="Q33" s="66">
        <v>1.7999999999999999E-2</v>
      </c>
      <c r="R33" s="66"/>
      <c r="S33" s="61">
        <f t="shared" si="9"/>
        <v>9.4740917699808969E-2</v>
      </c>
      <c r="T33" s="60">
        <f>S33*'Données-G2'!J33/(1-S33)</f>
        <v>153.66158110353217</v>
      </c>
      <c r="U33" s="65">
        <f t="shared" si="10"/>
        <v>6.6976744186046475E-2</v>
      </c>
      <c r="V33" s="60">
        <f t="shared" si="4"/>
        <v>4.428385219376433</v>
      </c>
      <c r="W33" s="60">
        <f t="shared" si="5"/>
        <v>1.5592947290587837</v>
      </c>
      <c r="X33" s="64">
        <v>2.5368975085714198E-2</v>
      </c>
      <c r="Y33" s="60">
        <f t="shared" si="6"/>
        <v>2.0590651867873313</v>
      </c>
      <c r="Z33" s="60">
        <f t="shared" si="7"/>
        <v>8.0467451352225474</v>
      </c>
      <c r="AA33" s="64">
        <f>Z33/'Données-G2'!B33</f>
        <v>6.090927119050512E-3</v>
      </c>
      <c r="AB33" s="60">
        <f>AB32*(1+'Données-G2'!I33)+Z33</f>
        <v>139.47534649227697</v>
      </c>
      <c r="AC33" s="61">
        <f>AB33/'Données-G2'!B33</f>
        <v>0.1055748822800613</v>
      </c>
      <c r="AD33" s="60">
        <f>'Données-G2'!C33-AB33</f>
        <v>647.92465350772295</v>
      </c>
      <c r="AE33" s="68">
        <f t="shared" si="13"/>
        <v>0.49044200814525357</v>
      </c>
      <c r="AF33" s="102">
        <f t="shared" si="14"/>
        <v>0.10557488228006134</v>
      </c>
    </row>
    <row r="34" spans="1:32">
      <c r="A34" s="69">
        <v>1999</v>
      </c>
      <c r="B34" s="60">
        <v>1367.0046999999997</v>
      </c>
      <c r="C34" s="60">
        <v>805.9</v>
      </c>
      <c r="D34" s="65">
        <f t="shared" si="11"/>
        <v>0.58953710985777896</v>
      </c>
      <c r="E34" s="60">
        <v>-24.6</v>
      </c>
      <c r="F34" s="61">
        <f t="shared" si="0"/>
        <v>-1.7995548954586629E-2</v>
      </c>
      <c r="G34" s="60">
        <v>42.392000000000003</v>
      </c>
      <c r="H34" s="60">
        <f t="shared" si="1"/>
        <v>17.792000000000002</v>
      </c>
      <c r="I34" s="64">
        <f t="shared" si="12"/>
        <v>5.26020598089093E-2</v>
      </c>
      <c r="J34" s="60">
        <v>1611.6510000000003</v>
      </c>
      <c r="K34" s="61">
        <f t="shared" si="3"/>
        <v>1.1789652222848983</v>
      </c>
      <c r="L34" s="62">
        <f t="shared" si="8"/>
        <v>0.43028485757121437</v>
      </c>
      <c r="M34" s="62">
        <v>0.62</v>
      </c>
      <c r="N34" s="62">
        <v>0.33300000000000002</v>
      </c>
      <c r="O34" s="63">
        <v>0.4</v>
      </c>
      <c r="P34" s="66">
        <v>1.47E-2</v>
      </c>
      <c r="Q34" s="66">
        <v>1.7999999999999999E-2</v>
      </c>
      <c r="R34" s="66"/>
      <c r="S34" s="61">
        <f t="shared" si="9"/>
        <v>9.5624521903373574E-2</v>
      </c>
      <c r="T34" s="60">
        <f>S34*'Données-G2'!J34/(1-S34)</f>
        <v>170.40859696289553</v>
      </c>
      <c r="U34" s="65">
        <f t="shared" si="10"/>
        <v>6.6511627906976706E-2</v>
      </c>
      <c r="V34" s="60">
        <f t="shared" si="4"/>
        <v>4.876914492489238</v>
      </c>
      <c r="W34" s="60">
        <f t="shared" si="5"/>
        <v>1.7785267534875786</v>
      </c>
      <c r="X34" s="64">
        <v>2.6092092552625616E-2</v>
      </c>
      <c r="Y34" s="60">
        <f t="shared" si="6"/>
        <v>2.5050063753545642</v>
      </c>
      <c r="Z34" s="60">
        <f t="shared" si="7"/>
        <v>9.1604476213313806</v>
      </c>
      <c r="AA34" s="64">
        <f>Z34/'Données-G2'!B34</f>
        <v>6.7011090900648568E-3</v>
      </c>
      <c r="AB34" s="60">
        <f>AB33*(1+'Données-G2'!I34)+Z34</f>
        <v>155.97248463166343</v>
      </c>
      <c r="AC34" s="61">
        <f>AB34/'Données-G2'!B34</f>
        <v>0.11409798710396787</v>
      </c>
      <c r="AD34" s="60">
        <f>'Données-G2'!C34-AB34</f>
        <v>649.92751536833657</v>
      </c>
      <c r="AE34" s="68">
        <f t="shared" si="13"/>
        <v>0.47543912275381106</v>
      </c>
      <c r="AF34" s="102">
        <f t="shared" si="14"/>
        <v>0.1140979871039679</v>
      </c>
    </row>
    <row r="35" spans="1:32">
      <c r="A35" s="69">
        <v>2000</v>
      </c>
      <c r="B35" s="60">
        <v>1439.6034000000004</v>
      </c>
      <c r="C35" s="60">
        <v>827.3</v>
      </c>
      <c r="D35" s="65">
        <f t="shared" si="11"/>
        <v>0.57467216318049796</v>
      </c>
      <c r="E35" s="60">
        <v>-21.7</v>
      </c>
      <c r="F35" s="61">
        <f t="shared" si="0"/>
        <v>-1.5073595963999525E-2</v>
      </c>
      <c r="G35" s="60">
        <v>42.953699999999998</v>
      </c>
      <c r="H35" s="60">
        <f t="shared" si="1"/>
        <v>21.253699999999998</v>
      </c>
      <c r="I35" s="64">
        <f t="shared" si="12"/>
        <v>5.1920343285386195E-2</v>
      </c>
      <c r="J35" s="60">
        <v>1856.0219999999999</v>
      </c>
      <c r="K35" s="61">
        <f t="shared" si="3"/>
        <v>1.2892592501518123</v>
      </c>
      <c r="L35" s="62">
        <v>0.40799999999999997</v>
      </c>
      <c r="M35" s="62">
        <v>0.61249999999999993</v>
      </c>
      <c r="N35" s="62">
        <v>0.33300000000000002</v>
      </c>
      <c r="O35" s="63">
        <v>0.4</v>
      </c>
      <c r="P35" s="66">
        <v>1.47E-2</v>
      </c>
      <c r="Q35" s="66">
        <v>1.7999999999999999E-2</v>
      </c>
      <c r="R35" s="66"/>
      <c r="S35" s="61">
        <f t="shared" si="9"/>
        <v>9.650812610693818E-2</v>
      </c>
      <c r="T35" s="60">
        <f>S35*'Données-G2'!J35/(1-S35)</f>
        <v>198.25436222401768</v>
      </c>
      <c r="U35" s="65">
        <f t="shared" si="10"/>
        <v>6.6046511627906937E-2</v>
      </c>
      <c r="V35" s="60">
        <f t="shared" si="4"/>
        <v>5.3423556882840382</v>
      </c>
      <c r="W35" s="60">
        <f t="shared" si="5"/>
        <v>2.1012544028589035</v>
      </c>
      <c r="X35" s="64">
        <v>2.6496950423776668E-2</v>
      </c>
      <c r="Y35" s="60">
        <f t="shared" si="6"/>
        <v>2.9143391246930599</v>
      </c>
      <c r="Z35" s="60">
        <f t="shared" si="7"/>
        <v>10.357949215836001</v>
      </c>
      <c r="AA35" s="64">
        <f>Z35/'Données-G2'!B35</f>
        <v>7.1950019122183221E-3</v>
      </c>
      <c r="AB35" s="60">
        <f>AB34*(1+'Données-G2'!I35)+Z35</f>
        <v>174.42857879265006</v>
      </c>
      <c r="AC35" s="61">
        <f>AB35/'Données-G2'!B35</f>
        <v>0.1211643281702794</v>
      </c>
      <c r="AD35" s="60">
        <f>'Données-G2'!C35-AB35</f>
        <v>652.87142120734984</v>
      </c>
      <c r="AE35" s="68">
        <f t="shared" si="13"/>
        <v>0.45350783501021852</v>
      </c>
      <c r="AF35" s="102">
        <f t="shared" si="14"/>
        <v>0.12116432817027945</v>
      </c>
    </row>
    <row r="36" spans="1:32">
      <c r="A36" s="69">
        <v>2001</v>
      </c>
      <c r="B36" s="60">
        <v>1495.5536000000002</v>
      </c>
      <c r="C36" s="60">
        <v>853.3</v>
      </c>
      <c r="D36" s="65">
        <f t="shared" si="11"/>
        <v>0.57055795258692155</v>
      </c>
      <c r="E36" s="60">
        <v>-24.6</v>
      </c>
      <c r="F36" s="61">
        <f t="shared" si="0"/>
        <v>-1.6448758506549012E-2</v>
      </c>
      <c r="G36" s="60">
        <v>46.642000000000003</v>
      </c>
      <c r="H36" s="60">
        <f t="shared" si="1"/>
        <v>22.042000000000002</v>
      </c>
      <c r="I36" s="64">
        <f t="shared" si="12"/>
        <v>5.4660728934724019E-2</v>
      </c>
      <c r="J36" s="60">
        <v>1930.5819999999994</v>
      </c>
      <c r="K36" s="61">
        <f t="shared" si="3"/>
        <v>1.2908811827272517</v>
      </c>
      <c r="L36" s="62">
        <v>0.40100000000000002</v>
      </c>
      <c r="M36" s="62"/>
      <c r="N36" s="62"/>
      <c r="O36" s="63">
        <v>0.4</v>
      </c>
      <c r="P36" s="66">
        <v>1.47E-2</v>
      </c>
      <c r="Q36" s="66">
        <v>1.7999999999999999E-2</v>
      </c>
      <c r="R36" s="66"/>
      <c r="S36" s="61">
        <f t="shared" si="9"/>
        <v>9.7391730310502786E-2</v>
      </c>
      <c r="T36" s="60">
        <f>S36*'Données-G2'!J36/(1-S36)</f>
        <v>208.31043521348636</v>
      </c>
      <c r="U36" s="65">
        <f t="shared" si="10"/>
        <v>6.5581395348837168E-2</v>
      </c>
      <c r="V36" s="60">
        <f t="shared" si="4"/>
        <v>5.4781768918166165</v>
      </c>
      <c r="W36" s="60">
        <f t="shared" si="5"/>
        <v>2.1719442112155014</v>
      </c>
      <c r="X36" s="64">
        <v>2.6066195495554393E-2</v>
      </c>
      <c r="Y36" s="60">
        <f t="shared" si="6"/>
        <v>3.0621633976382494</v>
      </c>
      <c r="Z36" s="60">
        <f t="shared" si="7"/>
        <v>10.712284500670368</v>
      </c>
      <c r="AA36" s="64">
        <f>Z36/'Données-G2'!B36</f>
        <v>7.1627553172754002E-3</v>
      </c>
      <c r="AB36" s="60">
        <f>AB35*(1+'Données-G2'!I36)+Z36</f>
        <v>194.67525655717463</v>
      </c>
      <c r="AC36" s="61">
        <f>AB36/'Données-G2'!B36</f>
        <v>0.13016936106948931</v>
      </c>
      <c r="AD36" s="60">
        <f>'Données-G2'!C36-AB36</f>
        <v>658.62474344282532</v>
      </c>
      <c r="AE36" s="68">
        <f t="shared" si="13"/>
        <v>0.44038859151743226</v>
      </c>
      <c r="AF36" s="102">
        <f t="shared" si="14"/>
        <v>0.13016936106948929</v>
      </c>
    </row>
    <row r="37" spans="1:32">
      <c r="A37" s="69">
        <v>2002</v>
      </c>
      <c r="B37" s="60">
        <v>1542.9283000000003</v>
      </c>
      <c r="C37" s="60">
        <v>912</v>
      </c>
      <c r="D37" s="65">
        <f t="shared" si="11"/>
        <v>0.59108385010502418</v>
      </c>
      <c r="E37" s="60">
        <v>-50.4</v>
      </c>
      <c r="F37" s="61">
        <f t="shared" si="0"/>
        <v>-3.2665160137382916E-2</v>
      </c>
      <c r="G37" s="60">
        <v>47.193899999999999</v>
      </c>
      <c r="H37" s="60">
        <f t="shared" si="1"/>
        <v>-3.2060999999999993</v>
      </c>
      <c r="I37" s="64">
        <f t="shared" si="12"/>
        <v>5.1747697368421053E-2</v>
      </c>
      <c r="J37" s="60">
        <v>1830.0590000000002</v>
      </c>
      <c r="K37" s="61">
        <f t="shared" si="3"/>
        <v>1.1860946487273583</v>
      </c>
      <c r="L37" s="62">
        <v>0.35599999999999998</v>
      </c>
      <c r="M37" s="62"/>
      <c r="N37" s="62"/>
      <c r="O37" s="63">
        <v>0.4</v>
      </c>
      <c r="P37" s="66">
        <v>1.54E-2</v>
      </c>
      <c r="Q37" s="66">
        <v>1.7999999999999999E-2</v>
      </c>
      <c r="R37" s="66"/>
      <c r="S37" s="61">
        <f t="shared" si="9"/>
        <v>9.8275334514067392E-2</v>
      </c>
      <c r="T37" s="60">
        <f>S37*'Données-G2'!J37/(1-S37)</f>
        <v>199.45074953512562</v>
      </c>
      <c r="U37" s="65">
        <f t="shared" si="10"/>
        <v>6.5116279069767399E-2</v>
      </c>
      <c r="V37" s="60">
        <f t="shared" si="4"/>
        <v>4.6235466775956526</v>
      </c>
      <c r="W37" s="60">
        <f t="shared" si="5"/>
        <v>2.0841527395911936</v>
      </c>
      <c r="X37" s="64">
        <v>2.6123651383222174E-2</v>
      </c>
      <c r="Y37" s="60">
        <f t="shared" si="6"/>
        <v>3.0715415428409347</v>
      </c>
      <c r="Z37" s="60">
        <f t="shared" si="7"/>
        <v>9.7792409600277814</v>
      </c>
      <c r="AA37" s="64">
        <f>Z37/'Données-G2'!B37</f>
        <v>6.3381046028047963E-3</v>
      </c>
      <c r="AB37" s="60">
        <f>AB36*(1+'Données-G2'!I37)+Z37</f>
        <v>214.5284937786428</v>
      </c>
      <c r="AC37" s="61">
        <f>AB37/'Données-G2'!B37</f>
        <v>0.13903983339902623</v>
      </c>
      <c r="AD37" s="60">
        <f>'Données-G2'!C37-AB37</f>
        <v>697.47150622135723</v>
      </c>
      <c r="AE37" s="68">
        <f t="shared" si="13"/>
        <v>0.45204401670599803</v>
      </c>
      <c r="AF37" s="102">
        <f t="shared" si="14"/>
        <v>0.13903983339902615</v>
      </c>
    </row>
    <row r="38" spans="1:32">
      <c r="A38" s="69">
        <v>2003</v>
      </c>
      <c r="B38" s="60">
        <v>1587.9026000000001</v>
      </c>
      <c r="C38" s="60">
        <v>1004.9</v>
      </c>
      <c r="D38" s="65">
        <f t="shared" si="11"/>
        <v>0.63284737993375662</v>
      </c>
      <c r="E38" s="60">
        <v>-64.7</v>
      </c>
      <c r="F38" s="61">
        <f t="shared" si="0"/>
        <v>-4.0745572178041652E-2</v>
      </c>
      <c r="G38" s="60">
        <v>46.394400000000005</v>
      </c>
      <c r="H38" s="60">
        <f t="shared" si="1"/>
        <v>-18.305599999999998</v>
      </c>
      <c r="I38" s="64">
        <f t="shared" si="12"/>
        <v>4.6168175937904274E-2</v>
      </c>
      <c r="J38" s="60">
        <v>1818.9950000000003</v>
      </c>
      <c r="K38" s="61">
        <f t="shared" si="3"/>
        <v>1.1455331076351913</v>
      </c>
      <c r="L38" s="62">
        <v>0.33500000000000002</v>
      </c>
      <c r="M38" s="62"/>
      <c r="N38" s="62"/>
      <c r="O38" s="63">
        <v>0.4</v>
      </c>
      <c r="P38" s="66">
        <v>1.55E-2</v>
      </c>
      <c r="Q38" s="66">
        <v>1.7999999999999999E-2</v>
      </c>
      <c r="R38" s="66"/>
      <c r="S38" s="61">
        <f t="shared" si="9"/>
        <v>9.9158938717631998E-2</v>
      </c>
      <c r="T38" s="60">
        <f>S38*'Données-G2'!J38/(1-S38)</f>
        <v>200.22357048858183</v>
      </c>
      <c r="U38" s="65">
        <f t="shared" si="10"/>
        <v>6.4651162790697631E-2</v>
      </c>
      <c r="V38" s="60">
        <f t="shared" si="4"/>
        <v>4.3364700278143289</v>
      </c>
      <c r="W38" s="60">
        <f t="shared" si="5"/>
        <v>2.152089716793482</v>
      </c>
      <c r="X38" s="64">
        <v>2.6871083553524602E-2</v>
      </c>
      <c r="Y38" s="60">
        <f t="shared" si="6"/>
        <v>3.1034653425730183</v>
      </c>
      <c r="Z38" s="60">
        <f t="shared" si="7"/>
        <v>9.5920250871808292</v>
      </c>
      <c r="AA38" s="64">
        <f>Z38/'Données-G2'!B38</f>
        <v>6.040688570684895E-3</v>
      </c>
      <c r="AB38" s="60">
        <f>AB37*(1+'Données-G2'!I38)+Z38</f>
        <v>234.02490811028957</v>
      </c>
      <c r="AC38" s="61">
        <f>AB38/'Données-G2'!B38</f>
        <v>0.14737988848326689</v>
      </c>
      <c r="AD38" s="60">
        <f>'Données-G2'!C38-AB38</f>
        <v>770.87509188971035</v>
      </c>
      <c r="AE38" s="68">
        <f t="shared" si="13"/>
        <v>0.48546749145048967</v>
      </c>
      <c r="AF38" s="102">
        <f t="shared" si="14"/>
        <v>0.14737988848326694</v>
      </c>
    </row>
    <row r="39" spans="1:32">
      <c r="A39" s="69">
        <v>2004</v>
      </c>
      <c r="B39" s="60">
        <v>1655.5715999999998</v>
      </c>
      <c r="C39" s="60">
        <v>1079.5</v>
      </c>
      <c r="D39" s="65">
        <f t="shared" si="11"/>
        <v>0.65204066076030787</v>
      </c>
      <c r="E39" s="60">
        <v>-59.2</v>
      </c>
      <c r="F39" s="64">
        <f t="shared" si="0"/>
        <v>-3.5758042720713507E-2</v>
      </c>
      <c r="G39" s="60">
        <v>47.092400000000005</v>
      </c>
      <c r="H39" s="60">
        <f t="shared" si="1"/>
        <v>-12.107599999999998</v>
      </c>
      <c r="I39" s="64">
        <f t="shared" si="12"/>
        <v>4.3624270495599818E-2</v>
      </c>
      <c r="J39" s="60">
        <v>1949.8069999999998</v>
      </c>
      <c r="K39" s="61">
        <f t="shared" si="3"/>
        <v>1.1777243581612538</v>
      </c>
      <c r="L39" s="62">
        <v>0.28999999999999998</v>
      </c>
      <c r="M39" s="62"/>
      <c r="N39" s="62"/>
      <c r="O39" s="63">
        <v>0.4</v>
      </c>
      <c r="P39" s="66">
        <v>1.55E-2</v>
      </c>
      <c r="Q39" s="66">
        <v>1.7999999999999999E-2</v>
      </c>
      <c r="R39" s="66"/>
      <c r="S39" s="61">
        <f t="shared" si="9"/>
        <v>0.1000425429211966</v>
      </c>
      <c r="T39" s="60">
        <f>S39*'Données-G2'!J39/(1-S39)</f>
        <v>216.74763507011991</v>
      </c>
      <c r="U39" s="65">
        <f t="shared" si="10"/>
        <v>6.4186046511627862E-2</v>
      </c>
      <c r="V39" s="60">
        <f t="shared" si="4"/>
        <v>4.0345303979098563</v>
      </c>
      <c r="W39" s="60">
        <f t="shared" si="5"/>
        <v>2.1288326591257039</v>
      </c>
      <c r="X39" s="64">
        <v>2.4554277817575795E-2</v>
      </c>
      <c r="Y39" s="60">
        <f t="shared" si="6"/>
        <v>3.3595883435868585</v>
      </c>
      <c r="Z39" s="60">
        <f t="shared" si="7"/>
        <v>9.5229514006224179</v>
      </c>
      <c r="AA39" s="64">
        <f>Z39/'Données-G2'!B39</f>
        <v>5.7520625508570089E-3</v>
      </c>
      <c r="AB39" s="60">
        <f>AB38*(1+'Données-G2'!I39)+Z39</f>
        <v>253.75702540502314</v>
      </c>
      <c r="AC39" s="61">
        <f>AB39/'Données-G2'!B39</f>
        <v>0.15327457018773646</v>
      </c>
      <c r="AD39" s="60">
        <f>'Données-G2'!C39-AB39</f>
        <v>825.74297459497689</v>
      </c>
      <c r="AE39" s="68">
        <f t="shared" si="13"/>
        <v>0.49876609057257143</v>
      </c>
      <c r="AF39" s="102">
        <f t="shared" si="14"/>
        <v>0.15327457018773644</v>
      </c>
    </row>
    <row r="40" spans="1:32">
      <c r="A40" s="69">
        <v>2005</v>
      </c>
      <c r="B40" s="60">
        <v>1718.0472</v>
      </c>
      <c r="C40" s="60">
        <v>1147.5999999999999</v>
      </c>
      <c r="D40" s="65">
        <f t="shared" si="11"/>
        <v>0.66796767865283324</v>
      </c>
      <c r="E40" s="60">
        <v>-50.2</v>
      </c>
      <c r="F40" s="64">
        <f t="shared" si="0"/>
        <v>-2.9219220519669079E-2</v>
      </c>
      <c r="G40" s="60">
        <v>47.690199999999997</v>
      </c>
      <c r="H40" s="60">
        <f t="shared" si="1"/>
        <v>-2.5098000000000056</v>
      </c>
      <c r="I40" s="64">
        <f t="shared" si="12"/>
        <v>4.1556465667479961E-2</v>
      </c>
      <c r="J40" s="60">
        <v>2081.9180000000001</v>
      </c>
      <c r="K40" s="61">
        <f t="shared" si="3"/>
        <v>1.2117932499176973</v>
      </c>
      <c r="L40" s="62">
        <v>0.32300000000000001</v>
      </c>
      <c r="M40" s="62"/>
      <c r="N40" s="62"/>
      <c r="O40" s="63">
        <v>0.4</v>
      </c>
      <c r="P40" s="66">
        <v>1.5599999999999999E-2</v>
      </c>
      <c r="Q40" s="66">
        <v>1.7999999999999999E-2</v>
      </c>
      <c r="R40" s="66"/>
      <c r="S40" s="61">
        <f t="shared" si="9"/>
        <v>0.10092614712476121</v>
      </c>
      <c r="T40" s="60">
        <f>S40*'Données-G2'!J40/(1-S40)</f>
        <v>233.70712172056258</v>
      </c>
      <c r="U40" s="65">
        <f t="shared" si="10"/>
        <v>6.3720930232558093E-2</v>
      </c>
      <c r="V40" s="60">
        <f t="shared" si="4"/>
        <v>4.8101273689565618</v>
      </c>
      <c r="W40" s="60">
        <f t="shared" si="5"/>
        <v>2.3737481050127593</v>
      </c>
      <c r="X40" s="64">
        <v>2.5392338148888194E-2</v>
      </c>
      <c r="Y40" s="60">
        <f t="shared" si="6"/>
        <v>3.6458310988407763</v>
      </c>
      <c r="Z40" s="60">
        <f t="shared" si="7"/>
        <v>10.829706572810096</v>
      </c>
      <c r="AA40" s="64">
        <f>Z40/'Données-G2'!B40</f>
        <v>6.3034976994870082E-3</v>
      </c>
      <c r="AB40" s="60">
        <f>AB39*(1+'Données-G2'!I40)+Z40</f>
        <v>275.13197709195896</v>
      </c>
      <c r="AC40" s="61">
        <f>AB40/'Données-G2'!B40</f>
        <v>0.16014226913670299</v>
      </c>
      <c r="AD40" s="60">
        <f>'Données-G2'!C40-AB40</f>
        <v>872.46802290804089</v>
      </c>
      <c r="AE40" s="68">
        <f t="shared" si="13"/>
        <v>0.5078254095161302</v>
      </c>
      <c r="AF40" s="102">
        <f t="shared" si="14"/>
        <v>0.16014226913670304</v>
      </c>
    </row>
    <row r="41" spans="1:32">
      <c r="A41" s="69">
        <v>2006</v>
      </c>
      <c r="B41" s="60">
        <v>1798.1155299999998</v>
      </c>
      <c r="C41" s="60">
        <v>1152.2</v>
      </c>
      <c r="D41" s="65">
        <f t="shared" si="11"/>
        <v>0.6407819635482489</v>
      </c>
      <c r="E41" s="60">
        <v>-41.9</v>
      </c>
      <c r="F41" s="64">
        <f t="shared" si="0"/>
        <v>-2.3302173470466609E-2</v>
      </c>
      <c r="G41" s="60">
        <v>47.895000000000003</v>
      </c>
      <c r="H41" s="60">
        <f t="shared" si="1"/>
        <v>5.9950000000000045</v>
      </c>
      <c r="I41" s="64">
        <f t="shared" si="12"/>
        <v>4.1568304113869123E-2</v>
      </c>
      <c r="J41" s="60">
        <v>2236.9070000000002</v>
      </c>
      <c r="K41" s="61">
        <f t="shared" si="3"/>
        <v>1.24402851912413</v>
      </c>
      <c r="L41" s="62">
        <v>0.32700000000000001</v>
      </c>
      <c r="M41" s="62"/>
      <c r="N41" s="62"/>
      <c r="O41" s="63">
        <v>0.4</v>
      </c>
      <c r="P41" s="66">
        <v>1.5599999999999999E-2</v>
      </c>
      <c r="Q41" s="66">
        <v>1.7999999999999999E-2</v>
      </c>
      <c r="R41" s="66"/>
      <c r="S41" s="61">
        <f t="shared" si="9"/>
        <v>0.10180975132832581</v>
      </c>
      <c r="T41" s="60">
        <f>S41*'Données-G2'!J41/(1-S41)</f>
        <v>253.55312613490571</v>
      </c>
      <c r="U41" s="65">
        <f t="shared" si="10"/>
        <v>6.3255813953488324E-2</v>
      </c>
      <c r="V41" s="60">
        <f t="shared" si="4"/>
        <v>5.2446579653355903</v>
      </c>
      <c r="W41" s="60">
        <f t="shared" si="5"/>
        <v>2.5086857879820159</v>
      </c>
      <c r="X41" s="64">
        <v>2.4735307213755688E-2</v>
      </c>
      <c r="Y41" s="60">
        <f t="shared" si="6"/>
        <v>3.9554287677045288</v>
      </c>
      <c r="Z41" s="60">
        <f t="shared" si="7"/>
        <v>11.708772521022134</v>
      </c>
      <c r="AA41" s="64">
        <f>Z41/'Données-G2'!B41</f>
        <v>6.5116908928661192E-3</v>
      </c>
      <c r="AB41" s="60">
        <f>AB40*(1+'Données-G2'!I41)+Z41</f>
        <v>298.27751930818965</v>
      </c>
      <c r="AC41" s="61">
        <f>AB41/'Données-G2'!B41</f>
        <v>0.16588340088925749</v>
      </c>
      <c r="AD41" s="60">
        <f>'Données-G2'!C41-AB41</f>
        <v>853.92248069181039</v>
      </c>
      <c r="AE41" s="68">
        <f t="shared" si="13"/>
        <v>0.47489856265899139</v>
      </c>
      <c r="AF41" s="102">
        <f t="shared" si="14"/>
        <v>0.16588340088925752</v>
      </c>
    </row>
    <row r="42" spans="1:32">
      <c r="A42" s="69">
        <v>2007</v>
      </c>
      <c r="B42" s="60">
        <v>1886.7920760000002</v>
      </c>
      <c r="C42" s="60">
        <v>1211.5999999999999</v>
      </c>
      <c r="D42" s="65">
        <f t="shared" si="11"/>
        <v>0.64214812824982404</v>
      </c>
      <c r="E42" s="60">
        <v>-51.6</v>
      </c>
      <c r="F42" s="64">
        <f t="shared" si="0"/>
        <v>-2.7348005461943648E-2</v>
      </c>
      <c r="G42" s="60">
        <v>52.553910999999999</v>
      </c>
      <c r="H42" s="60">
        <f t="shared" si="1"/>
        <v>0.95391099999999796</v>
      </c>
      <c r="I42" s="64">
        <f t="shared" si="12"/>
        <v>4.3375628095080887E-2</v>
      </c>
      <c r="J42" s="60">
        <v>2456.6089999999995</v>
      </c>
      <c r="K42" s="61">
        <f t="shared" si="3"/>
        <v>1.3020030300360448</v>
      </c>
      <c r="L42" s="62">
        <v>0.32700000000000001</v>
      </c>
      <c r="M42" s="62"/>
      <c r="N42" s="62"/>
      <c r="O42" s="63">
        <v>0.4</v>
      </c>
      <c r="P42" s="66">
        <v>1.5599999999999999E-2</v>
      </c>
      <c r="Q42" s="66">
        <v>1.7999999999999999E-2</v>
      </c>
      <c r="R42" s="66"/>
      <c r="S42" s="61">
        <f t="shared" si="9"/>
        <v>0.10269335553189042</v>
      </c>
      <c r="T42" s="60">
        <f>S42*'Données-G2'!J42/(1-S42)</f>
        <v>281.14961924681</v>
      </c>
      <c r="U42" s="65">
        <f t="shared" si="10"/>
        <v>6.2790697674418555E-2</v>
      </c>
      <c r="V42" s="60">
        <f t="shared" si="4"/>
        <v>5.7727209030932176</v>
      </c>
      <c r="W42" s="60">
        <f t="shared" si="5"/>
        <v>2.781501785203977</v>
      </c>
      <c r="X42" s="64">
        <v>2.4733287854484053E-2</v>
      </c>
      <c r="Y42" s="60">
        <f t="shared" si="6"/>
        <v>4.3859340602502357</v>
      </c>
      <c r="Z42" s="60">
        <f t="shared" si="7"/>
        <v>12.94015674854743</v>
      </c>
      <c r="AA42" s="64">
        <f>Z42/'Données-G2'!B42</f>
        <v>6.8582844464667074E-3</v>
      </c>
      <c r="AB42" s="60">
        <f>AB41*(1+'Données-G2'!I42)+Z42</f>
        <v>324.15565080337245</v>
      </c>
      <c r="AC42" s="61">
        <f>AB42/'Données-G2'!B42</f>
        <v>0.17180252923818853</v>
      </c>
      <c r="AD42" s="60">
        <f>'Données-G2'!C42-AB42</f>
        <v>887.4443491966274</v>
      </c>
      <c r="AE42" s="68">
        <f t="shared" si="13"/>
        <v>0.47034559901163553</v>
      </c>
      <c r="AF42" s="102">
        <f t="shared" si="14"/>
        <v>0.17180252923818851</v>
      </c>
    </row>
    <row r="43" spans="1:32">
      <c r="A43" s="69">
        <v>2008</v>
      </c>
      <c r="B43" s="60">
        <v>1933.1949999999999</v>
      </c>
      <c r="C43" s="60">
        <v>1318.6</v>
      </c>
      <c r="D43" s="65">
        <f t="shared" si="11"/>
        <v>0.68208328699381071</v>
      </c>
      <c r="E43" s="60">
        <v>-64.3</v>
      </c>
      <c r="F43" s="64">
        <f t="shared" si="0"/>
        <v>-3.3261000571592619E-2</v>
      </c>
      <c r="G43" s="60">
        <v>57.991999999999997</v>
      </c>
      <c r="H43" s="60">
        <f t="shared" si="1"/>
        <v>-6.3079999999999998</v>
      </c>
      <c r="I43" s="64">
        <f t="shared" si="12"/>
        <v>4.3979978765357197E-2</v>
      </c>
      <c r="J43" s="60">
        <v>2548.64</v>
      </c>
      <c r="K43" s="61">
        <f t="shared" si="3"/>
        <v>1.3183563996389396</v>
      </c>
      <c r="L43" s="62">
        <v>0.28999999999999998</v>
      </c>
      <c r="M43" s="62"/>
      <c r="N43" s="62"/>
      <c r="O43" s="63">
        <v>0.4</v>
      </c>
      <c r="P43" s="66">
        <v>1.5599999999999999E-2</v>
      </c>
      <c r="Q43" s="66">
        <v>1.7999999999999999E-2</v>
      </c>
      <c r="R43" s="66"/>
      <c r="S43" s="61">
        <f t="shared" si="9"/>
        <v>0.10357695973545503</v>
      </c>
      <c r="T43" s="60">
        <f>S43*'Données-G2'!J43/(1-S43)</f>
        <v>294.48192516589756</v>
      </c>
      <c r="U43" s="65">
        <f t="shared" si="10"/>
        <v>6.2325581395348786E-2</v>
      </c>
      <c r="V43" s="60">
        <f t="shared" si="4"/>
        <v>5.3225895869519855</v>
      </c>
      <c r="W43" s="60">
        <f t="shared" si="5"/>
        <v>3.0403895115613846</v>
      </c>
      <c r="X43" s="64">
        <v>2.5811342324733248E-2</v>
      </c>
      <c r="Y43" s="60">
        <f t="shared" si="6"/>
        <v>4.593918032588002</v>
      </c>
      <c r="Z43" s="60">
        <f t="shared" si="7"/>
        <v>12.956897131101371</v>
      </c>
      <c r="AA43" s="64">
        <f>Z43/'Données-G2'!B43</f>
        <v>6.7023229064328074E-3</v>
      </c>
      <c r="AB43" s="60">
        <f>AB42*(1+'Données-G2'!I43)+Z43</f>
        <v>351.36890657347669</v>
      </c>
      <c r="AC43" s="61">
        <f>AB43/'Données-G2'!B43</f>
        <v>0.18175554280529213</v>
      </c>
      <c r="AD43" s="60">
        <f>'Données-G2'!C43-AB43</f>
        <v>967.23109342652322</v>
      </c>
      <c r="AE43" s="68">
        <f t="shared" si="13"/>
        <v>0.50032774418851866</v>
      </c>
      <c r="AF43" s="102">
        <f t="shared" si="14"/>
        <v>0.18175554280529205</v>
      </c>
    </row>
    <row r="44" spans="1:32">
      <c r="A44" s="69">
        <v>2009</v>
      </c>
      <c r="B44" s="60">
        <v>1885.7629999999999</v>
      </c>
      <c r="C44" s="60">
        <v>1493.4</v>
      </c>
      <c r="D44" s="65">
        <f t="shared" si="11"/>
        <v>0.79193408715729396</v>
      </c>
      <c r="E44" s="60">
        <v>-142.19999999999999</v>
      </c>
      <c r="F44" s="64">
        <f t="shared" si="0"/>
        <v>-7.5407142891232889E-2</v>
      </c>
      <c r="G44" s="60">
        <v>47.070999999999998</v>
      </c>
      <c r="H44" s="60">
        <f t="shared" si="1"/>
        <v>-95.128999999999991</v>
      </c>
      <c r="I44" s="64">
        <f t="shared" si="12"/>
        <v>3.1519351814651125E-2</v>
      </c>
      <c r="J44" s="60">
        <v>2311.6580000000004</v>
      </c>
      <c r="K44" s="61">
        <f t="shared" si="3"/>
        <v>1.2258475746952298</v>
      </c>
      <c r="L44" s="62">
        <v>0.30099999999999999</v>
      </c>
      <c r="M44" s="62"/>
      <c r="N44" s="62"/>
      <c r="O44" s="63">
        <v>0.4</v>
      </c>
      <c r="P44" s="66">
        <v>1.55E-2</v>
      </c>
      <c r="Q44" s="66">
        <v>1.7999999999999999E-2</v>
      </c>
      <c r="R44" s="66"/>
      <c r="S44" s="61">
        <f t="shared" si="9"/>
        <v>0.10446056393901963</v>
      </c>
      <c r="T44" s="60">
        <f>S44*'Données-G2'!J44/(1-S44)</f>
        <v>269.6442932499773</v>
      </c>
      <c r="U44" s="65">
        <f t="shared" si="10"/>
        <v>6.1860465116279018E-2</v>
      </c>
      <c r="V44" s="60">
        <f t="shared" si="4"/>
        <v>5.020776740314572</v>
      </c>
      <c r="W44" s="60">
        <f t="shared" si="5"/>
        <v>2.7839524635943693</v>
      </c>
      <c r="X44" s="64">
        <f>X$43</f>
        <v>2.5811342324733248E-2</v>
      </c>
      <c r="Y44" s="60">
        <f t="shared" si="6"/>
        <v>4.1794865453746484</v>
      </c>
      <c r="Z44" s="60">
        <f t="shared" si="7"/>
        <v>11.984215749283589</v>
      </c>
      <c r="AA44" s="64">
        <f>Z44/'Données-G2'!B44</f>
        <v>6.3551017541884055E-3</v>
      </c>
      <c r="AB44" s="60">
        <f>AB43*(1+'Données-G2'!I44)+Z44</f>
        <v>374.42804250577893</v>
      </c>
      <c r="AC44" s="61">
        <f>AB44/'Données-G2'!B44</f>
        <v>0.19855519622867718</v>
      </c>
      <c r="AD44" s="60">
        <f>'Données-G2'!C44-AB44</f>
        <v>1118.9719574942212</v>
      </c>
      <c r="AE44" s="68">
        <f t="shared" si="13"/>
        <v>0.59337889092861684</v>
      </c>
      <c r="AF44" s="102">
        <f t="shared" si="14"/>
        <v>0.19855519622867712</v>
      </c>
    </row>
    <row r="45" spans="1:32">
      <c r="A45" s="69">
        <v>2010</v>
      </c>
      <c r="B45" s="60">
        <v>1936.72</v>
      </c>
      <c r="C45" s="60">
        <v>1595</v>
      </c>
      <c r="D45" s="65">
        <f t="shared" si="11"/>
        <v>0.82355735470279645</v>
      </c>
      <c r="E45" s="60">
        <v>-136.80000000000001</v>
      </c>
      <c r="F45" s="64">
        <f t="shared" si="0"/>
        <v>-7.063488785162543E-2</v>
      </c>
      <c r="G45" s="60">
        <v>47.753999999999998</v>
      </c>
      <c r="H45" s="60">
        <f t="shared" si="1"/>
        <v>-89.046000000000021</v>
      </c>
      <c r="I45" s="64">
        <f t="shared" si="12"/>
        <v>2.9939811912225705E-2</v>
      </c>
      <c r="J45" s="60">
        <v>2551.1190000000001</v>
      </c>
      <c r="K45" s="61">
        <f t="shared" si="3"/>
        <v>1.3172368747160148</v>
      </c>
      <c r="L45" s="62">
        <v>0.30099999999999999</v>
      </c>
      <c r="M45" s="62"/>
      <c r="N45" s="62"/>
      <c r="O45" s="63">
        <v>0.4</v>
      </c>
      <c r="P45" s="66">
        <v>1.55E-2</v>
      </c>
      <c r="Q45" s="66">
        <v>1.7999999999999999E-2</v>
      </c>
      <c r="R45" s="66"/>
      <c r="S45" s="61">
        <f t="shared" si="9"/>
        <v>0.10534416814258424</v>
      </c>
      <c r="T45" s="60">
        <f>S45*'Données-G2'!J45/(1-S45)</f>
        <v>300.38982513509421</v>
      </c>
      <c r="U45" s="65">
        <f t="shared" si="10"/>
        <v>6.1395348837209249E-2</v>
      </c>
      <c r="V45" s="60">
        <f t="shared" si="4"/>
        <v>5.5512039684965364</v>
      </c>
      <c r="W45" s="60">
        <f t="shared" si="5"/>
        <v>3.1013858429714709</v>
      </c>
      <c r="X45" s="64">
        <f t="shared" ref="X45:X48" si="16">X$43</f>
        <v>2.5811342324733248E-2</v>
      </c>
      <c r="Y45" s="60">
        <f t="shared" si="6"/>
        <v>4.6560422895939606</v>
      </c>
      <c r="Z45" s="60">
        <f t="shared" si="7"/>
        <v>13.308632101061967</v>
      </c>
      <c r="AA45" s="64">
        <f>Z45/'Données-G2'!B45</f>
        <v>6.8717378356509809E-3</v>
      </c>
      <c r="AB45" s="60">
        <f>AB44*(1+'Données-G2'!I45)+Z45</f>
        <v>398.9469797741267</v>
      </c>
      <c r="AC45" s="61">
        <f>AB45/'Données-G2'!B45</f>
        <v>0.20599104660153594</v>
      </c>
      <c r="AD45" s="60">
        <f>'Données-G2'!C45-AB45</f>
        <v>1196.0530202258733</v>
      </c>
      <c r="AE45" s="68">
        <f t="shared" si="13"/>
        <v>0.61756630810126056</v>
      </c>
      <c r="AF45" s="102">
        <f t="shared" si="14"/>
        <v>0.20599104660153589</v>
      </c>
    </row>
    <row r="46" spans="1:32">
      <c r="A46" s="69">
        <v>2011</v>
      </c>
      <c r="B46" s="70">
        <v>2001.3980000000001</v>
      </c>
      <c r="C46" s="60">
        <v>1716.9</v>
      </c>
      <c r="D46" s="65">
        <f t="shared" si="11"/>
        <v>0.85785036259654501</v>
      </c>
      <c r="E46" s="60">
        <v>-105.4</v>
      </c>
      <c r="F46" s="64">
        <f t="shared" si="0"/>
        <v>-5.2663188431286527E-2</v>
      </c>
      <c r="G46" s="60">
        <v>53.631999999999998</v>
      </c>
      <c r="H46" s="60">
        <f t="shared" si="1"/>
        <v>-51.768000000000008</v>
      </c>
      <c r="I46" s="64">
        <f t="shared" si="12"/>
        <v>3.1237695847166402E-2</v>
      </c>
      <c r="J46" s="70">
        <v>2673.886</v>
      </c>
      <c r="K46" s="61">
        <f t="shared" si="3"/>
        <v>1.3360091296183967</v>
      </c>
      <c r="L46" s="62">
        <v>0.35299999999999998</v>
      </c>
      <c r="M46" s="62"/>
      <c r="N46" s="62"/>
      <c r="O46" s="63">
        <v>0.45</v>
      </c>
      <c r="P46" s="66">
        <v>1.5599999999999999E-2</v>
      </c>
      <c r="Q46" s="66">
        <v>1.7999999999999999E-2</v>
      </c>
      <c r="R46" s="66"/>
      <c r="S46" s="61">
        <f t="shared" si="9"/>
        <v>0.10622777234614884</v>
      </c>
      <c r="T46" s="60">
        <f>S46*'Données-G2'!J46/(1-S46)</f>
        <v>317.80015590007872</v>
      </c>
      <c r="U46" s="65">
        <f t="shared" si="10"/>
        <v>6.093023255813948E-2</v>
      </c>
      <c r="V46" s="60">
        <f t="shared" si="4"/>
        <v>6.835364004319687</v>
      </c>
      <c r="W46" s="60">
        <f t="shared" si="5"/>
        <v>3.6912818766557374</v>
      </c>
      <c r="X46" s="64">
        <f t="shared" si="16"/>
        <v>2.5811342324733248E-2</v>
      </c>
      <c r="Y46" s="60">
        <f t="shared" si="6"/>
        <v>4.9576824320412278</v>
      </c>
      <c r="Z46" s="60">
        <f t="shared" si="7"/>
        <v>15.48432831301665</v>
      </c>
      <c r="AA46" s="64">
        <f>Z46/'Données-G2'!B46</f>
        <v>7.7367561639497236E-3</v>
      </c>
      <c r="AB46" s="60">
        <f>AB45*(1+'Données-G2'!I46)+Z46</f>
        <v>426.8934925004732</v>
      </c>
      <c r="AC46" s="61">
        <f>AB46/'Données-G2'!B46</f>
        <v>0.21329765119205335</v>
      </c>
      <c r="AD46" s="60">
        <f>'Données-G2'!C46-AB46</f>
        <v>1290.0065074995268</v>
      </c>
      <c r="AE46" s="68">
        <f t="shared" si="13"/>
        <v>0.64455271140449166</v>
      </c>
      <c r="AF46" s="102">
        <f t="shared" si="14"/>
        <v>0.21329765119205335</v>
      </c>
    </row>
    <row r="47" spans="1:32">
      <c r="A47" s="69">
        <v>2012</v>
      </c>
      <c r="B47" s="70">
        <v>2032.2968400000004</v>
      </c>
      <c r="C47" s="60">
        <v>1833.8</v>
      </c>
      <c r="D47" s="65">
        <f t="shared" si="11"/>
        <v>0.90232881531223541</v>
      </c>
      <c r="E47" s="60">
        <v>-98.2</v>
      </c>
      <c r="F47" s="64">
        <f t="shared" si="0"/>
        <v>-4.8319712980511242E-2</v>
      </c>
      <c r="G47" s="60">
        <v>53.128999999999998</v>
      </c>
      <c r="H47" s="60">
        <f t="shared" si="1"/>
        <v>-45.071000000000005</v>
      </c>
      <c r="I47" s="64">
        <f t="shared" si="12"/>
        <v>2.8972079834224014E-2</v>
      </c>
      <c r="J47" s="60">
        <v>2649.643</v>
      </c>
      <c r="K47" s="61">
        <f t="shared" si="3"/>
        <v>1.3037677114136532</v>
      </c>
      <c r="L47" s="64">
        <v>0.38500000000000001</v>
      </c>
      <c r="M47" s="64"/>
      <c r="N47" s="64"/>
      <c r="O47" s="61">
        <v>0.45</v>
      </c>
      <c r="P47" s="66">
        <v>5.0000000000000001E-3</v>
      </c>
      <c r="Q47" s="66">
        <v>5.0000000000000001E-3</v>
      </c>
      <c r="R47" s="66"/>
      <c r="S47" s="61">
        <f t="shared" si="9"/>
        <v>0.10711137654971345</v>
      </c>
      <c r="T47" s="60">
        <f>S47*'Données-G2'!J47/(1-S47)</f>
        <v>317.8525312581877</v>
      </c>
      <c r="U47" s="65">
        <f t="shared" si="10"/>
        <v>6.0465116279069711E-2</v>
      </c>
      <c r="V47" s="60">
        <f t="shared" si="4"/>
        <v>7.3993112509173393</v>
      </c>
      <c r="W47" s="60">
        <f t="shared" si="5"/>
        <v>3.6918902218896261</v>
      </c>
      <c r="X47" s="64">
        <f t="shared" si="16"/>
        <v>2.5811342324733248E-2</v>
      </c>
      <c r="Y47" s="60">
        <f t="shared" si="6"/>
        <v>1.5892626562909384</v>
      </c>
      <c r="Z47" s="60">
        <f t="shared" si="7"/>
        <v>12.680464129097903</v>
      </c>
      <c r="AA47" s="64">
        <f>Z47/'Données-G2'!B47</f>
        <v>6.2394744111779954E-3</v>
      </c>
      <c r="AB47" s="60">
        <f>AB46*(1+'Données-G2'!I47)+Z47</f>
        <v>451.94194897500557</v>
      </c>
      <c r="AC47" s="61">
        <f>AB47/'Données-G2'!B47</f>
        <v>0.22237989061430882</v>
      </c>
      <c r="AD47" s="60">
        <f>'Données-G2'!C47-AB47</f>
        <v>1381.8580510249944</v>
      </c>
      <c r="AE47" s="68">
        <f t="shared" si="13"/>
        <v>0.67994892469792656</v>
      </c>
      <c r="AF47" s="102">
        <f t="shared" si="14"/>
        <v>0.22237989061430885</v>
      </c>
    </row>
    <row r="48" spans="1:32">
      <c r="A48" s="69">
        <v>2013</v>
      </c>
      <c r="B48" s="50">
        <f>B47*1.01</f>
        <v>2052.6198084000002</v>
      </c>
      <c r="C48" s="50">
        <f t="shared" ref="C48" si="17">D48*B48</f>
        <v>1929.4626198960002</v>
      </c>
      <c r="D48" s="67">
        <v>0.94</v>
      </c>
      <c r="E48" s="50">
        <f>F48*B48</f>
        <v>-82.104792336000017</v>
      </c>
      <c r="F48" s="53">
        <v>-0.04</v>
      </c>
      <c r="G48" s="60">
        <f>I48*C48</f>
        <v>55.900545060777944</v>
      </c>
      <c r="H48" s="60">
        <f t="shared" si="1"/>
        <v>-26.204247275222073</v>
      </c>
      <c r="I48" s="54">
        <f>I47</f>
        <v>2.8972079834224014E-2</v>
      </c>
      <c r="J48" s="50">
        <f>J47*1.01</f>
        <v>2676.1394300000002</v>
      </c>
      <c r="K48" s="61">
        <f t="shared" si="3"/>
        <v>1.3037677114136534</v>
      </c>
      <c r="L48" s="64">
        <v>0.44</v>
      </c>
      <c r="M48" s="64"/>
      <c r="N48" s="64"/>
      <c r="O48" s="61">
        <v>0.45</v>
      </c>
      <c r="P48" s="66">
        <v>1.34E-2</v>
      </c>
      <c r="Q48" s="66">
        <v>1.4999999999999999E-2</v>
      </c>
      <c r="R48" s="66"/>
      <c r="S48" s="68">
        <f>T48/(J48+T48)</f>
        <v>0.10799498075327785</v>
      </c>
      <c r="T48" s="60">
        <f>'Données-T3'!I7</f>
        <v>324</v>
      </c>
      <c r="U48" s="68">
        <f>'Données-G2'!U3</f>
        <v>0.06</v>
      </c>
      <c r="V48" s="60">
        <f t="shared" si="4"/>
        <v>8.5535999999999994</v>
      </c>
      <c r="W48" s="60">
        <f t="shared" si="5"/>
        <v>3.7632937109461073</v>
      </c>
      <c r="X48" s="64">
        <f t="shared" si="16"/>
        <v>2.5811342324733248E-2</v>
      </c>
      <c r="Y48" s="60">
        <f t="shared" si="6"/>
        <v>4.3416000000000006</v>
      </c>
      <c r="Z48" s="60">
        <f>Y48+W48+V48</f>
        <v>16.658493710946107</v>
      </c>
      <c r="AA48" s="64">
        <f>Z48/'Données-G2'!B48</f>
        <v>8.1157229618334745E-3</v>
      </c>
      <c r="AB48" s="60">
        <f>AB47*(1+'Données-G2'!I48)+Z48</f>
        <v>481.6941409120904</v>
      </c>
      <c r="AC48" s="61">
        <f>AB48/'Données-G2'!B48</f>
        <v>0.23467285024768758</v>
      </c>
      <c r="AD48" s="60">
        <f>'Données-G2'!C48-AB48</f>
        <v>1447.7684789839097</v>
      </c>
      <c r="AE48" s="68">
        <f t="shared" si="13"/>
        <v>0.70532714975231237</v>
      </c>
      <c r="AF48" s="102">
        <f t="shared" si="14"/>
        <v>0.23467285024768758</v>
      </c>
    </row>
    <row r="49" spans="2:31">
      <c r="B49" s="48"/>
      <c r="C49" s="48"/>
      <c r="D49" s="48"/>
      <c r="E49" s="48"/>
      <c r="F49" s="48"/>
      <c r="G49" s="48"/>
      <c r="H49" s="48"/>
      <c r="I49" s="48"/>
      <c r="J49" s="48"/>
      <c r="K49" s="48"/>
      <c r="L49" s="48"/>
      <c r="M49" s="48"/>
      <c r="N49" s="48"/>
      <c r="O49" s="48"/>
      <c r="P49" s="48"/>
      <c r="Q49" s="48"/>
      <c r="R49" s="48"/>
      <c r="X49" s="49"/>
      <c r="AE49" s="48">
        <f>C48-AD48</f>
        <v>481.69414091209046</v>
      </c>
    </row>
    <row r="50" spans="2:31">
      <c r="B50" s="48"/>
      <c r="C50" s="48"/>
      <c r="D50" s="48"/>
      <c r="E50" s="48"/>
      <c r="F50" s="48"/>
      <c r="G50" s="48"/>
      <c r="H50" s="48"/>
      <c r="I50" s="48"/>
      <c r="J50" s="48"/>
      <c r="K50" s="48"/>
      <c r="L50" s="48"/>
      <c r="M50" s="48"/>
      <c r="N50" s="48"/>
      <c r="O50" s="48"/>
      <c r="P50" s="48"/>
      <c r="Q50" s="48"/>
      <c r="R50" s="48"/>
      <c r="AB50" s="48">
        <f>AB48-AB47</f>
        <v>29.752191937084831</v>
      </c>
      <c r="AE50" s="48"/>
    </row>
    <row r="51" spans="2:31">
      <c r="B51" s="48"/>
      <c r="C51" s="48"/>
      <c r="D51" s="48"/>
      <c r="E51" s="48"/>
      <c r="F51" s="48"/>
      <c r="G51" s="92">
        <f>360/(J48+360)</f>
        <v>0.11857162963032959</v>
      </c>
      <c r="H51" s="48"/>
      <c r="I51" s="48"/>
      <c r="J51" s="51"/>
      <c r="K51" s="48"/>
      <c r="L51" s="48"/>
      <c r="M51" s="48"/>
      <c r="N51" s="48"/>
      <c r="O51" s="48"/>
      <c r="P51" s="48"/>
      <c r="Q51" s="48"/>
      <c r="R51" s="48"/>
      <c r="AE51" s="48"/>
    </row>
    <row r="52" spans="2:31">
      <c r="B52" s="48"/>
      <c r="C52" s="48"/>
      <c r="D52" s="48"/>
      <c r="E52" s="48"/>
      <c r="F52" s="48"/>
      <c r="G52" s="48"/>
      <c r="H52" s="48"/>
      <c r="I52" s="48"/>
      <c r="J52" s="48"/>
      <c r="K52" s="48"/>
      <c r="L52" s="48"/>
      <c r="M52" s="48"/>
      <c r="N52" s="48"/>
      <c r="O52" s="48"/>
      <c r="P52" s="48"/>
      <c r="Q52" s="48"/>
      <c r="R52" s="48"/>
      <c r="AE52" s="48"/>
    </row>
    <row r="53" spans="2:31">
      <c r="B53" s="48"/>
      <c r="C53" s="48"/>
      <c r="D53" s="48"/>
      <c r="E53" s="48"/>
      <c r="F53" s="48"/>
      <c r="G53" s="93">
        <f>325*0.06</f>
        <v>19.5</v>
      </c>
      <c r="H53" s="48"/>
      <c r="I53" s="48"/>
      <c r="J53" s="48"/>
      <c r="K53" s="48"/>
      <c r="L53" s="48"/>
      <c r="M53" s="48"/>
      <c r="N53" s="48"/>
      <c r="O53" s="48"/>
      <c r="P53" s="48"/>
      <c r="Q53" s="48"/>
      <c r="R53" s="48"/>
      <c r="AE53" s="48"/>
    </row>
    <row r="54" spans="2:31">
      <c r="B54" s="48"/>
      <c r="C54" s="48"/>
      <c r="D54" s="48"/>
      <c r="E54" s="48"/>
      <c r="F54" s="48"/>
      <c r="G54" s="48"/>
      <c r="H54" s="48"/>
      <c r="I54" s="48"/>
      <c r="J54" s="48"/>
      <c r="K54" s="48"/>
      <c r="L54" s="48"/>
      <c r="M54" s="48"/>
      <c r="N54" s="48"/>
      <c r="O54" s="48"/>
      <c r="P54" s="48"/>
      <c r="Q54" s="48"/>
      <c r="R54" s="48"/>
      <c r="AE54" s="48"/>
    </row>
    <row r="55" spans="2:31">
      <c r="B55" s="48"/>
      <c r="C55" s="48"/>
      <c r="D55" s="48"/>
      <c r="E55" s="48"/>
      <c r="F55" s="48"/>
      <c r="G55" s="48"/>
      <c r="H55" s="48"/>
      <c r="I55" s="48"/>
      <c r="J55" s="48"/>
      <c r="K55" s="48"/>
      <c r="L55" s="48"/>
      <c r="M55" s="48"/>
      <c r="N55" s="48"/>
      <c r="O55" s="48"/>
      <c r="P55" s="48"/>
      <c r="Q55" s="48"/>
      <c r="R55" s="48"/>
      <c r="AE55" s="48"/>
    </row>
    <row r="56" spans="2:31">
      <c r="B56" s="48"/>
      <c r="C56" s="48"/>
      <c r="D56" s="48"/>
      <c r="E56" s="48"/>
      <c r="F56" s="48"/>
      <c r="G56" s="48"/>
      <c r="H56" s="48"/>
      <c r="I56" s="48"/>
      <c r="J56" s="48"/>
      <c r="K56" s="48"/>
      <c r="L56" s="48"/>
      <c r="M56" s="48"/>
      <c r="N56" s="48"/>
      <c r="O56" s="48"/>
      <c r="P56" s="48"/>
      <c r="Q56" s="48"/>
      <c r="R56" s="48"/>
      <c r="AE56" s="48"/>
    </row>
    <row r="57" spans="2:31">
      <c r="B57" s="48"/>
      <c r="C57" s="48"/>
      <c r="D57" s="48"/>
      <c r="E57" s="48"/>
      <c r="F57" s="48"/>
      <c r="G57" s="48"/>
      <c r="H57" s="48"/>
      <c r="I57" s="48"/>
      <c r="J57" s="48"/>
      <c r="K57" s="48"/>
      <c r="L57" s="48"/>
      <c r="M57" s="48"/>
      <c r="N57" s="48"/>
      <c r="O57" s="48"/>
      <c r="P57" s="48"/>
      <c r="Q57" s="48"/>
      <c r="R57" s="48"/>
      <c r="AE57" s="48"/>
    </row>
    <row r="58" spans="2:31">
      <c r="B58" s="48"/>
      <c r="C58" s="48"/>
      <c r="D58" s="48"/>
      <c r="E58" s="48"/>
      <c r="F58" s="48"/>
      <c r="G58" s="48"/>
      <c r="H58" s="48"/>
      <c r="I58" s="48"/>
      <c r="J58" s="48"/>
      <c r="K58" s="48"/>
      <c r="L58" s="48"/>
      <c r="M58" s="48"/>
      <c r="N58" s="48"/>
      <c r="O58" s="48"/>
      <c r="P58" s="48"/>
      <c r="Q58" s="48"/>
      <c r="R58" s="48"/>
      <c r="AE58" s="48"/>
    </row>
    <row r="59" spans="2:31">
      <c r="B59" s="48"/>
      <c r="C59" s="48"/>
      <c r="D59" s="48"/>
      <c r="E59" s="48"/>
      <c r="F59" s="48"/>
      <c r="G59" s="48"/>
      <c r="H59" s="48"/>
      <c r="I59" s="48"/>
      <c r="J59" s="48"/>
      <c r="K59" s="48"/>
      <c r="L59" s="48"/>
      <c r="M59" s="48"/>
      <c r="N59" s="48"/>
      <c r="O59" s="48"/>
      <c r="P59" s="48"/>
      <c r="Q59" s="48"/>
      <c r="R59" s="48"/>
      <c r="AE59" s="48"/>
    </row>
    <row r="60" spans="2:31">
      <c r="B60" s="48"/>
      <c r="C60" s="48"/>
      <c r="D60" s="48"/>
      <c r="E60" s="48"/>
      <c r="F60" s="48"/>
      <c r="G60" s="48"/>
      <c r="H60" s="48"/>
      <c r="I60" s="48"/>
      <c r="J60" s="48"/>
      <c r="K60" s="48"/>
      <c r="L60" s="48"/>
      <c r="M60" s="48"/>
      <c r="N60" s="48"/>
      <c r="O60" s="48"/>
      <c r="P60" s="48"/>
      <c r="Q60" s="48"/>
      <c r="R60" s="48"/>
      <c r="AE60" s="48"/>
    </row>
    <row r="61" spans="2:31">
      <c r="B61" s="48"/>
      <c r="C61" s="48"/>
      <c r="D61" s="48"/>
      <c r="E61" s="48"/>
      <c r="F61" s="48"/>
      <c r="G61" s="48"/>
      <c r="H61" s="48"/>
      <c r="I61" s="48"/>
      <c r="J61" s="48"/>
      <c r="K61" s="48"/>
      <c r="L61" s="48"/>
      <c r="M61" s="48"/>
      <c r="N61" s="48"/>
      <c r="O61" s="48"/>
      <c r="P61" s="48"/>
      <c r="Q61" s="48"/>
      <c r="R61" s="48"/>
      <c r="AE61" s="48"/>
    </row>
    <row r="62" spans="2:31">
      <c r="B62" s="48"/>
      <c r="C62" s="48"/>
      <c r="D62" s="48"/>
      <c r="E62" s="48"/>
      <c r="F62" s="48"/>
      <c r="G62" s="48"/>
      <c r="H62" s="48"/>
      <c r="I62" s="48"/>
      <c r="J62" s="48"/>
      <c r="K62" s="48"/>
      <c r="L62" s="48"/>
      <c r="M62" s="48"/>
      <c r="N62" s="48"/>
      <c r="O62" s="48"/>
      <c r="P62" s="48"/>
      <c r="Q62" s="48"/>
      <c r="R62" s="48"/>
      <c r="AE62" s="48"/>
    </row>
    <row r="63" spans="2:31">
      <c r="B63" s="48"/>
      <c r="C63" s="48"/>
      <c r="D63" s="48"/>
      <c r="E63" s="48"/>
      <c r="F63" s="48"/>
      <c r="G63" s="48"/>
      <c r="H63" s="48"/>
      <c r="I63" s="48"/>
      <c r="J63" s="48"/>
      <c r="K63" s="48"/>
      <c r="L63" s="48"/>
      <c r="M63" s="48"/>
      <c r="N63" s="48"/>
      <c r="O63" s="48"/>
      <c r="P63" s="48"/>
      <c r="Q63" s="48"/>
      <c r="R63" s="48"/>
      <c r="AE63" s="48"/>
    </row>
    <row r="64" spans="2:31">
      <c r="B64" s="48"/>
      <c r="C64" s="48"/>
      <c r="D64" s="48"/>
      <c r="E64" s="48"/>
      <c r="F64" s="48"/>
      <c r="G64" s="48"/>
      <c r="H64" s="48"/>
      <c r="I64" s="48"/>
      <c r="J64" s="48"/>
      <c r="K64" s="48"/>
      <c r="L64" s="48"/>
      <c r="M64" s="48"/>
      <c r="N64" s="48"/>
      <c r="O64" s="48"/>
      <c r="P64" s="48"/>
      <c r="Q64" s="48"/>
      <c r="R64" s="48"/>
      <c r="AE64" s="48"/>
    </row>
    <row r="65" spans="2:31">
      <c r="B65" s="48"/>
      <c r="C65" s="48"/>
      <c r="D65" s="48"/>
      <c r="E65" s="48"/>
      <c r="F65" s="48"/>
      <c r="G65" s="48"/>
      <c r="H65" s="48"/>
      <c r="I65" s="48"/>
      <c r="J65" s="48"/>
      <c r="K65" s="48"/>
      <c r="L65" s="48"/>
      <c r="M65" s="48"/>
      <c r="N65" s="48"/>
      <c r="O65" s="48"/>
      <c r="P65" s="48"/>
      <c r="Q65" s="48"/>
      <c r="R65" s="48"/>
      <c r="AE65" s="48"/>
    </row>
    <row r="66" spans="2:31">
      <c r="B66" s="48"/>
      <c r="C66" s="48"/>
      <c r="D66" s="48"/>
      <c r="E66" s="48"/>
      <c r="F66" s="48"/>
      <c r="G66" s="48"/>
      <c r="H66" s="48"/>
      <c r="I66" s="48"/>
      <c r="J66" s="48"/>
      <c r="K66" s="48"/>
      <c r="L66" s="48"/>
      <c r="M66" s="48"/>
      <c r="N66" s="48"/>
      <c r="O66" s="48"/>
      <c r="P66" s="48"/>
      <c r="Q66" s="48"/>
      <c r="R66" s="48"/>
      <c r="AE66" s="48"/>
    </row>
    <row r="67" spans="2:31">
      <c r="B67" s="48"/>
      <c r="C67" s="48"/>
      <c r="D67" s="48"/>
      <c r="E67" s="48"/>
      <c r="F67" s="48"/>
      <c r="G67" s="48"/>
      <c r="H67" s="48"/>
      <c r="I67" s="48"/>
      <c r="J67" s="48"/>
      <c r="K67" s="48"/>
      <c r="L67" s="48"/>
      <c r="M67" s="48"/>
      <c r="N67" s="48"/>
      <c r="O67" s="48"/>
      <c r="P67" s="48"/>
      <c r="Q67" s="48"/>
      <c r="R67" s="48"/>
      <c r="AE67" s="48"/>
    </row>
    <row r="68" spans="2:31">
      <c r="B68" s="48"/>
      <c r="C68" s="48"/>
      <c r="D68" s="48"/>
      <c r="E68" s="48"/>
      <c r="F68" s="48"/>
      <c r="G68" s="48"/>
      <c r="H68" s="48"/>
      <c r="I68" s="48"/>
      <c r="J68" s="48"/>
      <c r="K68" s="48"/>
      <c r="L68" s="48"/>
      <c r="M68" s="48"/>
      <c r="N68" s="48"/>
      <c r="O68" s="48"/>
      <c r="P68" s="48"/>
      <c r="Q68" s="48"/>
      <c r="R68" s="48"/>
      <c r="AE68" s="48"/>
    </row>
    <row r="69" spans="2:31">
      <c r="B69" s="48"/>
      <c r="C69" s="48"/>
      <c r="D69" s="48"/>
      <c r="E69" s="48"/>
      <c r="F69" s="48"/>
      <c r="G69" s="48"/>
      <c r="H69" s="48"/>
      <c r="I69" s="48"/>
      <c r="J69" s="48"/>
      <c r="K69" s="48"/>
      <c r="L69" s="48"/>
      <c r="M69" s="48"/>
      <c r="N69" s="48"/>
      <c r="O69" s="48"/>
      <c r="P69" s="48"/>
      <c r="Q69" s="48"/>
      <c r="R69" s="48"/>
      <c r="AE69" s="48"/>
    </row>
    <row r="70" spans="2:31">
      <c r="B70" s="48"/>
      <c r="C70" s="48"/>
      <c r="D70" s="48"/>
      <c r="E70" s="48"/>
      <c r="F70" s="48"/>
      <c r="G70" s="48"/>
      <c r="H70" s="48"/>
      <c r="I70" s="48"/>
      <c r="J70" s="48"/>
      <c r="K70" s="48"/>
      <c r="L70" s="48"/>
      <c r="M70" s="48"/>
      <c r="N70" s="48"/>
      <c r="O70" s="48"/>
      <c r="P70" s="48"/>
      <c r="Q70" s="48"/>
      <c r="R70" s="48"/>
      <c r="AE70" s="48"/>
    </row>
    <row r="71" spans="2:31">
      <c r="B71" s="48"/>
      <c r="C71" s="48"/>
      <c r="D71" s="48"/>
      <c r="E71" s="48"/>
      <c r="F71" s="48"/>
      <c r="G71" s="48"/>
      <c r="H71" s="48"/>
      <c r="I71" s="48"/>
      <c r="J71" s="48"/>
      <c r="K71" s="48"/>
      <c r="L71" s="48"/>
      <c r="M71" s="48"/>
      <c r="N71" s="48"/>
      <c r="O71" s="48"/>
      <c r="P71" s="48"/>
      <c r="Q71" s="48"/>
      <c r="R71" s="48"/>
      <c r="AE71" s="48"/>
    </row>
    <row r="72" spans="2:31">
      <c r="B72" s="48"/>
      <c r="C72" s="48"/>
      <c r="D72" s="48"/>
      <c r="E72" s="48"/>
      <c r="F72" s="48"/>
      <c r="G72" s="48"/>
      <c r="H72" s="48"/>
      <c r="I72" s="48"/>
      <c r="J72" s="48"/>
      <c r="K72" s="48"/>
      <c r="L72" s="48"/>
      <c r="M72" s="48"/>
      <c r="N72" s="48"/>
      <c r="O72" s="48"/>
      <c r="P72" s="48"/>
      <c r="Q72" s="48"/>
      <c r="R72" s="48"/>
      <c r="AE72" s="48"/>
    </row>
    <row r="73" spans="2:31">
      <c r="B73" s="48"/>
      <c r="C73" s="48"/>
      <c r="D73" s="48"/>
      <c r="E73" s="48"/>
      <c r="F73" s="48"/>
      <c r="G73" s="48"/>
      <c r="H73" s="48"/>
      <c r="I73" s="48"/>
      <c r="J73" s="48"/>
      <c r="K73" s="48"/>
      <c r="L73" s="48"/>
      <c r="M73" s="48"/>
      <c r="N73" s="48"/>
      <c r="O73" s="48"/>
      <c r="P73" s="48"/>
      <c r="Q73" s="48"/>
      <c r="R73" s="48"/>
      <c r="AE73" s="48"/>
    </row>
    <row r="74" spans="2:31">
      <c r="B74" s="48"/>
      <c r="C74" s="48"/>
      <c r="D74" s="48"/>
      <c r="E74" s="48"/>
      <c r="F74" s="48"/>
      <c r="G74" s="48"/>
      <c r="H74" s="48"/>
      <c r="I74" s="48"/>
      <c r="J74" s="48"/>
      <c r="K74" s="48"/>
      <c r="L74" s="48"/>
      <c r="M74" s="48"/>
      <c r="N74" s="48"/>
      <c r="O74" s="48"/>
      <c r="P74" s="48"/>
      <c r="Q74" s="48"/>
      <c r="R74" s="48"/>
      <c r="AE74" s="48"/>
    </row>
    <row r="75" spans="2:31">
      <c r="B75" s="48"/>
      <c r="C75" s="48"/>
      <c r="D75" s="48"/>
      <c r="E75" s="48"/>
      <c r="F75" s="48"/>
      <c r="G75" s="48"/>
      <c r="H75" s="48"/>
      <c r="I75" s="48"/>
      <c r="J75" s="48"/>
      <c r="K75" s="48"/>
      <c r="L75" s="48"/>
      <c r="M75" s="48"/>
      <c r="N75" s="48"/>
      <c r="O75" s="48"/>
      <c r="P75" s="48"/>
      <c r="Q75" s="48"/>
      <c r="R75" s="48"/>
      <c r="AE75" s="48"/>
    </row>
    <row r="76" spans="2:31">
      <c r="B76" s="48"/>
      <c r="C76" s="48"/>
      <c r="D76" s="48"/>
      <c r="E76" s="48"/>
      <c r="F76" s="48"/>
      <c r="G76" s="48"/>
      <c r="H76" s="48"/>
      <c r="I76" s="48"/>
      <c r="J76" s="48"/>
      <c r="K76" s="48"/>
      <c r="L76" s="48"/>
      <c r="M76" s="48"/>
      <c r="N76" s="48"/>
      <c r="O76" s="48"/>
      <c r="P76" s="48"/>
      <c r="Q76" s="48"/>
      <c r="R76" s="48"/>
      <c r="AE76" s="48"/>
    </row>
    <row r="77" spans="2:31">
      <c r="B77" s="48"/>
      <c r="C77" s="48"/>
      <c r="D77" s="48"/>
      <c r="E77" s="48"/>
      <c r="F77" s="48"/>
      <c r="G77" s="48"/>
      <c r="H77" s="48"/>
      <c r="I77" s="48"/>
      <c r="J77" s="48"/>
      <c r="K77" s="48"/>
      <c r="L77" s="48"/>
      <c r="M77" s="48"/>
      <c r="N77" s="48"/>
      <c r="O77" s="48"/>
      <c r="P77" s="48"/>
      <c r="Q77" s="48"/>
      <c r="R77" s="48"/>
      <c r="AE77" s="48"/>
    </row>
  </sheetData>
  <mergeCells count="2">
    <mergeCell ref="R2:R3"/>
    <mergeCell ref="R1:U1"/>
  </mergeCells>
  <hyperlinks>
    <hyperlink ref="N4" r:id="rId1" display="Memo: corporate tax"/>
    <hyperlink ref="X4" r:id="rId2" display="Memo: mu x m (Piketty 2011 Table A3)"/>
    <hyperlink ref="Q4" r:id="rId3" display="Top tax rate on wealth"/>
    <hyperlink ref="C4" r:id="rId4"/>
    <hyperlink ref="P4" r:id="rId5" display="Average ISF tax rate for 15bn wealth"/>
    <hyperlink ref="D4" r:id="rId6"/>
    <hyperlink ref="E4" r:id="rId7"/>
    <hyperlink ref="F4" r:id="rId8"/>
    <hyperlink ref="G4" r:id="rId9" display="Gross interest paid"/>
    <hyperlink ref="J4" r:id="rId10" display="Net financial wealth households (beginning of year)"/>
    <hyperlink ref="L4" r:id="rId11"/>
  </hyperlinks>
  <pageMargins left="0.75" right="0.75" top="1" bottom="1" header="0.5" footer="0.5"/>
  <pageSetup paperSize="9" orientation="landscape" horizontalDpi="4294967292" verticalDpi="4294967292"/>
  <ignoredErrors>
    <ignoredError sqref="T6:T47 AB5:AB48" formula="1"/>
  </ignoredErrors>
  <legacyDrawing r:id="rId1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RowHeight="15" x14ac:dyDescent="0"/>
  <sheetData>
    <row r="1" spans="1:10" s="1" customFormat="1" ht="45">
      <c r="B1" s="95" t="s">
        <v>134</v>
      </c>
      <c r="C1" s="95" t="s">
        <v>16</v>
      </c>
      <c r="D1" s="95" t="s">
        <v>135</v>
      </c>
      <c r="E1" s="95" t="s">
        <v>136</v>
      </c>
      <c r="F1" s="95" t="s">
        <v>137</v>
      </c>
      <c r="G1" s="95" t="s">
        <v>15</v>
      </c>
      <c r="H1" s="95" t="s">
        <v>138</v>
      </c>
      <c r="I1" s="1" t="s">
        <v>139</v>
      </c>
    </row>
    <row r="2" spans="1:10" s="1" customFormat="1">
      <c r="A2" s="1">
        <v>1976</v>
      </c>
      <c r="B2" s="96">
        <v>0.31428809742263741</v>
      </c>
      <c r="C2" s="96">
        <v>0.38326799566269082</v>
      </c>
      <c r="D2" s="96">
        <v>0.14346484277254148</v>
      </c>
      <c r="E2" s="96">
        <v>5.2798398531987659E-2</v>
      </c>
      <c r="F2" s="96">
        <v>3.2321294519976645E-2</v>
      </c>
      <c r="G2" s="96">
        <v>4.4874468262574026E-2</v>
      </c>
      <c r="H2" s="96">
        <v>2.898490282759196E-2</v>
      </c>
      <c r="I2" s="97">
        <v>0</v>
      </c>
      <c r="J2" s="98"/>
    </row>
    <row r="3" spans="1:10" s="1" customFormat="1">
      <c r="A3" s="1">
        <v>1977</v>
      </c>
      <c r="B3" s="96">
        <v>0.33067509968376185</v>
      </c>
      <c r="C3" s="96">
        <v>0.40017874329712638</v>
      </c>
      <c r="D3" s="96">
        <v>0.11759246528255191</v>
      </c>
      <c r="E3" s="96">
        <v>5.1491819056785369E-2</v>
      </c>
      <c r="F3" s="96">
        <v>3.2792520280489484E-2</v>
      </c>
      <c r="G3" s="96">
        <v>4.5957651588065446E-2</v>
      </c>
      <c r="H3" s="96">
        <v>2.131170081121958E-2</v>
      </c>
      <c r="I3" s="97">
        <v>0</v>
      </c>
      <c r="J3" s="98"/>
    </row>
    <row r="4" spans="1:10" s="1" customFormat="1">
      <c r="A4" s="1">
        <v>1978</v>
      </c>
      <c r="B4" s="96">
        <v>0.34341295951938205</v>
      </c>
      <c r="C4" s="96">
        <v>0.35723072521813759</v>
      </c>
      <c r="D4" s="96">
        <v>0.14106708625375483</v>
      </c>
      <c r="E4" s="96">
        <v>5.2724932055499926E-2</v>
      </c>
      <c r="F4" s="96">
        <v>2.7120583607495353E-2</v>
      </c>
      <c r="G4" s="96">
        <v>5.507080532112716E-2</v>
      </c>
      <c r="H4" s="96">
        <v>2.337290802460306E-2</v>
      </c>
      <c r="I4" s="97">
        <v>0</v>
      </c>
      <c r="J4" s="98"/>
    </row>
    <row r="5" spans="1:10" s="1" customFormat="1">
      <c r="A5" s="1">
        <v>1979</v>
      </c>
      <c r="B5" s="96">
        <v>0.31128158487880103</v>
      </c>
      <c r="C5" s="96">
        <v>0.38623512198979792</v>
      </c>
      <c r="D5" s="96">
        <v>0.14029815334730517</v>
      </c>
      <c r="E5" s="96">
        <v>5.3976037012139669E-2</v>
      </c>
      <c r="F5" s="96">
        <v>2.6691446874135001E-2</v>
      </c>
      <c r="G5" s="96">
        <v>5.5261180750523942E-2</v>
      </c>
      <c r="H5" s="96">
        <v>2.6256475147297245E-2</v>
      </c>
      <c r="I5" s="97">
        <v>0</v>
      </c>
      <c r="J5" s="98"/>
    </row>
    <row r="6" spans="1:10" s="1" customFormat="1">
      <c r="A6" s="1">
        <v>1980</v>
      </c>
      <c r="B6" s="96">
        <v>0.27521766525375185</v>
      </c>
      <c r="C6" s="96">
        <v>0.41674304043991295</v>
      </c>
      <c r="D6" s="96">
        <v>0.14493355481727574</v>
      </c>
      <c r="E6" s="96">
        <v>5.8067934471302554E-2</v>
      </c>
      <c r="F6" s="96">
        <v>2.9255928514148242E-2</v>
      </c>
      <c r="G6" s="96">
        <v>4.9891167373124067E-2</v>
      </c>
      <c r="H6" s="96">
        <v>2.5890709130484593E-2</v>
      </c>
      <c r="I6" s="97">
        <v>0</v>
      </c>
      <c r="J6" s="98"/>
    </row>
    <row r="7" spans="1:10" s="1" customFormat="1">
      <c r="A7" s="1">
        <v>1981</v>
      </c>
      <c r="B7" s="96">
        <v>0.25785437176238424</v>
      </c>
      <c r="C7" s="96">
        <v>0.44283856210616018</v>
      </c>
      <c r="D7" s="96">
        <v>0.12873096674365933</v>
      </c>
      <c r="E7" s="96">
        <v>7.2365617922095393E-2</v>
      </c>
      <c r="F7" s="96">
        <v>2.7762204830354541E-2</v>
      </c>
      <c r="G7" s="96">
        <v>4.4188549772385802E-2</v>
      </c>
      <c r="H7" s="96">
        <v>2.6259726862960554E-2</v>
      </c>
      <c r="I7" s="97">
        <v>0</v>
      </c>
      <c r="J7" s="98"/>
    </row>
    <row r="8" spans="1:10" s="1" customFormat="1">
      <c r="A8" s="1">
        <v>1982</v>
      </c>
      <c r="B8" s="96">
        <v>0.26838302126886021</v>
      </c>
      <c r="C8" s="96">
        <v>0.39270132703144883</v>
      </c>
      <c r="D8" s="96">
        <v>0.17117342301399746</v>
      </c>
      <c r="E8" s="96">
        <v>6.5783493910198151E-2</v>
      </c>
      <c r="F8" s="96">
        <v>3.0960279949100163E-2</v>
      </c>
      <c r="G8" s="96">
        <v>4.4446464279221963E-2</v>
      </c>
      <c r="H8" s="96">
        <v>2.6551990547173242E-2</v>
      </c>
      <c r="I8" s="97">
        <v>0</v>
      </c>
      <c r="J8" s="98"/>
    </row>
    <row r="9" spans="1:10" s="1" customFormat="1">
      <c r="A9" s="1">
        <v>1983</v>
      </c>
      <c r="B9" s="96">
        <v>0.28996575951618642</v>
      </c>
      <c r="C9" s="96">
        <v>0.35507826396300252</v>
      </c>
      <c r="D9" s="96">
        <v>0.18609925293489862</v>
      </c>
      <c r="E9" s="96">
        <v>6.2466648879402349E-2</v>
      </c>
      <c r="F9" s="96">
        <v>3.5096495908929208E-2</v>
      </c>
      <c r="G9" s="96">
        <v>4.3000711490572753E-2</v>
      </c>
      <c r="H9" s="96">
        <v>2.8292867307008182E-2</v>
      </c>
      <c r="I9" s="97">
        <v>0</v>
      </c>
      <c r="J9" s="98"/>
    </row>
    <row r="10" spans="1:10" s="1" customFormat="1">
      <c r="A10" s="1">
        <v>1984</v>
      </c>
      <c r="B10" s="96">
        <v>0.31450226676450782</v>
      </c>
      <c r="C10" s="96">
        <v>0.30732501683738606</v>
      </c>
      <c r="D10" s="96">
        <v>0.20626049195323731</v>
      </c>
      <c r="E10" s="96">
        <v>6.3228154119882182E-2</v>
      </c>
      <c r="F10" s="96">
        <v>4.4309968737748916E-2</v>
      </c>
      <c r="G10" s="96">
        <v>3.1724650938370139E-2</v>
      </c>
      <c r="H10" s="96">
        <v>3.2378042038178144E-2</v>
      </c>
      <c r="I10" s="97">
        <v>2.7140861068947837E-4</v>
      </c>
      <c r="J10" s="98"/>
    </row>
    <row r="11" spans="1:10">
      <c r="A11">
        <v>1985</v>
      </c>
      <c r="B11" s="96">
        <v>0.32112510465468408</v>
      </c>
      <c r="C11" s="96">
        <v>0.30381032117854534</v>
      </c>
      <c r="D11" s="96">
        <v>0.20444626538646526</v>
      </c>
      <c r="E11" s="96">
        <v>6.0325631936156192E-2</v>
      </c>
      <c r="F11" s="96">
        <v>4.8060993640557922E-2</v>
      </c>
      <c r="G11" s="96">
        <v>3.0612608440066268E-2</v>
      </c>
      <c r="H11" s="96">
        <v>3.1414218786183799E-2</v>
      </c>
      <c r="I11" s="97">
        <v>2.0485597734114756E-4</v>
      </c>
      <c r="J11" s="98"/>
    </row>
    <row r="12" spans="1:10">
      <c r="A12">
        <v>1986</v>
      </c>
      <c r="B12" s="96">
        <v>0.33761827237705316</v>
      </c>
      <c r="C12" s="96">
        <v>0.30588823159625395</v>
      </c>
      <c r="D12" s="96">
        <v>0.18129724850497267</v>
      </c>
      <c r="E12" s="96">
        <v>6.2041618981608343E-2</v>
      </c>
      <c r="F12" s="96">
        <v>4.9065910153290669E-2</v>
      </c>
      <c r="G12" s="96">
        <v>3.0271280968423089E-2</v>
      </c>
      <c r="H12" s="96">
        <v>3.3599832363513271E-2</v>
      </c>
      <c r="I12" s="97">
        <v>2.1760505488483051E-4</v>
      </c>
      <c r="J12" s="98"/>
    </row>
    <row r="13" spans="1:10">
      <c r="A13">
        <v>1987</v>
      </c>
      <c r="B13" s="96">
        <v>0.34666632762040378</v>
      </c>
      <c r="C13" s="96">
        <v>0.31276382037328992</v>
      </c>
      <c r="D13" s="96">
        <v>0.1654312668463612</v>
      </c>
      <c r="E13" s="96">
        <v>6.2554035498143729E-2</v>
      </c>
      <c r="F13" s="96">
        <v>4.6553170930173422E-2</v>
      </c>
      <c r="G13" s="96">
        <v>2.9541524691044093E-2</v>
      </c>
      <c r="H13" s="96">
        <v>3.6292783400294973E-2</v>
      </c>
      <c r="I13" s="97">
        <v>1.9707064028886743E-4</v>
      </c>
      <c r="J13" s="98"/>
    </row>
    <row r="14" spans="1:10">
      <c r="A14">
        <v>1988</v>
      </c>
      <c r="B14" s="96">
        <v>0.34353114405206758</v>
      </c>
      <c r="C14" s="96">
        <v>0.31649508772798141</v>
      </c>
      <c r="D14" s="96">
        <v>0.16321858991808755</v>
      </c>
      <c r="E14" s="96">
        <v>6.6971466752456132E-2</v>
      </c>
      <c r="F14" s="96">
        <v>4.5540597391670171E-2</v>
      </c>
      <c r="G14" s="96">
        <v>2.7555742532604122E-2</v>
      </c>
      <c r="H14" s="96">
        <v>3.6464648964339624E-2</v>
      </c>
      <c r="I14" s="97">
        <v>2.227226607933876E-4</v>
      </c>
      <c r="J14" s="98"/>
    </row>
    <row r="15" spans="1:10">
      <c r="A15">
        <v>1989</v>
      </c>
      <c r="B15" s="96">
        <v>0.36511927852986464</v>
      </c>
      <c r="C15" s="96">
        <v>0.3193275210462117</v>
      </c>
      <c r="D15" s="96">
        <v>0.14321922054030276</v>
      </c>
      <c r="E15" s="96">
        <v>6.8942590333739923E-2</v>
      </c>
      <c r="F15" s="96">
        <v>3.9702853486372452E-2</v>
      </c>
      <c r="G15" s="96">
        <v>2.7305085084684756E-2</v>
      </c>
      <c r="H15" s="96">
        <v>3.6278469875422423E-2</v>
      </c>
      <c r="I15" s="97">
        <v>1.0498110340138776E-4</v>
      </c>
      <c r="J15" s="98"/>
    </row>
    <row r="16" spans="1:10">
      <c r="A16">
        <v>1990</v>
      </c>
      <c r="B16" s="96">
        <v>0.36432427055956601</v>
      </c>
      <c r="C16" s="96">
        <v>0.33232720859681941</v>
      </c>
      <c r="D16" s="96">
        <v>0.13553227059017059</v>
      </c>
      <c r="E16" s="96">
        <v>7.3355292101346989E-2</v>
      </c>
      <c r="F16" s="96">
        <v>3.4942750354821556E-2</v>
      </c>
      <c r="G16" s="96">
        <v>2.4388004544776375E-2</v>
      </c>
      <c r="H16" s="96">
        <v>3.5019261741628699E-2</v>
      </c>
      <c r="I16" s="97">
        <v>1.1094151087035528E-4</v>
      </c>
      <c r="J16" s="98"/>
    </row>
    <row r="17" spans="1:15">
      <c r="A17">
        <v>1991</v>
      </c>
      <c r="B17" s="96">
        <v>0.35563547933939582</v>
      </c>
      <c r="C17" s="96">
        <v>0.33566939885334729</v>
      </c>
      <c r="D17" s="96">
        <v>0.14185990689841066</v>
      </c>
      <c r="E17" s="96">
        <v>7.011344542775183E-2</v>
      </c>
      <c r="F17" s="96">
        <v>3.7236700756696349E-2</v>
      </c>
      <c r="G17" s="96">
        <v>2.4998917880935424E-2</v>
      </c>
      <c r="H17" s="96">
        <v>3.436416651254668E-2</v>
      </c>
      <c r="I17" s="97">
        <v>1.2198433091594493E-4</v>
      </c>
      <c r="J17" s="98"/>
    </row>
    <row r="18" spans="1:15">
      <c r="A18">
        <v>1992</v>
      </c>
      <c r="B18" s="96">
        <v>0.34832434395414386</v>
      </c>
      <c r="C18" s="96">
        <v>0.34877415680723661</v>
      </c>
      <c r="D18" s="96">
        <v>0.14044065152709401</v>
      </c>
      <c r="E18" s="96">
        <v>6.0295555931545911E-2</v>
      </c>
      <c r="F18" s="96">
        <v>3.7359227147237363E-2</v>
      </c>
      <c r="G18" s="96">
        <v>2.371215278780801E-2</v>
      </c>
      <c r="H18" s="96">
        <v>4.0920589461173724E-2</v>
      </c>
      <c r="I18" s="97">
        <v>1.73322383760518E-4</v>
      </c>
      <c r="J18" s="98"/>
    </row>
    <row r="19" spans="1:15">
      <c r="A19">
        <v>1993</v>
      </c>
      <c r="B19" s="96">
        <v>0.35783013210735765</v>
      </c>
      <c r="C19" s="96">
        <v>0.34206628990932386</v>
      </c>
      <c r="D19" s="96">
        <v>0.14818920244952843</v>
      </c>
      <c r="E19" s="96">
        <v>5.3974123675746395E-2</v>
      </c>
      <c r="F19" s="96">
        <v>3.8460140647998402E-2</v>
      </c>
      <c r="G19" s="96">
        <v>2.5531064309207537E-2</v>
      </c>
      <c r="H19" s="96">
        <v>3.3812760080681799E-2</v>
      </c>
      <c r="I19" s="97">
        <v>1.3628682015591213E-4</v>
      </c>
      <c r="J19" s="98"/>
    </row>
    <row r="20" spans="1:15">
      <c r="A20">
        <v>1994</v>
      </c>
      <c r="B20" s="96">
        <v>0.37916652942920193</v>
      </c>
      <c r="C20" s="96">
        <v>0.32689140673890849</v>
      </c>
      <c r="D20" s="96">
        <v>0.14267069595863113</v>
      </c>
      <c r="E20" s="96">
        <v>5.7034517967128884E-2</v>
      </c>
      <c r="F20" s="96">
        <v>4.1685879911728861E-2</v>
      </c>
      <c r="G20" s="96">
        <v>2.543559171305293E-2</v>
      </c>
      <c r="H20" s="96">
        <v>2.6855999473008135E-2</v>
      </c>
      <c r="I20" s="97">
        <v>2.5937880833964625E-4</v>
      </c>
      <c r="J20" s="98"/>
    </row>
    <row r="21" spans="1:15">
      <c r="A21">
        <v>1995</v>
      </c>
      <c r="B21" s="96">
        <v>0.3892097171442121</v>
      </c>
      <c r="C21" s="96">
        <v>0.32220547966161328</v>
      </c>
      <c r="D21" s="96">
        <v>0.13915235050253177</v>
      </c>
      <c r="E21" s="96">
        <v>5.4635989536324557E-2</v>
      </c>
      <c r="F21" s="96">
        <v>4.4585353913934742E-2</v>
      </c>
      <c r="G21" s="96">
        <v>2.2483899095901726E-2</v>
      </c>
      <c r="H21" s="96">
        <v>2.7455674708195016E-2</v>
      </c>
      <c r="I21" s="97">
        <v>2.7153543728678734E-4</v>
      </c>
      <c r="J21" s="98"/>
    </row>
    <row r="22" spans="1:15">
      <c r="A22">
        <v>1996</v>
      </c>
      <c r="B22" s="96">
        <v>0.40546090175697602</v>
      </c>
      <c r="C22" s="96">
        <v>0.30478981111290138</v>
      </c>
      <c r="D22" s="96">
        <v>0.13589679217922729</v>
      </c>
      <c r="E22" s="96">
        <v>5.4552812323187663E-2</v>
      </c>
      <c r="F22" s="96">
        <v>4.8156655263246639E-2</v>
      </c>
      <c r="G22" s="96">
        <v>2.1121931661914201E-2</v>
      </c>
      <c r="H22" s="96">
        <v>2.9668876157359702E-2</v>
      </c>
      <c r="I22" s="97">
        <v>3.5221954518714475E-4</v>
      </c>
      <c r="J22" s="98"/>
    </row>
    <row r="23" spans="1:15">
      <c r="A23">
        <v>1997</v>
      </c>
      <c r="B23" s="96">
        <v>0.41668206579988026</v>
      </c>
      <c r="C23" s="96">
        <v>0.28970943683521944</v>
      </c>
      <c r="D23" s="96">
        <v>0.1327380644398288</v>
      </c>
      <c r="E23" s="96">
        <v>5.7491739904944231E-2</v>
      </c>
      <c r="F23" s="96">
        <v>5.3407889776700246E-2</v>
      </c>
      <c r="G23" s="96">
        <v>2.1697994663276394E-2</v>
      </c>
      <c r="H23" s="96">
        <v>2.8080627397645042E-2</v>
      </c>
      <c r="I23" s="97">
        <v>1.9218118250559913E-4</v>
      </c>
      <c r="J23" s="98"/>
    </row>
    <row r="24" spans="1:15">
      <c r="A24">
        <v>1998</v>
      </c>
      <c r="B24" s="96">
        <v>0.41872641492813928</v>
      </c>
      <c r="C24" s="96">
        <v>0.29059979634477634</v>
      </c>
      <c r="D24" s="96">
        <v>0.1260477849851839</v>
      </c>
      <c r="E24" s="96">
        <v>5.8594919894437533E-2</v>
      </c>
      <c r="F24" s="96">
        <v>5.5110231032405137E-2</v>
      </c>
      <c r="G24" s="96">
        <v>2.2391504265132322E-2</v>
      </c>
      <c r="H24" s="96">
        <v>2.8300324509448121E-2</v>
      </c>
      <c r="I24" s="97">
        <v>2.2902404047735658E-4</v>
      </c>
      <c r="J24" s="98"/>
    </row>
    <row r="25" spans="1:15">
      <c r="A25">
        <v>1999</v>
      </c>
      <c r="B25" s="96">
        <v>0.42173645274506749</v>
      </c>
      <c r="C25" s="96">
        <v>0.28098449940268161</v>
      </c>
      <c r="D25" s="96">
        <v>0.12119997922370872</v>
      </c>
      <c r="E25" s="96">
        <v>6.4595715631933157E-2</v>
      </c>
      <c r="F25" s="96">
        <v>6.0930184241183058E-2</v>
      </c>
      <c r="G25" s="96">
        <v>2.0876462688006886E-2</v>
      </c>
      <c r="H25" s="96">
        <v>2.9480073310627814E-2</v>
      </c>
      <c r="I25" s="97">
        <v>1.9663275679125022E-4</v>
      </c>
      <c r="J25" s="98"/>
    </row>
    <row r="26" spans="1:15">
      <c r="A26">
        <v>2000</v>
      </c>
      <c r="B26" s="96">
        <v>0.45402859166059462</v>
      </c>
      <c r="C26" s="96">
        <v>0.25747546378492286</v>
      </c>
      <c r="D26" s="96">
        <v>0.11400745066245214</v>
      </c>
      <c r="E26" s="96">
        <v>6.6946494117808036E-2</v>
      </c>
      <c r="F26" s="96">
        <v>5.9122956455701398E-2</v>
      </c>
      <c r="G26" s="96">
        <v>1.883532941301232E-2</v>
      </c>
      <c r="H26" s="96">
        <v>2.9364778002415135E-2</v>
      </c>
      <c r="I26" s="97">
        <v>2.1893590309349589E-4</v>
      </c>
      <c r="J26" s="98"/>
    </row>
    <row r="27" spans="1:15">
      <c r="A27">
        <v>2001</v>
      </c>
      <c r="B27" s="96">
        <v>0.46528890937484951</v>
      </c>
      <c r="C27" s="96">
        <v>0.26392605791258761</v>
      </c>
      <c r="D27" s="96">
        <v>0.10513425566020212</v>
      </c>
      <c r="E27" s="96">
        <v>5.6495387219053776E-2</v>
      </c>
      <c r="F27" s="96">
        <v>6.1538144017831961E-2</v>
      </c>
      <c r="G27" s="96">
        <v>1.9730731922095256E-2</v>
      </c>
      <c r="H27" s="96">
        <v>2.7666366256871015E-2</v>
      </c>
      <c r="I27" s="97">
        <v>2.2014763650873368E-4</v>
      </c>
      <c r="J27" s="98"/>
    </row>
    <row r="28" spans="1:15">
      <c r="A28">
        <v>2002</v>
      </c>
      <c r="B28" s="96">
        <v>0.4784962860887978</v>
      </c>
      <c r="C28" s="96">
        <v>0.25017645279467615</v>
      </c>
      <c r="D28" s="96">
        <v>0.10325345343326724</v>
      </c>
      <c r="E28" s="96">
        <v>6.0857728632406814E-2</v>
      </c>
      <c r="F28" s="96">
        <v>5.8928511410614053E-2</v>
      </c>
      <c r="G28" s="96">
        <v>2.1093671226430948E-2</v>
      </c>
      <c r="H28" s="96">
        <v>2.6911571942325144E-2</v>
      </c>
      <c r="I28" s="97">
        <v>2.8232447148186736E-4</v>
      </c>
      <c r="J28" s="98"/>
    </row>
    <row r="29" spans="1:15">
      <c r="A29">
        <v>2003</v>
      </c>
      <c r="B29" s="96">
        <v>0.47492478444939523</v>
      </c>
      <c r="C29" s="96">
        <v>0.2517045492788057</v>
      </c>
      <c r="D29" s="96">
        <v>0.1033061188775888</v>
      </c>
      <c r="E29" s="96">
        <v>5.5211916027811246E-2</v>
      </c>
      <c r="F29" s="96">
        <v>6.6438720359688508E-2</v>
      </c>
      <c r="G29" s="96">
        <v>2.1531503032179468E-2</v>
      </c>
      <c r="H29" s="96">
        <v>2.6596353307801551E-2</v>
      </c>
      <c r="I29" s="97">
        <v>2.860546667294865E-4</v>
      </c>
      <c r="J29" s="98"/>
    </row>
    <row r="30" spans="1:15">
      <c r="A30">
        <v>2004</v>
      </c>
      <c r="B30" s="96">
        <v>0.50229981372413091</v>
      </c>
      <c r="C30" s="96">
        <v>0.24614939445271666</v>
      </c>
      <c r="D30" s="96">
        <v>9.823490050216116E-2</v>
      </c>
      <c r="E30" s="96">
        <v>5.1463983651127601E-2</v>
      </c>
      <c r="F30" s="96">
        <v>5.7413960441998278E-2</v>
      </c>
      <c r="G30" s="96">
        <v>2.0122616542985115E-2</v>
      </c>
      <c r="H30" s="96">
        <v>2.4104338600097659E-2</v>
      </c>
      <c r="I30" s="97">
        <v>2.1099208478264801E-4</v>
      </c>
      <c r="J30" s="98"/>
    </row>
    <row r="31" spans="1:15">
      <c r="A31">
        <v>2005</v>
      </c>
      <c r="B31" s="96">
        <v>0.58484737450322721</v>
      </c>
      <c r="C31" s="96">
        <v>0.14651483976436766</v>
      </c>
      <c r="D31" s="96">
        <v>0.10911243270667155</v>
      </c>
      <c r="E31" s="96">
        <v>5.4967727388032357E-2</v>
      </c>
      <c r="F31" s="96">
        <v>5.9170213365652924E-2</v>
      </c>
      <c r="G31" s="96">
        <v>1.9885002395783422E-2</v>
      </c>
      <c r="H31" s="96">
        <v>2.5291017221454944E-2</v>
      </c>
      <c r="I31" s="97">
        <v>2.1139265480988754E-4</v>
      </c>
      <c r="J31" s="98"/>
    </row>
    <row r="32" spans="1:15">
      <c r="A32">
        <v>2006</v>
      </c>
      <c r="B32" s="96">
        <v>0.59901718363642054</v>
      </c>
      <c r="C32" s="96">
        <v>0.1446546504920789</v>
      </c>
      <c r="D32" s="96">
        <v>9.9797445035167659E-2</v>
      </c>
      <c r="E32" s="96">
        <v>5.0551548673555623E-2</v>
      </c>
      <c r="F32" s="96">
        <v>5.9246209360453939E-2</v>
      </c>
      <c r="G32" s="96">
        <v>1.7286478897170939E-2</v>
      </c>
      <c r="H32" s="96">
        <v>2.9187142007574572E-2</v>
      </c>
      <c r="I32" s="97">
        <v>2.5934189757783612E-4</v>
      </c>
      <c r="J32" s="98"/>
      <c r="N32" t="s">
        <v>183</v>
      </c>
      <c r="O32" s="99"/>
    </row>
    <row r="33" spans="1:15">
      <c r="A33">
        <v>2007</v>
      </c>
      <c r="B33" s="96">
        <v>0.62632696390658171</v>
      </c>
      <c r="C33" s="96">
        <v>0.14760049832429681</v>
      </c>
      <c r="D33" s="96">
        <v>8.6713691635521395E-2</v>
      </c>
      <c r="E33" s="96">
        <v>4.6856521205102558E-2</v>
      </c>
      <c r="F33" s="96">
        <v>5.1260725377691212E-2</v>
      </c>
      <c r="G33" s="96">
        <v>1.6397325893562142E-2</v>
      </c>
      <c r="H33" s="96">
        <v>2.4547735607376605E-2</v>
      </c>
      <c r="I33" s="97">
        <v>2.9653804986752292E-4</v>
      </c>
      <c r="J33" s="98"/>
      <c r="N33" s="99"/>
      <c r="O33" s="99"/>
    </row>
    <row r="34" spans="1:15">
      <c r="A34">
        <v>2008</v>
      </c>
      <c r="B34" s="96">
        <v>0.61401598968353488</v>
      </c>
      <c r="C34" s="96">
        <v>0.15679435943920969</v>
      </c>
      <c r="D34" s="96">
        <v>7.8365778141570877E-2</v>
      </c>
      <c r="E34" s="96">
        <v>4.5494606255613031E-2</v>
      </c>
      <c r="F34" s="96">
        <v>6.2434710885671041E-2</v>
      </c>
      <c r="G34" s="96">
        <v>1.7455090509815085E-2</v>
      </c>
      <c r="H34" s="96">
        <v>2.5014497061859015E-2</v>
      </c>
      <c r="I34" s="97">
        <v>4.2496802272636876E-4</v>
      </c>
      <c r="J34" s="98"/>
      <c r="K34" s="100"/>
      <c r="M34" s="2">
        <v>0.55500000000000005</v>
      </c>
      <c r="N34" s="99">
        <v>0.13700000000000001</v>
      </c>
      <c r="O34" s="99"/>
    </row>
    <row r="35" spans="1:15">
      <c r="A35">
        <v>2009</v>
      </c>
      <c r="B35" s="99">
        <f>B34*M35/M34</f>
        <v>0.62286667061590995</v>
      </c>
      <c r="C35" s="99">
        <f>C34*N35/N34</f>
        <v>0.13047121880342996</v>
      </c>
      <c r="M35" s="2">
        <v>0.56299999999999994</v>
      </c>
      <c r="N35" s="99">
        <v>0.114</v>
      </c>
      <c r="O35" s="99"/>
    </row>
    <row r="36" spans="1:15">
      <c r="A36">
        <v>2010</v>
      </c>
      <c r="B36" s="99">
        <f t="shared" ref="B36" si="0">B35*M36/M35</f>
        <v>0.62618567596555064</v>
      </c>
      <c r="C36" s="99">
        <f t="shared" ref="C36:C38" si="1">C35*N36/N35</f>
        <v>0.12818225005249259</v>
      </c>
      <c r="M36" s="2">
        <v>0.56599999999999995</v>
      </c>
      <c r="N36" s="99">
        <v>0.112</v>
      </c>
      <c r="O36" s="99"/>
    </row>
    <row r="37" spans="1:15">
      <c r="A37">
        <v>2011</v>
      </c>
      <c r="B37" s="99">
        <v>0.63</v>
      </c>
      <c r="C37" s="99">
        <f t="shared" si="1"/>
        <v>0.13047121880342996</v>
      </c>
      <c r="M37" s="2">
        <v>0.53600000000000003</v>
      </c>
      <c r="N37" s="99">
        <v>0.114</v>
      </c>
      <c r="O37" s="99"/>
    </row>
    <row r="38" spans="1:15">
      <c r="A38">
        <v>2012</v>
      </c>
      <c r="B38" s="99">
        <v>0.65</v>
      </c>
      <c r="C38" s="99">
        <f t="shared" si="1"/>
        <v>0.10758153129405629</v>
      </c>
      <c r="M38" s="2">
        <v>0.55600000000000005</v>
      </c>
      <c r="N38" s="99">
        <v>9.4E-2</v>
      </c>
      <c r="O38" s="99"/>
    </row>
    <row r="39" spans="1:15">
      <c r="A39">
        <v>2013</v>
      </c>
    </row>
    <row r="41" spans="1:15">
      <c r="B41" t="s">
        <v>140</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12</vt:i4>
      </vt:variant>
      <vt:variant>
        <vt:lpstr>Graphiques</vt:lpstr>
      </vt:variant>
      <vt:variant>
        <vt:i4>4</vt:i4>
      </vt:variant>
    </vt:vector>
  </HeadingPairs>
  <TitlesOfParts>
    <vt:vector size="16" baseType="lpstr">
      <vt:lpstr>Données-G1</vt:lpstr>
      <vt:lpstr>Tableau 1</vt:lpstr>
      <vt:lpstr>Données-T1</vt:lpstr>
      <vt:lpstr>Tableau 2</vt:lpstr>
      <vt:lpstr>Données-T2</vt:lpstr>
      <vt:lpstr>Tableau 3</vt:lpstr>
      <vt:lpstr>Données-T3</vt:lpstr>
      <vt:lpstr>Données-G2</vt:lpstr>
      <vt:lpstr>Données-G3</vt:lpstr>
      <vt:lpstr>Tableau 4</vt:lpstr>
      <vt:lpstr>Données-G4</vt:lpstr>
      <vt:lpstr>Tableau 5</vt:lpstr>
      <vt:lpstr>Graphique 1</vt:lpstr>
      <vt:lpstr>Graphique 2</vt:lpstr>
      <vt:lpstr>Graphique 3</vt:lpstr>
      <vt:lpstr>Graphique 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Zucman</dc:creator>
  <cp:lastModifiedBy>Gabriel Zucman</cp:lastModifiedBy>
  <cp:lastPrinted>2013-10-08T18:03:05Z</cp:lastPrinted>
  <dcterms:created xsi:type="dcterms:W3CDTF">2013-06-18T10:06:13Z</dcterms:created>
  <dcterms:modified xsi:type="dcterms:W3CDTF">2013-11-08T11:21:32Z</dcterms:modified>
</cp:coreProperties>
</file>