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9.xml" ContentType="application/vnd.openxmlformats-officedocument.spreadsheetml.worksheet+xml"/>
  <Override PartName="/xl/chartsheets/sheet11.xml" ContentType="application/vnd.openxmlformats-officedocument.spreadsheetml.chartsheet+xml"/>
  <Override PartName="/xl/worksheets/sheet10.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11.xml" ContentType="application/vnd.openxmlformats-officedocument.spreadsheetml.worksheet+xml"/>
  <Override PartName="/xl/chartsheets/sheet15.xml" ContentType="application/vnd.openxmlformats-officedocument.spreadsheetml.chartsheet+xml"/>
  <Override PartName="/xl/worksheets/sheet12.xml" ContentType="application/vnd.openxmlformats-officedocument.spreadsheetml.work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worksheets/sheet13.xml" ContentType="application/vnd.openxmlformats-officedocument.spreadsheetml.worksheet+xml"/>
  <Override PartName="/xl/chartsheets/sheet20.xml" ContentType="application/vnd.openxmlformats-officedocument.spreadsheetml.chartsheet+xml"/>
  <Override PartName="/xl/worksheets/sheet14.xml" ContentType="application/vnd.openxmlformats-officedocument.spreadsheetml.worksheet+xml"/>
  <Override PartName="/xl/chartsheets/sheet21.xml" ContentType="application/vnd.openxmlformats-officedocument.spreadsheetml.chartsheet+xml"/>
  <Override PartName="/xl/worksheets/sheet15.xml" ContentType="application/vnd.openxmlformats-officedocument.spreadsheetml.worksheet+xml"/>
  <Override PartName="/xl/chartsheets/sheet22.xml" ContentType="application/vnd.openxmlformats-officedocument.spreadsheetml.chartsheet+xml"/>
  <Override PartName="/xl/worksheets/sheet16.xml" ContentType="application/vnd.openxmlformats-officedocument.spreadsheetml.work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worksheets/sheet17.xml" ContentType="application/vnd.openxmlformats-officedocument.spreadsheetml.worksheet+xml"/>
  <Override PartName="/xl/chartsheets/sheet28.xml" ContentType="application/vnd.openxmlformats-officedocument.spreadsheetml.chartsheet+xml"/>
  <Override PartName="/xl/chartsheets/sheet2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xml"/>
  <Override PartName="/xl/charts/chart17.xml" ContentType="application/vnd.openxmlformats-officedocument.drawingml.chart+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charts/chart20.xml" ContentType="application/vnd.openxmlformats-officedocument.drawingml.chart+xml"/>
  <Override PartName="/xl/drawings/drawing36.xml" ContentType="application/vnd.openxmlformats-officedocument.drawingml.chartshapes+xml"/>
  <Override PartName="/xl/comments1.xml" ContentType="application/vnd.openxmlformats-officedocument.spreadsheetml.comments+xml"/>
  <Override PartName="/xl/drawings/drawing37.xml" ContentType="application/vnd.openxmlformats-officedocument.drawing+xml"/>
  <Override PartName="/xl/charts/chart21.xml" ContentType="application/vnd.openxmlformats-officedocument.drawingml.chart+xml"/>
  <Override PartName="/xl/comments2.xml" ContentType="application/vnd.openxmlformats-officedocument.spreadsheetml.comments+xml"/>
  <Override PartName="/xl/drawings/drawing38.xml" ContentType="application/vnd.openxmlformats-officedocument.drawing+xml"/>
  <Override PartName="/xl/charts/chart22.xml" ContentType="application/vnd.openxmlformats-officedocument.drawingml.chart+xml"/>
  <Override PartName="/xl/drawings/drawing3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40.xml" ContentType="application/vnd.openxmlformats-officedocument.drawing+xml"/>
  <Override PartName="/xl/charts/chart43.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4.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45.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47.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48.xml" ContentType="application/vnd.openxmlformats-officedocument.drawingml.chart+xml"/>
  <Override PartName="/xl/drawings/drawing51.xml" ContentType="application/vnd.openxmlformats-officedocument.drawing+xml"/>
  <Override PartName="/xl/charts/chart4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codeName="ThisWorkbook" autoCompressPictures="0"/>
  <bookViews>
    <workbookView xWindow="280" yWindow="220" windowWidth="24360" windowHeight="15980" tabRatio="883" activeTab="5"/>
  </bookViews>
  <sheets>
    <sheet name="MainTablesFigures" sheetId="368" r:id="rId1"/>
    <sheet name="Table1" sheetId="391" r:id="rId2"/>
    <sheet name="Table2" sheetId="412" r:id="rId3"/>
    <sheet name="Table3" sheetId="415" r:id="rId4"/>
    <sheet name="DataF3" sheetId="369" r:id="rId5"/>
    <sheet name="F3" sheetId="370" r:id="rId6"/>
    <sheet name="F3(details)" sheetId="371" r:id="rId7"/>
    <sheet name="DataF4" sheetId="372" r:id="rId8"/>
    <sheet name="F4a" sheetId="373" r:id="rId9"/>
    <sheet name="F4b" sheetId="374" r:id="rId10"/>
    <sheet name="DataF4c" sheetId="410" r:id="rId11"/>
    <sheet name="F4c" sheetId="411" r:id="rId12"/>
    <sheet name="F4c(online)" sheetId="416" r:id="rId13"/>
    <sheet name="DataF5" sheetId="375" r:id="rId14"/>
    <sheet name="F5a" sheetId="376" r:id="rId15"/>
    <sheet name="F5a(slides)" sheetId="377" r:id="rId16"/>
    <sheet name="F5b" sheetId="378" r:id="rId17"/>
    <sheet name="F5c" sheetId="418" r:id="rId18"/>
    <sheet name="DataF6a" sheetId="381" r:id="rId19"/>
    <sheet name="F6a" sheetId="385" r:id="rId20"/>
    <sheet name="DataF6b" sheetId="379" r:id="rId21"/>
    <sheet name="F6b" sheetId="380" r:id="rId22"/>
    <sheet name="F6c" sheetId="382" r:id="rId23"/>
    <sheet name="F6d" sheetId="417" r:id="rId24"/>
    <sheet name="DataF6d" sheetId="404" r:id="rId25"/>
    <sheet name="F6d(slides)" sheetId="405" r:id="rId26"/>
    <sheet name="DataF7" sheetId="389" r:id="rId27"/>
    <sheet name="F7a" sheetId="67" r:id="rId28"/>
    <sheet name="F7a(slides)" sheetId="406" r:id="rId29"/>
    <sheet name="F7b" sheetId="390" r:id="rId30"/>
    <sheet name="F7c" sheetId="407" r:id="rId31"/>
    <sheet name="DataF8a" sheetId="392" r:id="rId32"/>
    <sheet name="F8a" sheetId="394" r:id="rId33"/>
    <sheet name="Data F8b" sheetId="131" r:id="rId34"/>
    <sheet name="F8b" sheetId="55" r:id="rId35"/>
    <sheet name="Data F8c" sheetId="402" r:id="rId36"/>
    <sheet name="F8c" sheetId="403" r:id="rId37"/>
    <sheet name="DataF9" sheetId="395" r:id="rId38"/>
    <sheet name="F9a" sheetId="400" r:id="rId39"/>
    <sheet name="F9b" sheetId="398" r:id="rId40"/>
    <sheet name="F9c" sheetId="399" r:id="rId41"/>
    <sheet name="F9d" sheetId="396" r:id="rId42"/>
    <sheet name="F9e" sheetId="397" r:id="rId43"/>
    <sheet name="DataF10" sheetId="408" r:id="rId44"/>
    <sheet name="F10a" sheetId="44" r:id="rId45"/>
    <sheet name="F10b" sheetId="45" r:id="rId4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8" i="412" l="1"/>
  <c r="B5" i="131"/>
  <c r="F5" i="131"/>
  <c r="H5" i="131"/>
  <c r="H44" i="412"/>
  <c r="B6" i="131"/>
  <c r="F6" i="131"/>
  <c r="H6" i="131"/>
  <c r="H45" i="412"/>
  <c r="B3" i="131"/>
  <c r="F3" i="131"/>
  <c r="H3" i="131"/>
  <c r="H46" i="412"/>
  <c r="B10" i="131"/>
  <c r="F10" i="131"/>
  <c r="H10" i="131"/>
  <c r="H47" i="412"/>
  <c r="B14" i="131"/>
  <c r="F14" i="131"/>
  <c r="G14" i="131"/>
  <c r="H14" i="131"/>
  <c r="H48" i="412"/>
  <c r="B8" i="131"/>
  <c r="F8" i="131"/>
  <c r="H8" i="131"/>
  <c r="H50" i="412"/>
  <c r="B4" i="131"/>
  <c r="F4" i="131"/>
  <c r="H4" i="131"/>
  <c r="H51" i="412"/>
  <c r="B9" i="131"/>
  <c r="F9" i="131"/>
  <c r="H9" i="131"/>
  <c r="H52" i="412"/>
  <c r="B11" i="131"/>
  <c r="F11" i="131"/>
  <c r="H11" i="131"/>
  <c r="H53" i="412"/>
  <c r="B12" i="131"/>
  <c r="F12" i="131"/>
  <c r="H12" i="131"/>
  <c r="H43" i="412"/>
  <c r="B13" i="131"/>
  <c r="F13" i="131"/>
  <c r="H13" i="131"/>
  <c r="G5" i="410"/>
  <c r="H5" i="410"/>
  <c r="F5" i="410"/>
  <c r="E5" i="410"/>
  <c r="D5" i="410"/>
  <c r="B16" i="369"/>
  <c r="C5" i="410"/>
  <c r="A5" i="410"/>
  <c r="B2" i="410"/>
  <c r="A2" i="410"/>
  <c r="B4" i="410"/>
  <c r="A4" i="410"/>
  <c r="B7" i="410"/>
  <c r="A7" i="410"/>
  <c r="B6" i="410"/>
  <c r="A6" i="410"/>
  <c r="B8" i="410"/>
  <c r="A8" i="410"/>
  <c r="B9" i="410"/>
  <c r="A9" i="410"/>
  <c r="A11" i="410"/>
  <c r="A13" i="410"/>
  <c r="A14" i="410"/>
  <c r="A15" i="410"/>
  <c r="B16" i="410"/>
  <c r="A16" i="410"/>
  <c r="A17" i="410"/>
  <c r="B3" i="410"/>
  <c r="A3" i="410"/>
  <c r="B9" i="369"/>
  <c r="B10" i="369"/>
  <c r="B11" i="369"/>
  <c r="B12" i="369"/>
  <c r="B13" i="369"/>
  <c r="B14" i="369"/>
  <c r="B15" i="369"/>
  <c r="B17" i="369"/>
  <c r="B18" i="369"/>
  <c r="F2" i="369"/>
  <c r="I17" i="410"/>
  <c r="I12" i="410"/>
  <c r="I13" i="410"/>
  <c r="I14" i="410"/>
  <c r="I11" i="410"/>
  <c r="I10" i="410"/>
  <c r="I15" i="410"/>
  <c r="I4" i="410"/>
  <c r="I3" i="410"/>
  <c r="I2" i="410"/>
  <c r="I6" i="410"/>
  <c r="I7" i="410"/>
  <c r="I8" i="410"/>
  <c r="I9" i="410"/>
  <c r="I16" i="410"/>
  <c r="H16" i="410"/>
  <c r="G16" i="410"/>
  <c r="F16" i="410"/>
  <c r="E16" i="410"/>
  <c r="D16" i="410"/>
  <c r="C16" i="410"/>
  <c r="C15" i="410"/>
  <c r="H9" i="410"/>
  <c r="G9" i="410"/>
  <c r="F9" i="410"/>
  <c r="E9" i="410"/>
  <c r="D9" i="410"/>
  <c r="B8" i="369"/>
  <c r="C9" i="410"/>
  <c r="C10" i="410"/>
  <c r="H8" i="410"/>
  <c r="G8" i="410"/>
  <c r="F8" i="410"/>
  <c r="E8" i="410"/>
  <c r="D8" i="410"/>
  <c r="B7" i="369"/>
  <c r="C8" i="410"/>
  <c r="C11" i="410"/>
  <c r="H7" i="410"/>
  <c r="G7" i="410"/>
  <c r="F7" i="410"/>
  <c r="E7" i="410"/>
  <c r="D7" i="410"/>
  <c r="B6" i="369"/>
  <c r="C7" i="410"/>
  <c r="C14" i="410"/>
  <c r="H6" i="410"/>
  <c r="G6" i="410"/>
  <c r="F6" i="410"/>
  <c r="E6" i="410"/>
  <c r="D6" i="410"/>
  <c r="B5" i="369"/>
  <c r="C6" i="410"/>
  <c r="C13" i="410"/>
  <c r="H2" i="410"/>
  <c r="G2" i="410"/>
  <c r="F2" i="410"/>
  <c r="E2" i="410"/>
  <c r="D2" i="410"/>
  <c r="B4" i="369"/>
  <c r="C2" i="410"/>
  <c r="C12" i="410"/>
  <c r="H3" i="410"/>
  <c r="G3" i="410"/>
  <c r="F3" i="410"/>
  <c r="E3" i="410"/>
  <c r="D3" i="410"/>
  <c r="B3" i="369"/>
  <c r="C3" i="410"/>
  <c r="C17" i="410"/>
  <c r="H4" i="410"/>
  <c r="G4" i="410"/>
  <c r="F4" i="410"/>
  <c r="E4" i="410"/>
  <c r="D4" i="410"/>
  <c r="B2" i="369"/>
  <c r="C4" i="410"/>
  <c r="P2" i="372"/>
  <c r="F3" i="369"/>
  <c r="P3" i="372"/>
  <c r="F4" i="369"/>
  <c r="P4" i="372"/>
  <c r="F5" i="369"/>
  <c r="P5" i="372"/>
  <c r="F6" i="369"/>
  <c r="P6" i="372"/>
  <c r="F7" i="369"/>
  <c r="P7" i="372"/>
  <c r="F8" i="369"/>
  <c r="P8" i="372"/>
  <c r="F9" i="369"/>
  <c r="P9" i="372"/>
  <c r="F16" i="369"/>
  <c r="P10" i="372"/>
  <c r="C7" i="389"/>
  <c r="G22" i="389"/>
  <c r="G15" i="389"/>
  <c r="E5" i="389"/>
  <c r="G14" i="389"/>
  <c r="E4" i="389"/>
  <c r="G13" i="389"/>
  <c r="E3" i="389"/>
  <c r="G23" i="389"/>
  <c r="F6" i="389"/>
  <c r="F5" i="389"/>
  <c r="G21" i="389"/>
  <c r="F4" i="389"/>
  <c r="G20" i="389"/>
  <c r="F3" i="389"/>
  <c r="G16" i="389"/>
  <c r="E6" i="389"/>
  <c r="F29" i="391"/>
  <c r="F21" i="391"/>
  <c r="F28" i="391"/>
  <c r="F27" i="391"/>
  <c r="F26" i="391"/>
  <c r="F25" i="391"/>
  <c r="F24" i="391"/>
  <c r="D21" i="391"/>
  <c r="D20" i="391"/>
  <c r="D19" i="391"/>
  <c r="D18" i="391"/>
  <c r="D17" i="391"/>
  <c r="C24" i="391"/>
  <c r="C10" i="391"/>
  <c r="C4" i="391"/>
  <c r="D2" i="392"/>
  <c r="D5" i="392"/>
  <c r="D4" i="392"/>
  <c r="D18" i="392"/>
  <c r="I22" i="389"/>
  <c r="H22" i="389"/>
  <c r="H15" i="389"/>
  <c r="I15" i="389"/>
  <c r="G21" i="391"/>
  <c r="G22" i="391"/>
  <c r="G28" i="391"/>
  <c r="G20" i="391"/>
  <c r="G27" i="391"/>
  <c r="G19" i="391"/>
  <c r="G26" i="391"/>
  <c r="G18" i="391"/>
  <c r="G25" i="391"/>
  <c r="G17" i="391"/>
  <c r="G24" i="391"/>
  <c r="D22" i="391"/>
  <c r="I3" i="408"/>
  <c r="I4" i="408"/>
  <c r="I5" i="408"/>
  <c r="I6" i="408"/>
  <c r="I7" i="408"/>
  <c r="I8" i="408"/>
  <c r="I9" i="408"/>
  <c r="C10" i="408"/>
  <c r="D10" i="408"/>
  <c r="E10" i="408"/>
  <c r="I10" i="408"/>
  <c r="I11" i="408"/>
  <c r="I12" i="408"/>
  <c r="I13" i="408"/>
  <c r="I14" i="408"/>
  <c r="I15" i="408"/>
  <c r="I16" i="408"/>
  <c r="H13" i="389"/>
  <c r="I13" i="389"/>
  <c r="H20" i="389"/>
  <c r="I20" i="389"/>
  <c r="H14" i="389"/>
  <c r="I14" i="389"/>
  <c r="H21" i="389"/>
  <c r="I21" i="389"/>
  <c r="H16" i="389"/>
  <c r="I16" i="389"/>
  <c r="H23" i="389"/>
  <c r="I23" i="389"/>
  <c r="B13" i="402"/>
  <c r="F13" i="402"/>
  <c r="G13" i="402"/>
  <c r="G14" i="402"/>
  <c r="B3" i="402"/>
  <c r="F3" i="402"/>
  <c r="B8" i="402"/>
  <c r="F8" i="402"/>
  <c r="B7" i="402"/>
  <c r="F7" i="402"/>
  <c r="B4" i="402"/>
  <c r="F4" i="402"/>
  <c r="F5" i="402"/>
  <c r="B6" i="402"/>
  <c r="F6" i="402"/>
  <c r="B9" i="402"/>
  <c r="F9" i="402"/>
  <c r="B10" i="402"/>
  <c r="F10" i="402"/>
  <c r="B11" i="402"/>
  <c r="F11" i="402"/>
  <c r="F14" i="402"/>
  <c r="E14" i="402"/>
  <c r="B14" i="402"/>
  <c r="H13" i="402"/>
  <c r="I11" i="402"/>
  <c r="H11" i="402"/>
  <c r="I10" i="402"/>
  <c r="H10" i="402"/>
  <c r="I9" i="402"/>
  <c r="H9" i="402"/>
  <c r="I6" i="402"/>
  <c r="H6" i="402"/>
  <c r="I5" i="402"/>
  <c r="H5" i="402"/>
  <c r="I4" i="402"/>
  <c r="H4" i="402"/>
  <c r="I7" i="402"/>
  <c r="H7" i="402"/>
  <c r="I8" i="402"/>
  <c r="H8" i="402"/>
  <c r="I3" i="402"/>
  <c r="H3" i="402"/>
  <c r="K3" i="131"/>
  <c r="K4" i="131"/>
  <c r="K5" i="131"/>
  <c r="K6" i="131"/>
  <c r="K7" i="131"/>
  <c r="K9" i="131"/>
  <c r="K8" i="131"/>
  <c r="K10" i="131"/>
  <c r="K11" i="131"/>
  <c r="K2" i="131"/>
  <c r="L4" i="131"/>
  <c r="L5" i="131"/>
  <c r="L6" i="131"/>
  <c r="F7" i="131"/>
  <c r="L7" i="131"/>
  <c r="L9" i="131"/>
  <c r="L8" i="131"/>
  <c r="L10" i="131"/>
  <c r="L11" i="131"/>
  <c r="L3" i="131"/>
  <c r="F16" i="131"/>
  <c r="E16" i="131"/>
  <c r="B16" i="131"/>
  <c r="G16" i="131"/>
  <c r="B5" i="395"/>
  <c r="E5" i="395"/>
  <c r="H5" i="395"/>
  <c r="S5" i="395"/>
  <c r="AD5" i="395"/>
  <c r="AA5" i="395"/>
  <c r="AI5" i="395"/>
  <c r="AQ5" i="395"/>
  <c r="AR5" i="395"/>
  <c r="AS5" i="395"/>
  <c r="AT5" i="395"/>
  <c r="AW5" i="395"/>
  <c r="AY5" i="395"/>
  <c r="BA5" i="395"/>
  <c r="BB5" i="395"/>
  <c r="BC5" i="395"/>
  <c r="BD5" i="395"/>
  <c r="BF5" i="395"/>
  <c r="BG5" i="395"/>
  <c r="BH5" i="395"/>
  <c r="BJ5" i="395"/>
  <c r="BW5" i="395"/>
  <c r="BZ5" i="395"/>
  <c r="CA5" i="395"/>
  <c r="CB5" i="395"/>
  <c r="DW5" i="395"/>
  <c r="EN5" i="395"/>
  <c r="B6" i="395"/>
  <c r="E6" i="395"/>
  <c r="H6" i="395"/>
  <c r="S6" i="395"/>
  <c r="AD6" i="395"/>
  <c r="AA6" i="395"/>
  <c r="AI6" i="395"/>
  <c r="AQ6" i="395"/>
  <c r="AR6" i="395"/>
  <c r="AS6" i="395"/>
  <c r="AT6" i="395"/>
  <c r="AW6" i="395"/>
  <c r="AY6" i="395"/>
  <c r="BA6" i="395"/>
  <c r="BB6" i="395"/>
  <c r="BC6" i="395"/>
  <c r="BD6" i="395"/>
  <c r="BF6" i="395"/>
  <c r="BG6" i="395"/>
  <c r="BH6" i="395"/>
  <c r="BJ6" i="395"/>
  <c r="BW6" i="395"/>
  <c r="BZ6" i="395"/>
  <c r="CA6" i="395"/>
  <c r="CB6" i="395"/>
  <c r="DW6" i="395"/>
  <c r="EN6" i="395"/>
  <c r="B7" i="395"/>
  <c r="E7" i="395"/>
  <c r="H7" i="395"/>
  <c r="S7" i="395"/>
  <c r="AD7" i="395"/>
  <c r="AA7" i="395"/>
  <c r="AI7" i="395"/>
  <c r="AQ7" i="395"/>
  <c r="AR7" i="395"/>
  <c r="AS7" i="395"/>
  <c r="AT7" i="395"/>
  <c r="AW7" i="395"/>
  <c r="AY7" i="395"/>
  <c r="BA7" i="395"/>
  <c r="BB7" i="395"/>
  <c r="BC7" i="395"/>
  <c r="BD7" i="395"/>
  <c r="BE7" i="395"/>
  <c r="BF7" i="395"/>
  <c r="BG7" i="395"/>
  <c r="BH7" i="395"/>
  <c r="BI7" i="395"/>
  <c r="BJ7" i="395"/>
  <c r="BW7" i="395"/>
  <c r="BZ7" i="395"/>
  <c r="CA7" i="395"/>
  <c r="CB7" i="395"/>
  <c r="DW7" i="395"/>
  <c r="EN7" i="395"/>
  <c r="B8" i="395"/>
  <c r="E8" i="395"/>
  <c r="H8" i="395"/>
  <c r="S8" i="395"/>
  <c r="AD8" i="395"/>
  <c r="AA8" i="395"/>
  <c r="AI8" i="395"/>
  <c r="AQ8" i="395"/>
  <c r="AR8" i="395"/>
  <c r="AS8" i="395"/>
  <c r="AT8" i="395"/>
  <c r="AW8" i="395"/>
  <c r="AY8" i="395"/>
  <c r="BA8" i="395"/>
  <c r="BB8" i="395"/>
  <c r="BC8" i="395"/>
  <c r="BD8" i="395"/>
  <c r="BE8" i="395"/>
  <c r="BF8" i="395"/>
  <c r="BG8" i="395"/>
  <c r="BH8" i="395"/>
  <c r="BI8" i="395"/>
  <c r="BJ8" i="395"/>
  <c r="BW8" i="395"/>
  <c r="BZ8" i="395"/>
  <c r="CA8" i="395"/>
  <c r="CB8" i="395"/>
  <c r="DW8" i="395"/>
  <c r="EN8" i="395"/>
  <c r="B9" i="395"/>
  <c r="E9" i="395"/>
  <c r="H9" i="395"/>
  <c r="S9" i="395"/>
  <c r="AD9" i="395"/>
  <c r="AA9" i="395"/>
  <c r="AI9" i="395"/>
  <c r="AQ9" i="395"/>
  <c r="AR9" i="395"/>
  <c r="AS9" i="395"/>
  <c r="AT9" i="395"/>
  <c r="AW9" i="395"/>
  <c r="AY9" i="395"/>
  <c r="BA9" i="395"/>
  <c r="BB9" i="395"/>
  <c r="BC9" i="395"/>
  <c r="BD9" i="395"/>
  <c r="BE9" i="395"/>
  <c r="BF9" i="395"/>
  <c r="BG9" i="395"/>
  <c r="BH9" i="395"/>
  <c r="BI9" i="395"/>
  <c r="BJ9" i="395"/>
  <c r="BW9" i="395"/>
  <c r="BZ9" i="395"/>
  <c r="CA9" i="395"/>
  <c r="CB9" i="395"/>
  <c r="DW9" i="395"/>
  <c r="EN9" i="395"/>
  <c r="B10" i="395"/>
  <c r="E10" i="395"/>
  <c r="H10" i="395"/>
  <c r="S10" i="395"/>
  <c r="AD10" i="395"/>
  <c r="AA10" i="395"/>
  <c r="AI10" i="395"/>
  <c r="AQ10" i="395"/>
  <c r="AR10" i="395"/>
  <c r="AS10" i="395"/>
  <c r="AT10" i="395"/>
  <c r="AW10" i="395"/>
  <c r="AY10" i="395"/>
  <c r="BA10" i="395"/>
  <c r="BB10" i="395"/>
  <c r="BC10" i="395"/>
  <c r="BD10" i="395"/>
  <c r="BE10" i="395"/>
  <c r="BF10" i="395"/>
  <c r="BG10" i="395"/>
  <c r="BH10" i="395"/>
  <c r="BI10" i="395"/>
  <c r="BJ10" i="395"/>
  <c r="BW10" i="395"/>
  <c r="BZ10" i="395"/>
  <c r="CA10" i="395"/>
  <c r="CB10" i="395"/>
  <c r="DW10" i="395"/>
  <c r="EN10" i="395"/>
  <c r="B11" i="395"/>
  <c r="E11" i="395"/>
  <c r="H11" i="395"/>
  <c r="S11" i="395"/>
  <c r="AD11" i="395"/>
  <c r="AA11" i="395"/>
  <c r="AI11" i="395"/>
  <c r="AQ11" i="395"/>
  <c r="AR11" i="395"/>
  <c r="AS11" i="395"/>
  <c r="AT11" i="395"/>
  <c r="AW11" i="395"/>
  <c r="AY11" i="395"/>
  <c r="BA11" i="395"/>
  <c r="BB11" i="395"/>
  <c r="BC11" i="395"/>
  <c r="BD11" i="395"/>
  <c r="BE11" i="395"/>
  <c r="BF11" i="395"/>
  <c r="BG11" i="395"/>
  <c r="BH11" i="395"/>
  <c r="BI11" i="395"/>
  <c r="BJ11" i="395"/>
  <c r="BW11" i="395"/>
  <c r="BZ11" i="395"/>
  <c r="CA11" i="395"/>
  <c r="CB11" i="395"/>
  <c r="DW11" i="395"/>
  <c r="EN11" i="395"/>
  <c r="B12" i="395"/>
  <c r="E12" i="395"/>
  <c r="H12" i="395"/>
  <c r="S12" i="395"/>
  <c r="AD12" i="395"/>
  <c r="AA12" i="395"/>
  <c r="AI12" i="395"/>
  <c r="AQ12" i="395"/>
  <c r="AR12" i="395"/>
  <c r="AS12" i="395"/>
  <c r="AT12" i="395"/>
  <c r="AW12" i="395"/>
  <c r="AY12" i="395"/>
  <c r="BA12" i="395"/>
  <c r="BB12" i="395"/>
  <c r="BC12" i="395"/>
  <c r="BD12" i="395"/>
  <c r="BE12" i="395"/>
  <c r="BF12" i="395"/>
  <c r="BG12" i="395"/>
  <c r="BH12" i="395"/>
  <c r="BI12" i="395"/>
  <c r="BJ12" i="395"/>
  <c r="BW12" i="395"/>
  <c r="BZ12" i="395"/>
  <c r="CA12" i="395"/>
  <c r="CB12" i="395"/>
  <c r="DW12" i="395"/>
  <c r="EN12" i="395"/>
  <c r="B13" i="395"/>
  <c r="E13" i="395"/>
  <c r="H13" i="395"/>
  <c r="S13" i="395"/>
  <c r="AD13" i="395"/>
  <c r="AA13" i="395"/>
  <c r="AI13" i="395"/>
  <c r="AQ13" i="395"/>
  <c r="AR13" i="395"/>
  <c r="AS13" i="395"/>
  <c r="AT13" i="395"/>
  <c r="AW13" i="395"/>
  <c r="AY13" i="395"/>
  <c r="BA13" i="395"/>
  <c r="BB13" i="395"/>
  <c r="BC13" i="395"/>
  <c r="BD13" i="395"/>
  <c r="BE13" i="395"/>
  <c r="BF13" i="395"/>
  <c r="BG13" i="395"/>
  <c r="BH13" i="395"/>
  <c r="BI13" i="395"/>
  <c r="BJ13" i="395"/>
  <c r="BW13" i="395"/>
  <c r="BZ13" i="395"/>
  <c r="CA13" i="395"/>
  <c r="CB13" i="395"/>
  <c r="DW13" i="395"/>
  <c r="EN13" i="395"/>
  <c r="B14" i="395"/>
  <c r="E14" i="395"/>
  <c r="H14" i="395"/>
  <c r="S14" i="395"/>
  <c r="AD14" i="395"/>
  <c r="AA14" i="395"/>
  <c r="AI14" i="395"/>
  <c r="AQ14" i="395"/>
  <c r="AR14" i="395"/>
  <c r="AS14" i="395"/>
  <c r="AT14" i="395"/>
  <c r="AW14" i="395"/>
  <c r="AY14" i="395"/>
  <c r="BA14" i="395"/>
  <c r="BB14" i="395"/>
  <c r="BC14" i="395"/>
  <c r="BD14" i="395"/>
  <c r="BE14" i="395"/>
  <c r="BF14" i="395"/>
  <c r="BG14" i="395"/>
  <c r="BH14" i="395"/>
  <c r="BI14" i="395"/>
  <c r="BJ14" i="395"/>
  <c r="BW14" i="395"/>
  <c r="BZ14" i="395"/>
  <c r="CA14" i="395"/>
  <c r="CB14" i="395"/>
  <c r="DW14" i="395"/>
  <c r="EN14" i="395"/>
  <c r="B15" i="395"/>
  <c r="E15" i="395"/>
  <c r="H15" i="395"/>
  <c r="S15" i="395"/>
  <c r="AD15" i="395"/>
  <c r="AA15" i="395"/>
  <c r="AI15" i="395"/>
  <c r="AQ15" i="395"/>
  <c r="AR15" i="395"/>
  <c r="AS15" i="395"/>
  <c r="AT15" i="395"/>
  <c r="AW15" i="395"/>
  <c r="AY15" i="395"/>
  <c r="BA15" i="395"/>
  <c r="BB15" i="395"/>
  <c r="BC15" i="395"/>
  <c r="BD15" i="395"/>
  <c r="BE15" i="395"/>
  <c r="BF15" i="395"/>
  <c r="BG15" i="395"/>
  <c r="BH15" i="395"/>
  <c r="BI15" i="395"/>
  <c r="BJ15" i="395"/>
  <c r="BW15" i="395"/>
  <c r="BZ15" i="395"/>
  <c r="CA15" i="395"/>
  <c r="CB15" i="395"/>
  <c r="DW15" i="395"/>
  <c r="EN15" i="395"/>
  <c r="B16" i="395"/>
  <c r="E16" i="395"/>
  <c r="H16" i="395"/>
  <c r="S16" i="395"/>
  <c r="AD16" i="395"/>
  <c r="AA16" i="395"/>
  <c r="AI16" i="395"/>
  <c r="AQ16" i="395"/>
  <c r="AR16" i="395"/>
  <c r="AS16" i="395"/>
  <c r="AT16" i="395"/>
  <c r="AW16" i="395"/>
  <c r="AY16" i="395"/>
  <c r="BA16" i="395"/>
  <c r="BB16" i="395"/>
  <c r="BC16" i="395"/>
  <c r="BD16" i="395"/>
  <c r="BE16" i="395"/>
  <c r="BF16" i="395"/>
  <c r="BG16" i="395"/>
  <c r="BH16" i="395"/>
  <c r="BI16" i="395"/>
  <c r="BJ16" i="395"/>
  <c r="BW16" i="395"/>
  <c r="BZ16" i="395"/>
  <c r="CA16" i="395"/>
  <c r="CB16" i="395"/>
  <c r="DW16" i="395"/>
  <c r="EN16" i="395"/>
  <c r="B17" i="395"/>
  <c r="E17" i="395"/>
  <c r="H17" i="395"/>
  <c r="S17" i="395"/>
  <c r="AD17" i="395"/>
  <c r="AA17" i="395"/>
  <c r="AI17" i="395"/>
  <c r="AQ17" i="395"/>
  <c r="AR17" i="395"/>
  <c r="AS17" i="395"/>
  <c r="AT17" i="395"/>
  <c r="AW17" i="395"/>
  <c r="AY17" i="395"/>
  <c r="BA17" i="395"/>
  <c r="BB17" i="395"/>
  <c r="BC17" i="395"/>
  <c r="BD17" i="395"/>
  <c r="BE17" i="395"/>
  <c r="BF17" i="395"/>
  <c r="BG17" i="395"/>
  <c r="BH17" i="395"/>
  <c r="BI17" i="395"/>
  <c r="BJ17" i="395"/>
  <c r="BW17" i="395"/>
  <c r="BZ17" i="395"/>
  <c r="CA17" i="395"/>
  <c r="CB17" i="395"/>
  <c r="DW17" i="395"/>
  <c r="EN17" i="395"/>
  <c r="B18" i="395"/>
  <c r="E18" i="395"/>
  <c r="H18" i="395"/>
  <c r="S18" i="395"/>
  <c r="AD18" i="395"/>
  <c r="AA18" i="395"/>
  <c r="AI18" i="395"/>
  <c r="AQ18" i="395"/>
  <c r="AR18" i="395"/>
  <c r="AS18" i="395"/>
  <c r="AT18" i="395"/>
  <c r="AW18" i="395"/>
  <c r="AY18" i="395"/>
  <c r="BA18" i="395"/>
  <c r="BB18" i="395"/>
  <c r="BC18" i="395"/>
  <c r="BD18" i="395"/>
  <c r="BE18" i="395"/>
  <c r="BF18" i="395"/>
  <c r="BG18" i="395"/>
  <c r="BH18" i="395"/>
  <c r="BI18" i="395"/>
  <c r="BJ18" i="395"/>
  <c r="BW18" i="395"/>
  <c r="BZ18" i="395"/>
  <c r="CA18" i="395"/>
  <c r="CB18" i="395"/>
  <c r="EN18" i="395"/>
  <c r="CO18" i="395"/>
  <c r="CP18" i="395"/>
  <c r="CV18" i="395"/>
  <c r="CW18" i="395"/>
  <c r="CX18" i="395"/>
  <c r="CY18" i="395"/>
  <c r="CZ18" i="395"/>
  <c r="DA18" i="395"/>
  <c r="DE20" i="395"/>
  <c r="DE19" i="395"/>
  <c r="DE18" i="395"/>
  <c r="DF20" i="395"/>
  <c r="DF19" i="395"/>
  <c r="DF18" i="395"/>
  <c r="DH18" i="395"/>
  <c r="DI18" i="395"/>
  <c r="DJ18" i="395"/>
  <c r="DK18" i="395"/>
  <c r="DL18" i="395"/>
  <c r="DM18" i="395"/>
  <c r="DW18" i="395"/>
  <c r="B19" i="395"/>
  <c r="E19" i="395"/>
  <c r="H19" i="395"/>
  <c r="S19" i="395"/>
  <c r="AD19" i="395"/>
  <c r="AA19" i="395"/>
  <c r="AI19" i="395"/>
  <c r="AQ19" i="395"/>
  <c r="AR19" i="395"/>
  <c r="AS19" i="395"/>
  <c r="AT19" i="395"/>
  <c r="AW19" i="395"/>
  <c r="AY19" i="395"/>
  <c r="BA19" i="395"/>
  <c r="BB19" i="395"/>
  <c r="BC19" i="395"/>
  <c r="BD19" i="395"/>
  <c r="BE19" i="395"/>
  <c r="BF19" i="395"/>
  <c r="BG19" i="395"/>
  <c r="BH19" i="395"/>
  <c r="BI19" i="395"/>
  <c r="BJ19" i="395"/>
  <c r="BW19" i="395"/>
  <c r="BZ19" i="395"/>
  <c r="CA19" i="395"/>
  <c r="CB19" i="395"/>
  <c r="EN19" i="395"/>
  <c r="CO19" i="395"/>
  <c r="CP19" i="395"/>
  <c r="CV19" i="395"/>
  <c r="CW19" i="395"/>
  <c r="CX19" i="395"/>
  <c r="CY19" i="395"/>
  <c r="CZ19" i="395"/>
  <c r="DA19" i="395"/>
  <c r="DH19" i="395"/>
  <c r="DI19" i="395"/>
  <c r="DJ19" i="395"/>
  <c r="DK19" i="395"/>
  <c r="DL19" i="395"/>
  <c r="DM19" i="395"/>
  <c r="DW19" i="395"/>
  <c r="B20" i="395"/>
  <c r="E20" i="395"/>
  <c r="H20" i="395"/>
  <c r="S20" i="395"/>
  <c r="AD20" i="395"/>
  <c r="AA20" i="395"/>
  <c r="AI20" i="395"/>
  <c r="AQ20" i="395"/>
  <c r="AR20" i="395"/>
  <c r="AS20" i="395"/>
  <c r="AT20" i="395"/>
  <c r="AW20" i="395"/>
  <c r="AY20" i="395"/>
  <c r="BA20" i="395"/>
  <c r="BB20" i="395"/>
  <c r="BC20" i="395"/>
  <c r="BD20" i="395"/>
  <c r="BE20" i="395"/>
  <c r="BF20" i="395"/>
  <c r="BG20" i="395"/>
  <c r="BH20" i="395"/>
  <c r="BI20" i="395"/>
  <c r="BJ20" i="395"/>
  <c r="BW20" i="395"/>
  <c r="BZ20" i="395"/>
  <c r="CA20" i="395"/>
  <c r="CB20" i="395"/>
  <c r="EN20" i="395"/>
  <c r="CO20" i="395"/>
  <c r="CP20" i="395"/>
  <c r="CV20" i="395"/>
  <c r="CW20" i="395"/>
  <c r="CX20" i="395"/>
  <c r="CY20" i="395"/>
  <c r="CZ20" i="395"/>
  <c r="DA20" i="395"/>
  <c r="DH20" i="395"/>
  <c r="DI20" i="395"/>
  <c r="DJ20" i="395"/>
  <c r="DK20" i="395"/>
  <c r="DL20" i="395"/>
  <c r="DM20" i="395"/>
  <c r="DS20" i="395"/>
  <c r="DT20" i="395"/>
  <c r="DU20" i="395"/>
  <c r="DW20" i="395"/>
  <c r="B21" i="395"/>
  <c r="E21" i="395"/>
  <c r="H21" i="395"/>
  <c r="S21" i="395"/>
  <c r="AD21" i="395"/>
  <c r="AA21" i="395"/>
  <c r="AI21" i="395"/>
  <c r="AQ21" i="395"/>
  <c r="AR21" i="395"/>
  <c r="AS21" i="395"/>
  <c r="AT21" i="395"/>
  <c r="AW21" i="395"/>
  <c r="AY21" i="395"/>
  <c r="BA21" i="395"/>
  <c r="BB21" i="395"/>
  <c r="BC21" i="395"/>
  <c r="BD21" i="395"/>
  <c r="BE21" i="395"/>
  <c r="BF21" i="395"/>
  <c r="BG21" i="395"/>
  <c r="BH21" i="395"/>
  <c r="BI21" i="395"/>
  <c r="BJ21" i="395"/>
  <c r="BW21" i="395"/>
  <c r="BZ21" i="395"/>
  <c r="CA21" i="395"/>
  <c r="CB21" i="395"/>
  <c r="EN21" i="395"/>
  <c r="CO21" i="395"/>
  <c r="CP21" i="395"/>
  <c r="CV21" i="395"/>
  <c r="CW21" i="395"/>
  <c r="CX21" i="395"/>
  <c r="CY21" i="395"/>
  <c r="CZ21" i="395"/>
  <c r="DA21" i="395"/>
  <c r="DH21" i="395"/>
  <c r="DI21" i="395"/>
  <c r="DJ21" i="395"/>
  <c r="DK21" i="395"/>
  <c r="DL21" i="395"/>
  <c r="DM21" i="395"/>
  <c r="DS21" i="395"/>
  <c r="DT21" i="395"/>
  <c r="DU21" i="395"/>
  <c r="DW21" i="395"/>
  <c r="B22" i="395"/>
  <c r="E22" i="395"/>
  <c r="H22" i="395"/>
  <c r="S22" i="395"/>
  <c r="AD22" i="395"/>
  <c r="AA22" i="395"/>
  <c r="AI22" i="395"/>
  <c r="AQ22" i="395"/>
  <c r="AR22" i="395"/>
  <c r="AS22" i="395"/>
  <c r="AT22" i="395"/>
  <c r="AW22" i="395"/>
  <c r="AY22" i="395"/>
  <c r="BA22" i="395"/>
  <c r="BB22" i="395"/>
  <c r="BC22" i="395"/>
  <c r="BD22" i="395"/>
  <c r="BE22" i="395"/>
  <c r="BF22" i="395"/>
  <c r="BG22" i="395"/>
  <c r="BH22" i="395"/>
  <c r="BI22" i="395"/>
  <c r="BJ22" i="395"/>
  <c r="BW22" i="395"/>
  <c r="BZ22" i="395"/>
  <c r="CA22" i="395"/>
  <c r="CB22" i="395"/>
  <c r="EN22" i="395"/>
  <c r="CO22" i="395"/>
  <c r="CP22" i="395"/>
  <c r="CV22" i="395"/>
  <c r="CW22" i="395"/>
  <c r="CX22" i="395"/>
  <c r="CY22" i="395"/>
  <c r="CZ22" i="395"/>
  <c r="DA22" i="395"/>
  <c r="DE23" i="395"/>
  <c r="DE22" i="395"/>
  <c r="DF23" i="395"/>
  <c r="DF22" i="395"/>
  <c r="DH22" i="395"/>
  <c r="DI22" i="395"/>
  <c r="DJ22" i="395"/>
  <c r="DK22" i="395"/>
  <c r="DL22" i="395"/>
  <c r="DM22" i="395"/>
  <c r="DS22" i="395"/>
  <c r="DT22" i="395"/>
  <c r="DU22" i="395"/>
  <c r="DW22" i="395"/>
  <c r="B23" i="395"/>
  <c r="E23" i="395"/>
  <c r="H23" i="395"/>
  <c r="S23" i="395"/>
  <c r="AD23" i="395"/>
  <c r="AA23" i="395"/>
  <c r="AI23" i="395"/>
  <c r="AQ23" i="395"/>
  <c r="AR23" i="395"/>
  <c r="AS23" i="395"/>
  <c r="AT23" i="395"/>
  <c r="AW23" i="395"/>
  <c r="AY23" i="395"/>
  <c r="BA23" i="395"/>
  <c r="BB23" i="395"/>
  <c r="BC23" i="395"/>
  <c r="BD23" i="395"/>
  <c r="BE23" i="395"/>
  <c r="BF23" i="395"/>
  <c r="BG23" i="395"/>
  <c r="BH23" i="395"/>
  <c r="BI23" i="395"/>
  <c r="BJ23" i="395"/>
  <c r="BW23" i="395"/>
  <c r="BZ23" i="395"/>
  <c r="CA23" i="395"/>
  <c r="CB23" i="395"/>
  <c r="EN23" i="395"/>
  <c r="CO23" i="395"/>
  <c r="CP23" i="395"/>
  <c r="CV23" i="395"/>
  <c r="CW23" i="395"/>
  <c r="CX23" i="395"/>
  <c r="CY23" i="395"/>
  <c r="CZ23" i="395"/>
  <c r="DA23" i="395"/>
  <c r="DH23" i="395"/>
  <c r="DI23" i="395"/>
  <c r="DJ23" i="395"/>
  <c r="DK23" i="395"/>
  <c r="DL23" i="395"/>
  <c r="DM23" i="395"/>
  <c r="DS23" i="395"/>
  <c r="DT23" i="395"/>
  <c r="DU23" i="395"/>
  <c r="DW23" i="395"/>
  <c r="B24" i="395"/>
  <c r="E24" i="395"/>
  <c r="H24" i="395"/>
  <c r="S24" i="395"/>
  <c r="AD24" i="395"/>
  <c r="AA24" i="395"/>
  <c r="AI24" i="395"/>
  <c r="AQ24" i="395"/>
  <c r="AR24" i="395"/>
  <c r="AS24" i="395"/>
  <c r="AT24" i="395"/>
  <c r="AW24" i="395"/>
  <c r="AY24" i="395"/>
  <c r="BA24" i="395"/>
  <c r="BB24" i="395"/>
  <c r="BC24" i="395"/>
  <c r="BD24" i="395"/>
  <c r="BE24" i="395"/>
  <c r="BF24" i="395"/>
  <c r="BG24" i="395"/>
  <c r="BH24" i="395"/>
  <c r="BI24" i="395"/>
  <c r="BJ24" i="395"/>
  <c r="BW24" i="395"/>
  <c r="BZ24" i="395"/>
  <c r="CA24" i="395"/>
  <c r="CB24" i="395"/>
  <c r="EN24" i="395"/>
  <c r="CO24" i="395"/>
  <c r="CP24" i="395"/>
  <c r="CV24" i="395"/>
  <c r="CW24" i="395"/>
  <c r="CX24" i="395"/>
  <c r="CY24" i="395"/>
  <c r="CZ24" i="395"/>
  <c r="DA24" i="395"/>
  <c r="DH24" i="395"/>
  <c r="DI24" i="395"/>
  <c r="DJ24" i="395"/>
  <c r="DK24" i="395"/>
  <c r="DL24" i="395"/>
  <c r="DM24" i="395"/>
  <c r="DS24" i="395"/>
  <c r="DT24" i="395"/>
  <c r="DU24" i="395"/>
  <c r="DW24" i="395"/>
  <c r="B25" i="395"/>
  <c r="E25" i="395"/>
  <c r="H25" i="395"/>
  <c r="S25" i="395"/>
  <c r="AD25" i="395"/>
  <c r="AA25" i="395"/>
  <c r="AI25" i="395"/>
  <c r="AQ25" i="395"/>
  <c r="AR25" i="395"/>
  <c r="AS25" i="395"/>
  <c r="AT25" i="395"/>
  <c r="AW25" i="395"/>
  <c r="AY25" i="395"/>
  <c r="BA25" i="395"/>
  <c r="BB25" i="395"/>
  <c r="BC25" i="395"/>
  <c r="BD25" i="395"/>
  <c r="BE25" i="395"/>
  <c r="BF25" i="395"/>
  <c r="BG25" i="395"/>
  <c r="BH25" i="395"/>
  <c r="BI25" i="395"/>
  <c r="BJ25" i="395"/>
  <c r="BW25" i="395"/>
  <c r="BZ25" i="395"/>
  <c r="CA25" i="395"/>
  <c r="CB25" i="395"/>
  <c r="EN25" i="395"/>
  <c r="CO25" i="395"/>
  <c r="CP25" i="395"/>
  <c r="CV25" i="395"/>
  <c r="CW25" i="395"/>
  <c r="CX25" i="395"/>
  <c r="CY25" i="395"/>
  <c r="CZ25" i="395"/>
  <c r="DA25" i="395"/>
  <c r="DE25" i="395"/>
  <c r="DF25" i="395"/>
  <c r="DH25" i="395"/>
  <c r="DI25" i="395"/>
  <c r="DJ25" i="395"/>
  <c r="DK25" i="395"/>
  <c r="DL25" i="395"/>
  <c r="DM25" i="395"/>
  <c r="DS25" i="395"/>
  <c r="DT25" i="395"/>
  <c r="DU25" i="395"/>
  <c r="DW25" i="395"/>
  <c r="B26" i="395"/>
  <c r="E26" i="395"/>
  <c r="H26" i="395"/>
  <c r="S26" i="395"/>
  <c r="AD26" i="395"/>
  <c r="AA26" i="395"/>
  <c r="AI26" i="395"/>
  <c r="AQ26" i="395"/>
  <c r="AR26" i="395"/>
  <c r="AS26" i="395"/>
  <c r="AT26" i="395"/>
  <c r="AW26" i="395"/>
  <c r="AY26" i="395"/>
  <c r="BA26" i="395"/>
  <c r="BB26" i="395"/>
  <c r="BC26" i="395"/>
  <c r="BD26" i="395"/>
  <c r="BE26" i="395"/>
  <c r="BF26" i="395"/>
  <c r="BG26" i="395"/>
  <c r="BH26" i="395"/>
  <c r="BI26" i="395"/>
  <c r="BJ26" i="395"/>
  <c r="BW26" i="395"/>
  <c r="BZ26" i="395"/>
  <c r="CA26" i="395"/>
  <c r="CB26" i="395"/>
  <c r="EN26" i="395"/>
  <c r="CO26" i="395"/>
  <c r="CP26" i="395"/>
  <c r="CV26" i="395"/>
  <c r="CW26" i="395"/>
  <c r="CX26" i="395"/>
  <c r="CY26" i="395"/>
  <c r="CZ26" i="395"/>
  <c r="DA26" i="395"/>
  <c r="DH26" i="395"/>
  <c r="DI26" i="395"/>
  <c r="DJ26" i="395"/>
  <c r="DK26" i="395"/>
  <c r="DL26" i="395"/>
  <c r="DM26" i="395"/>
  <c r="DS26" i="395"/>
  <c r="DT26" i="395"/>
  <c r="DU26" i="395"/>
  <c r="DW26" i="395"/>
  <c r="B27" i="395"/>
  <c r="E27" i="395"/>
  <c r="H27" i="395"/>
  <c r="S27" i="395"/>
  <c r="AD27" i="395"/>
  <c r="AA27" i="395"/>
  <c r="AI27" i="395"/>
  <c r="AQ27" i="395"/>
  <c r="AR27" i="395"/>
  <c r="AS27" i="395"/>
  <c r="AT27" i="395"/>
  <c r="AW27" i="395"/>
  <c r="AY27" i="395"/>
  <c r="BA27" i="395"/>
  <c r="BB27" i="395"/>
  <c r="BC27" i="395"/>
  <c r="BD27" i="395"/>
  <c r="BE27" i="395"/>
  <c r="BF27" i="395"/>
  <c r="BG27" i="395"/>
  <c r="BH27" i="395"/>
  <c r="BI27" i="395"/>
  <c r="BJ27" i="395"/>
  <c r="BW27" i="395"/>
  <c r="BZ27" i="395"/>
  <c r="CA27" i="395"/>
  <c r="CB27" i="395"/>
  <c r="EN27" i="395"/>
  <c r="CO27" i="395"/>
  <c r="CP27" i="395"/>
  <c r="CV27" i="395"/>
  <c r="CW27" i="395"/>
  <c r="CX27" i="395"/>
  <c r="CY27" i="395"/>
  <c r="CZ27" i="395"/>
  <c r="DA27" i="395"/>
  <c r="DH27" i="395"/>
  <c r="DI27" i="395"/>
  <c r="DJ27" i="395"/>
  <c r="DK27" i="395"/>
  <c r="DL27" i="395"/>
  <c r="DM27" i="395"/>
  <c r="DS27" i="395"/>
  <c r="DT27" i="395"/>
  <c r="DU27" i="395"/>
  <c r="DW27" i="395"/>
  <c r="B28" i="395"/>
  <c r="E28" i="395"/>
  <c r="H28" i="395"/>
  <c r="S28" i="395"/>
  <c r="AD28" i="395"/>
  <c r="AA28" i="395"/>
  <c r="AI28" i="395"/>
  <c r="AK33" i="395"/>
  <c r="AK32" i="395"/>
  <c r="AK31" i="395"/>
  <c r="AK30" i="395"/>
  <c r="AK29" i="395"/>
  <c r="AK28" i="395"/>
  <c r="AQ28" i="395"/>
  <c r="AR28" i="395"/>
  <c r="AS28" i="395"/>
  <c r="AT28" i="395"/>
  <c r="AW28" i="395"/>
  <c r="AY28" i="395"/>
  <c r="BA28" i="395"/>
  <c r="BB28" i="395"/>
  <c r="BC28" i="395"/>
  <c r="BD28" i="395"/>
  <c r="BE28" i="395"/>
  <c r="BF28" i="395"/>
  <c r="BG28" i="395"/>
  <c r="BH28" i="395"/>
  <c r="BI28" i="395"/>
  <c r="BJ28" i="395"/>
  <c r="BW28" i="395"/>
  <c r="BZ28" i="395"/>
  <c r="CA28" i="395"/>
  <c r="CB28" i="395"/>
  <c r="EN28" i="395"/>
  <c r="CO28" i="395"/>
  <c r="CP28" i="395"/>
  <c r="CV28" i="395"/>
  <c r="CW28" i="395"/>
  <c r="CX28" i="395"/>
  <c r="CY28" i="395"/>
  <c r="CZ28" i="395"/>
  <c r="DA28" i="395"/>
  <c r="DH28" i="395"/>
  <c r="DI28" i="395"/>
  <c r="DJ28" i="395"/>
  <c r="DK28" i="395"/>
  <c r="DL28" i="395"/>
  <c r="DM28" i="395"/>
  <c r="DS28" i="395"/>
  <c r="DT28" i="395"/>
  <c r="DU28" i="395"/>
  <c r="DW28" i="395"/>
  <c r="B29" i="395"/>
  <c r="E29" i="395"/>
  <c r="H29" i="395"/>
  <c r="S29" i="395"/>
  <c r="AD29" i="395"/>
  <c r="AA29" i="395"/>
  <c r="AI29" i="395"/>
  <c r="AQ29" i="395"/>
  <c r="AR29" i="395"/>
  <c r="AS29" i="395"/>
  <c r="AT29" i="395"/>
  <c r="AW29" i="395"/>
  <c r="AY29" i="395"/>
  <c r="BA29" i="395"/>
  <c r="BB29" i="395"/>
  <c r="BC29" i="395"/>
  <c r="BD29" i="395"/>
  <c r="BE29" i="395"/>
  <c r="BF29" i="395"/>
  <c r="BG29" i="395"/>
  <c r="BH29" i="395"/>
  <c r="BI29" i="395"/>
  <c r="BJ29" i="395"/>
  <c r="BW29" i="395"/>
  <c r="BZ29" i="395"/>
  <c r="CA29" i="395"/>
  <c r="CB29" i="395"/>
  <c r="EN29" i="395"/>
  <c r="CO29" i="395"/>
  <c r="CP29" i="395"/>
  <c r="CV29" i="395"/>
  <c r="CW29" i="395"/>
  <c r="CX29" i="395"/>
  <c r="CY29" i="395"/>
  <c r="CZ29" i="395"/>
  <c r="DA29" i="395"/>
  <c r="DH29" i="395"/>
  <c r="DI29" i="395"/>
  <c r="DJ29" i="395"/>
  <c r="DK29" i="395"/>
  <c r="DL29" i="395"/>
  <c r="DM29" i="395"/>
  <c r="DS29" i="395"/>
  <c r="DT29" i="395"/>
  <c r="DU29" i="395"/>
  <c r="DW29" i="395"/>
  <c r="H30" i="395"/>
  <c r="S30" i="395"/>
  <c r="AD30" i="395"/>
  <c r="AA30" i="395"/>
  <c r="AI30" i="395"/>
  <c r="AQ30" i="395"/>
  <c r="AR30" i="395"/>
  <c r="AS30" i="395"/>
  <c r="AT30" i="395"/>
  <c r="AW30" i="395"/>
  <c r="AY30" i="395"/>
  <c r="BA30" i="395"/>
  <c r="BB30" i="395"/>
  <c r="BC30" i="395"/>
  <c r="BD30" i="395"/>
  <c r="BE30" i="395"/>
  <c r="BF30" i="395"/>
  <c r="BG30" i="395"/>
  <c r="BH30" i="395"/>
  <c r="BI30" i="395"/>
  <c r="BJ30" i="395"/>
  <c r="BW30" i="395"/>
  <c r="BZ30" i="395"/>
  <c r="CA30" i="395"/>
  <c r="CB30" i="395"/>
  <c r="EN30" i="395"/>
  <c r="CO30" i="395"/>
  <c r="CP30" i="395"/>
  <c r="CV30" i="395"/>
  <c r="CW30" i="395"/>
  <c r="CX30" i="395"/>
  <c r="CY30" i="395"/>
  <c r="CZ30" i="395"/>
  <c r="DA30" i="395"/>
  <c r="DH30" i="395"/>
  <c r="DI30" i="395"/>
  <c r="DJ30" i="395"/>
  <c r="DK30" i="395"/>
  <c r="DL30" i="395"/>
  <c r="DM30" i="395"/>
  <c r="DS30" i="395"/>
  <c r="DT30" i="395"/>
  <c r="DU30" i="395"/>
  <c r="DW30" i="395"/>
  <c r="H31" i="395"/>
  <c r="S31" i="395"/>
  <c r="AD31" i="395"/>
  <c r="AI31" i="395"/>
  <c r="AQ31" i="395"/>
  <c r="AR31" i="395"/>
  <c r="AS31" i="395"/>
  <c r="AT31" i="395"/>
  <c r="AW31" i="395"/>
  <c r="AY31" i="395"/>
  <c r="BA31" i="395"/>
  <c r="BB31" i="395"/>
  <c r="BC31" i="395"/>
  <c r="BD31" i="395"/>
  <c r="BE31" i="395"/>
  <c r="BF31" i="395"/>
  <c r="BG31" i="395"/>
  <c r="BH31" i="395"/>
  <c r="BI31" i="395"/>
  <c r="BJ31" i="395"/>
  <c r="BW31" i="395"/>
  <c r="BZ31" i="395"/>
  <c r="CA31" i="395"/>
  <c r="CB31" i="395"/>
  <c r="EN31" i="395"/>
  <c r="CO31" i="395"/>
  <c r="CP31" i="395"/>
  <c r="CV31" i="395"/>
  <c r="CW31" i="395"/>
  <c r="CX31" i="395"/>
  <c r="CY31" i="395"/>
  <c r="CZ31" i="395"/>
  <c r="DA31" i="395"/>
  <c r="DH31" i="395"/>
  <c r="DI31" i="395"/>
  <c r="DJ31" i="395"/>
  <c r="DK31" i="395"/>
  <c r="DL31" i="395"/>
  <c r="DM31" i="395"/>
  <c r="DS31" i="395"/>
  <c r="DT31" i="395"/>
  <c r="DU31" i="395"/>
  <c r="DW31" i="395"/>
  <c r="H32" i="395"/>
  <c r="S32" i="395"/>
  <c r="AD32" i="395"/>
  <c r="AI32" i="395"/>
  <c r="AQ32" i="395"/>
  <c r="AR32" i="395"/>
  <c r="AS32" i="395"/>
  <c r="AT32" i="395"/>
  <c r="AW32" i="395"/>
  <c r="AY32" i="395"/>
  <c r="BA32" i="395"/>
  <c r="BB32" i="395"/>
  <c r="BC32" i="395"/>
  <c r="BD32" i="395"/>
  <c r="BE32" i="395"/>
  <c r="BF32" i="395"/>
  <c r="BG32" i="395"/>
  <c r="BH32" i="395"/>
  <c r="BI32" i="395"/>
  <c r="BJ32" i="395"/>
  <c r="BW32" i="395"/>
  <c r="BZ32" i="395"/>
  <c r="CA32" i="395"/>
  <c r="CB32" i="395"/>
  <c r="EN32" i="395"/>
  <c r="CO32" i="395"/>
  <c r="CP32" i="395"/>
  <c r="CV32" i="395"/>
  <c r="CW32" i="395"/>
  <c r="CX32" i="395"/>
  <c r="CY32" i="395"/>
  <c r="CZ32" i="395"/>
  <c r="DA32" i="395"/>
  <c r="DH32" i="395"/>
  <c r="DI32" i="395"/>
  <c r="DJ32" i="395"/>
  <c r="DK32" i="395"/>
  <c r="DL32" i="395"/>
  <c r="DM32" i="395"/>
  <c r="DS32" i="395"/>
  <c r="DT32" i="395"/>
  <c r="DU32" i="395"/>
  <c r="DW32" i="395"/>
  <c r="H33" i="395"/>
  <c r="S33" i="395"/>
  <c r="AD33" i="395"/>
  <c r="AI33" i="395"/>
  <c r="AQ33" i="395"/>
  <c r="AR33" i="395"/>
  <c r="AS33" i="395"/>
  <c r="AT33" i="395"/>
  <c r="AW33" i="395"/>
  <c r="AY33" i="395"/>
  <c r="BA33" i="395"/>
  <c r="BB33" i="395"/>
  <c r="BC33" i="395"/>
  <c r="BD33" i="395"/>
  <c r="BE33" i="395"/>
  <c r="BF33" i="395"/>
  <c r="BG33" i="395"/>
  <c r="BH33" i="395"/>
  <c r="BI33" i="395"/>
  <c r="BJ33" i="395"/>
  <c r="BW33" i="395"/>
  <c r="BZ33" i="395"/>
  <c r="CA33" i="395"/>
  <c r="CB33" i="395"/>
  <c r="EN33" i="395"/>
  <c r="CO33" i="395"/>
  <c r="CP33" i="395"/>
  <c r="CV33" i="395"/>
  <c r="CW33" i="395"/>
  <c r="CX33" i="395"/>
  <c r="CY33" i="395"/>
  <c r="CZ33" i="395"/>
  <c r="DA33" i="395"/>
  <c r="DH33" i="395"/>
  <c r="DI33" i="395"/>
  <c r="DJ33" i="395"/>
  <c r="DK33" i="395"/>
  <c r="DL33" i="395"/>
  <c r="DM33" i="395"/>
  <c r="DS33" i="395"/>
  <c r="DT33" i="395"/>
  <c r="DU33" i="395"/>
  <c r="DW33" i="395"/>
  <c r="H34" i="395"/>
  <c r="S34" i="395"/>
  <c r="Y34" i="395"/>
  <c r="AG34" i="395"/>
  <c r="AH34" i="395"/>
  <c r="AI34" i="395"/>
  <c r="AJ34" i="395"/>
  <c r="AP34" i="395"/>
  <c r="AQ34" i="395"/>
  <c r="AR34" i="395"/>
  <c r="AS34" i="395"/>
  <c r="AT34" i="395"/>
  <c r="AY34" i="395"/>
  <c r="BA34" i="395"/>
  <c r="BB34" i="395"/>
  <c r="BC34" i="395"/>
  <c r="BD34" i="395"/>
  <c r="BE34" i="395"/>
  <c r="BF34" i="395"/>
  <c r="BG34" i="395"/>
  <c r="BH34" i="395"/>
  <c r="BI34" i="395"/>
  <c r="BJ34" i="395"/>
  <c r="BW34" i="395"/>
  <c r="BZ34" i="395"/>
  <c r="CA34" i="395"/>
  <c r="CB34" i="395"/>
  <c r="CO34" i="395"/>
  <c r="CP34" i="395"/>
  <c r="CV34" i="395"/>
  <c r="CW34" i="395"/>
  <c r="CX34" i="395"/>
  <c r="CY34" i="395"/>
  <c r="CZ34" i="395"/>
  <c r="DA34" i="395"/>
  <c r="DH34" i="395"/>
  <c r="DI34" i="395"/>
  <c r="DJ34" i="395"/>
  <c r="DK34" i="395"/>
  <c r="DL34" i="395"/>
  <c r="DM34" i="395"/>
  <c r="DS34" i="395"/>
  <c r="DT34" i="395"/>
  <c r="DU34" i="395"/>
  <c r="DW34" i="395"/>
  <c r="H35" i="395"/>
  <c r="S35" i="395"/>
  <c r="Y35" i="395"/>
  <c r="AG35" i="395"/>
  <c r="AH35" i="395"/>
  <c r="AI35" i="395"/>
  <c r="AJ35" i="395"/>
  <c r="AP35" i="395"/>
  <c r="AQ35" i="395"/>
  <c r="AR35" i="395"/>
  <c r="AS35" i="395"/>
  <c r="AT35" i="395"/>
  <c r="AY35" i="395"/>
  <c r="BA35" i="395"/>
  <c r="BB35" i="395"/>
  <c r="BC35" i="395"/>
  <c r="BD35" i="395"/>
  <c r="BE35" i="395"/>
  <c r="BF35" i="395"/>
  <c r="BG35" i="395"/>
  <c r="BH35" i="395"/>
  <c r="BI35" i="395"/>
  <c r="BJ35" i="395"/>
  <c r="BW35" i="395"/>
  <c r="BZ35" i="395"/>
  <c r="CA35" i="395"/>
  <c r="CB35" i="395"/>
  <c r="CO35" i="395"/>
  <c r="CP35" i="395"/>
  <c r="CV35" i="395"/>
  <c r="CW35" i="395"/>
  <c r="CX35" i="395"/>
  <c r="CY35" i="395"/>
  <c r="CZ35" i="395"/>
  <c r="DA35" i="395"/>
  <c r="DC35" i="395"/>
  <c r="DD35" i="395"/>
  <c r="DH35" i="395"/>
  <c r="DI35" i="395"/>
  <c r="DJ35" i="395"/>
  <c r="DK35" i="395"/>
  <c r="DL35" i="395"/>
  <c r="DM35" i="395"/>
  <c r="DS35" i="395"/>
  <c r="DT35" i="395"/>
  <c r="DU35" i="395"/>
  <c r="DW35" i="395"/>
  <c r="H36" i="395"/>
  <c r="S36" i="395"/>
  <c r="Y36" i="395"/>
  <c r="AG36" i="395"/>
  <c r="AH36" i="395"/>
  <c r="AI36" i="395"/>
  <c r="AJ36" i="395"/>
  <c r="AP36" i="395"/>
  <c r="AQ36" i="395"/>
  <c r="AR36" i="395"/>
  <c r="AS36" i="395"/>
  <c r="AT36" i="395"/>
  <c r="AY36" i="395"/>
  <c r="BA36" i="395"/>
  <c r="BB36" i="395"/>
  <c r="BC36" i="395"/>
  <c r="BD36" i="395"/>
  <c r="BE36" i="395"/>
  <c r="BF36" i="395"/>
  <c r="BG36" i="395"/>
  <c r="BH36" i="395"/>
  <c r="BI36" i="395"/>
  <c r="BJ36" i="395"/>
  <c r="BW36" i="395"/>
  <c r="BZ36" i="395"/>
  <c r="CA36" i="395"/>
  <c r="CB36" i="395"/>
  <c r="CO36" i="395"/>
  <c r="CP36" i="395"/>
  <c r="CV36" i="395"/>
  <c r="CW36" i="395"/>
  <c r="CX36" i="395"/>
  <c r="CY36" i="395"/>
  <c r="CZ36" i="395"/>
  <c r="DA36" i="395"/>
  <c r="DH36" i="395"/>
  <c r="DI36" i="395"/>
  <c r="DJ36" i="395"/>
  <c r="DK36" i="395"/>
  <c r="DL36" i="395"/>
  <c r="DM36" i="395"/>
  <c r="DS36" i="395"/>
  <c r="DT36" i="395"/>
  <c r="DU36" i="395"/>
  <c r="DW36" i="395"/>
  <c r="H37" i="395"/>
  <c r="S37" i="395"/>
  <c r="Y37" i="395"/>
  <c r="AG37" i="395"/>
  <c r="AH37" i="395"/>
  <c r="AI37" i="395"/>
  <c r="AJ37" i="395"/>
  <c r="AP37" i="395"/>
  <c r="AQ37" i="395"/>
  <c r="AR37" i="395"/>
  <c r="AS37" i="395"/>
  <c r="AT37" i="395"/>
  <c r="AY37" i="395"/>
  <c r="BA37" i="395"/>
  <c r="BB37" i="395"/>
  <c r="BC37" i="395"/>
  <c r="BD37" i="395"/>
  <c r="BE37" i="395"/>
  <c r="BF37" i="395"/>
  <c r="BG37" i="395"/>
  <c r="BH37" i="395"/>
  <c r="BI37" i="395"/>
  <c r="BJ37" i="395"/>
  <c r="BW37" i="395"/>
  <c r="BZ37" i="395"/>
  <c r="CA37" i="395"/>
  <c r="CB37" i="395"/>
  <c r="CO37" i="395"/>
  <c r="CP37" i="395"/>
  <c r="CV37" i="395"/>
  <c r="CW37" i="395"/>
  <c r="CX37" i="395"/>
  <c r="CY37" i="395"/>
  <c r="CZ37" i="395"/>
  <c r="DA37" i="395"/>
  <c r="DH37" i="395"/>
  <c r="DI37" i="395"/>
  <c r="DJ37" i="395"/>
  <c r="DK37" i="395"/>
  <c r="DL37" i="395"/>
  <c r="DM37" i="395"/>
  <c r="DS37" i="395"/>
  <c r="DT37" i="395"/>
  <c r="DU37" i="395"/>
  <c r="DW37" i="395"/>
  <c r="H38" i="395"/>
  <c r="S38" i="395"/>
  <c r="Y38" i="395"/>
  <c r="AG38" i="395"/>
  <c r="AH38" i="395"/>
  <c r="AI38" i="395"/>
  <c r="AJ38" i="395"/>
  <c r="AP38" i="395"/>
  <c r="AQ38" i="395"/>
  <c r="AR38" i="395"/>
  <c r="AS38" i="395"/>
  <c r="AT38" i="395"/>
  <c r="AY38" i="395"/>
  <c r="BA38" i="395"/>
  <c r="BB38" i="395"/>
  <c r="BC38" i="395"/>
  <c r="BD38" i="395"/>
  <c r="BE38" i="395"/>
  <c r="BF38" i="395"/>
  <c r="BG38" i="395"/>
  <c r="BH38" i="395"/>
  <c r="BI38" i="395"/>
  <c r="BJ38" i="395"/>
  <c r="BW38" i="395"/>
  <c r="BZ38" i="395"/>
  <c r="CA38" i="395"/>
  <c r="CB38" i="395"/>
  <c r="CO38" i="395"/>
  <c r="CP38" i="395"/>
  <c r="CV38" i="395"/>
  <c r="CW38" i="395"/>
  <c r="CX38" i="395"/>
  <c r="CY38" i="395"/>
  <c r="CZ38" i="395"/>
  <c r="DA38" i="395"/>
  <c r="DE38" i="395"/>
  <c r="DF38" i="395"/>
  <c r="DH38" i="395"/>
  <c r="DI38" i="395"/>
  <c r="DJ38" i="395"/>
  <c r="DK38" i="395"/>
  <c r="DL38" i="395"/>
  <c r="DM38" i="395"/>
  <c r="DS38" i="395"/>
  <c r="DT38" i="395"/>
  <c r="DU38" i="395"/>
  <c r="DW38" i="395"/>
  <c r="H39" i="395"/>
  <c r="S39" i="395"/>
  <c r="Y39" i="395"/>
  <c r="AG39" i="395"/>
  <c r="AH39" i="395"/>
  <c r="AI39" i="395"/>
  <c r="AJ39" i="395"/>
  <c r="AP39" i="395"/>
  <c r="AQ39" i="395"/>
  <c r="AR39" i="395"/>
  <c r="AS39" i="395"/>
  <c r="AT39" i="395"/>
  <c r="AY39" i="395"/>
  <c r="BA39" i="395"/>
  <c r="BB39" i="395"/>
  <c r="BC39" i="395"/>
  <c r="BD39" i="395"/>
  <c r="BE39" i="395"/>
  <c r="BF39" i="395"/>
  <c r="BG39" i="395"/>
  <c r="BH39" i="395"/>
  <c r="BI39" i="395"/>
  <c r="BJ39" i="395"/>
  <c r="BW39" i="395"/>
  <c r="BZ39" i="395"/>
  <c r="CA39" i="395"/>
  <c r="CB39" i="395"/>
  <c r="CO39" i="395"/>
  <c r="CP39" i="395"/>
  <c r="CV39" i="395"/>
  <c r="CW39" i="395"/>
  <c r="CX39" i="395"/>
  <c r="CY39" i="395"/>
  <c r="CZ39" i="395"/>
  <c r="DA39" i="395"/>
  <c r="DH39" i="395"/>
  <c r="DI39" i="395"/>
  <c r="DJ39" i="395"/>
  <c r="DK39" i="395"/>
  <c r="DL39" i="395"/>
  <c r="DM39" i="395"/>
  <c r="DS39" i="395"/>
  <c r="DT39" i="395"/>
  <c r="DU39" i="395"/>
  <c r="DW39" i="395"/>
  <c r="H40" i="395"/>
  <c r="S40" i="395"/>
  <c r="Y40" i="395"/>
  <c r="AG40" i="395"/>
  <c r="AH40" i="395"/>
  <c r="AI40" i="395"/>
  <c r="AJ40" i="395"/>
  <c r="AP40" i="395"/>
  <c r="AQ40" i="395"/>
  <c r="AR40" i="395"/>
  <c r="AS40" i="395"/>
  <c r="AT40" i="395"/>
  <c r="AY40" i="395"/>
  <c r="BA40" i="395"/>
  <c r="BB40" i="395"/>
  <c r="BC40" i="395"/>
  <c r="BD40" i="395"/>
  <c r="BE40" i="395"/>
  <c r="BF40" i="395"/>
  <c r="BG40" i="395"/>
  <c r="BH40" i="395"/>
  <c r="BI40" i="395"/>
  <c r="BJ40" i="395"/>
  <c r="BW40" i="395"/>
  <c r="BZ40" i="395"/>
  <c r="CA40" i="395"/>
  <c r="CB40" i="395"/>
  <c r="CO40" i="395"/>
  <c r="CP40" i="395"/>
  <c r="CV40" i="395"/>
  <c r="CW40" i="395"/>
  <c r="CX40" i="395"/>
  <c r="CY40" i="395"/>
  <c r="CZ40" i="395"/>
  <c r="DA40" i="395"/>
  <c r="DH40" i="395"/>
  <c r="DI40" i="395"/>
  <c r="DJ40" i="395"/>
  <c r="DK40" i="395"/>
  <c r="DL40" i="395"/>
  <c r="DM40" i="395"/>
  <c r="DS40" i="395"/>
  <c r="DT40" i="395"/>
  <c r="DU40" i="395"/>
  <c r="DW40" i="395"/>
  <c r="H41" i="395"/>
  <c r="S41" i="395"/>
  <c r="Y41" i="395"/>
  <c r="AG41" i="395"/>
  <c r="AH41" i="395"/>
  <c r="AI41" i="395"/>
  <c r="AJ41" i="395"/>
  <c r="AP41" i="395"/>
  <c r="AQ41" i="395"/>
  <c r="AR41" i="395"/>
  <c r="AS41" i="395"/>
  <c r="AT41" i="395"/>
  <c r="AY41" i="395"/>
  <c r="BA41" i="395"/>
  <c r="BB41" i="395"/>
  <c r="BC41" i="395"/>
  <c r="BD41" i="395"/>
  <c r="BE41" i="395"/>
  <c r="BF41" i="395"/>
  <c r="BG41" i="395"/>
  <c r="BH41" i="395"/>
  <c r="BI41" i="395"/>
  <c r="BJ41" i="395"/>
  <c r="BW41" i="395"/>
  <c r="BZ41" i="395"/>
  <c r="CA41" i="395"/>
  <c r="CB41" i="395"/>
  <c r="CO41" i="395"/>
  <c r="CP41" i="395"/>
  <c r="CV41" i="395"/>
  <c r="CW41" i="395"/>
  <c r="CX41" i="395"/>
  <c r="CY41" i="395"/>
  <c r="CZ41" i="395"/>
  <c r="DA41" i="395"/>
  <c r="DH41" i="395"/>
  <c r="DI41" i="395"/>
  <c r="DJ41" i="395"/>
  <c r="DK41" i="395"/>
  <c r="DL41" i="395"/>
  <c r="DM41" i="395"/>
  <c r="DS41" i="395"/>
  <c r="DT41" i="395"/>
  <c r="DU41" i="395"/>
  <c r="DW41" i="395"/>
  <c r="H42" i="395"/>
  <c r="S42" i="395"/>
  <c r="Y42" i="395"/>
  <c r="AG42" i="395"/>
  <c r="AH42" i="395"/>
  <c r="AI42" i="395"/>
  <c r="AJ42" i="395"/>
  <c r="AP42" i="395"/>
  <c r="AQ42" i="395"/>
  <c r="AR42" i="395"/>
  <c r="AS42" i="395"/>
  <c r="AT42" i="395"/>
  <c r="AY42" i="395"/>
  <c r="BA42" i="395"/>
  <c r="BB42" i="395"/>
  <c r="BC42" i="395"/>
  <c r="BD42" i="395"/>
  <c r="BE42" i="395"/>
  <c r="BF42" i="395"/>
  <c r="BG42" i="395"/>
  <c r="BH42" i="395"/>
  <c r="BI42" i="395"/>
  <c r="BJ42" i="395"/>
  <c r="BW42" i="395"/>
  <c r="BZ42" i="395"/>
  <c r="CA42" i="395"/>
  <c r="CB42" i="395"/>
  <c r="CO42" i="395"/>
  <c r="CP42" i="395"/>
  <c r="CV42" i="395"/>
  <c r="CW42" i="395"/>
  <c r="CX42" i="395"/>
  <c r="CY42" i="395"/>
  <c r="CZ42" i="395"/>
  <c r="DA42" i="395"/>
  <c r="DH42" i="395"/>
  <c r="DI42" i="395"/>
  <c r="DJ42" i="395"/>
  <c r="DK42" i="395"/>
  <c r="DL42" i="395"/>
  <c r="DM42" i="395"/>
  <c r="DS42" i="395"/>
  <c r="DT42" i="395"/>
  <c r="DU42" i="395"/>
  <c r="DW42" i="395"/>
  <c r="H43" i="395"/>
  <c r="S43" i="395"/>
  <c r="Y43" i="395"/>
  <c r="AG43" i="395"/>
  <c r="AH43" i="395"/>
  <c r="AI43" i="395"/>
  <c r="AJ43" i="395"/>
  <c r="AP43" i="395"/>
  <c r="AQ43" i="395"/>
  <c r="AR43" i="395"/>
  <c r="AS43" i="395"/>
  <c r="AT43" i="395"/>
  <c r="AY43" i="395"/>
  <c r="BA43" i="395"/>
  <c r="BB43" i="395"/>
  <c r="BC43" i="395"/>
  <c r="BD43" i="395"/>
  <c r="BE43" i="395"/>
  <c r="BF43" i="395"/>
  <c r="BG43" i="395"/>
  <c r="BH43" i="395"/>
  <c r="BI43" i="395"/>
  <c r="BJ43" i="395"/>
  <c r="BW43" i="395"/>
  <c r="BZ43" i="395"/>
  <c r="CA43" i="395"/>
  <c r="CB43" i="395"/>
  <c r="CO43" i="395"/>
  <c r="CP43" i="395"/>
  <c r="CV43" i="395"/>
  <c r="CW43" i="395"/>
  <c r="CX43" i="395"/>
  <c r="CY43" i="395"/>
  <c r="CZ43" i="395"/>
  <c r="DA43" i="395"/>
  <c r="DH43" i="395"/>
  <c r="DI43" i="395"/>
  <c r="DJ43" i="395"/>
  <c r="DK43" i="395"/>
  <c r="DL43" i="395"/>
  <c r="DM43" i="395"/>
  <c r="DS43" i="395"/>
  <c r="DT43" i="395"/>
  <c r="DU43" i="395"/>
  <c r="DW43" i="395"/>
  <c r="H44" i="395"/>
  <c r="S44" i="395"/>
  <c r="Y44" i="395"/>
  <c r="AG44" i="395"/>
  <c r="AH44" i="395"/>
  <c r="AI44" i="395"/>
  <c r="AJ44" i="395"/>
  <c r="AP44" i="395"/>
  <c r="AQ44" i="395"/>
  <c r="AR44" i="395"/>
  <c r="AS44" i="395"/>
  <c r="AT44" i="395"/>
  <c r="AY44" i="395"/>
  <c r="BA44" i="395"/>
  <c r="BB44" i="395"/>
  <c r="BC44" i="395"/>
  <c r="BD44" i="395"/>
  <c r="BE44" i="395"/>
  <c r="BF44" i="395"/>
  <c r="BG44" i="395"/>
  <c r="BH44" i="395"/>
  <c r="BI44" i="395"/>
  <c r="BJ44" i="395"/>
  <c r="BW44" i="395"/>
  <c r="BZ44" i="395"/>
  <c r="CA44" i="395"/>
  <c r="CB44" i="395"/>
  <c r="CO44" i="395"/>
  <c r="CP44" i="395"/>
  <c r="CV44" i="395"/>
  <c r="CW44" i="395"/>
  <c r="CX44" i="395"/>
  <c r="CY44" i="395"/>
  <c r="CZ44" i="395"/>
  <c r="DA44" i="395"/>
  <c r="DH44" i="395"/>
  <c r="DI44" i="395"/>
  <c r="DJ44" i="395"/>
  <c r="DK44" i="395"/>
  <c r="DL44" i="395"/>
  <c r="DM44" i="395"/>
  <c r="DS44" i="395"/>
  <c r="DT44" i="395"/>
  <c r="DU44" i="395"/>
  <c r="DW44" i="395"/>
  <c r="H45" i="395"/>
  <c r="S45" i="395"/>
  <c r="Y45" i="395"/>
  <c r="AG45" i="395"/>
  <c r="AH45" i="395"/>
  <c r="AI45" i="395"/>
  <c r="AJ45" i="395"/>
  <c r="AP45" i="395"/>
  <c r="AQ45" i="395"/>
  <c r="AR45" i="395"/>
  <c r="AS45" i="395"/>
  <c r="AT45" i="395"/>
  <c r="AY45" i="395"/>
  <c r="BA45" i="395"/>
  <c r="BB45" i="395"/>
  <c r="BC45" i="395"/>
  <c r="BD45" i="395"/>
  <c r="BE45" i="395"/>
  <c r="BF45" i="395"/>
  <c r="BG45" i="395"/>
  <c r="BH45" i="395"/>
  <c r="BI45" i="395"/>
  <c r="BJ45" i="395"/>
  <c r="BW45" i="395"/>
  <c r="BZ45" i="395"/>
  <c r="CA45" i="395"/>
  <c r="CB45" i="395"/>
  <c r="CO45" i="395"/>
  <c r="CP45" i="395"/>
  <c r="CV45" i="395"/>
  <c r="CW45" i="395"/>
  <c r="CX45" i="395"/>
  <c r="CY45" i="395"/>
  <c r="CZ45" i="395"/>
  <c r="DA45" i="395"/>
  <c r="DH45" i="395"/>
  <c r="DI45" i="395"/>
  <c r="DJ45" i="395"/>
  <c r="DK45" i="395"/>
  <c r="DL45" i="395"/>
  <c r="DM45" i="395"/>
  <c r="DS45" i="395"/>
  <c r="DT45" i="395"/>
  <c r="DU45" i="395"/>
  <c r="DW45" i="395"/>
  <c r="H46" i="395"/>
  <c r="S46" i="395"/>
  <c r="Y46" i="395"/>
  <c r="AG46" i="395"/>
  <c r="AH46" i="395"/>
  <c r="AI46" i="395"/>
  <c r="AJ46" i="395"/>
  <c r="AP46" i="395"/>
  <c r="AQ46" i="395"/>
  <c r="AR46" i="395"/>
  <c r="AS46" i="395"/>
  <c r="AT46" i="395"/>
  <c r="AY46" i="395"/>
  <c r="BA46" i="395"/>
  <c r="BB46" i="395"/>
  <c r="BC46" i="395"/>
  <c r="BD46" i="395"/>
  <c r="BE46" i="395"/>
  <c r="BF46" i="395"/>
  <c r="BG46" i="395"/>
  <c r="BH46" i="395"/>
  <c r="BI46" i="395"/>
  <c r="BJ46" i="395"/>
  <c r="BW46" i="395"/>
  <c r="BZ46" i="395"/>
  <c r="CA46" i="395"/>
  <c r="CB46" i="395"/>
  <c r="CO46" i="395"/>
  <c r="CP46" i="395"/>
  <c r="CV46" i="395"/>
  <c r="CW46" i="395"/>
  <c r="CX46" i="395"/>
  <c r="CY46" i="395"/>
  <c r="CZ46" i="395"/>
  <c r="DA46" i="395"/>
  <c r="DH46" i="395"/>
  <c r="DI46" i="395"/>
  <c r="DJ46" i="395"/>
  <c r="DK46" i="395"/>
  <c r="DL46" i="395"/>
  <c r="DM46" i="395"/>
  <c r="DS46" i="395"/>
  <c r="DT46" i="395"/>
  <c r="DU46" i="395"/>
  <c r="DW46" i="395"/>
  <c r="H47" i="395"/>
  <c r="S47" i="395"/>
  <c r="Y47" i="395"/>
  <c r="AG47" i="395"/>
  <c r="AH47" i="395"/>
  <c r="AI47" i="395"/>
  <c r="AJ47" i="395"/>
  <c r="AP47" i="395"/>
  <c r="AQ47" i="395"/>
  <c r="AR47" i="395"/>
  <c r="AS47" i="395"/>
  <c r="AT47" i="395"/>
  <c r="AY47" i="395"/>
  <c r="BA47" i="395"/>
  <c r="BB47" i="395"/>
  <c r="BC47" i="395"/>
  <c r="BD47" i="395"/>
  <c r="BE47" i="395"/>
  <c r="BF47" i="395"/>
  <c r="BG47" i="395"/>
  <c r="BH47" i="395"/>
  <c r="BI47" i="395"/>
  <c r="BJ47" i="395"/>
  <c r="BW47" i="395"/>
  <c r="BZ47" i="395"/>
  <c r="CA47" i="395"/>
  <c r="CB47" i="395"/>
  <c r="CO47" i="395"/>
  <c r="CP47" i="395"/>
  <c r="CV47" i="395"/>
  <c r="CW47" i="395"/>
  <c r="CX47" i="395"/>
  <c r="CY47" i="395"/>
  <c r="CZ47" i="395"/>
  <c r="DA47" i="395"/>
  <c r="DF47" i="395"/>
  <c r="DH47" i="395"/>
  <c r="DI47" i="395"/>
  <c r="DJ47" i="395"/>
  <c r="DK47" i="395"/>
  <c r="DL47" i="395"/>
  <c r="DM47" i="395"/>
  <c r="DS47" i="395"/>
  <c r="DT47" i="395"/>
  <c r="DU47" i="395"/>
  <c r="DW47" i="395"/>
  <c r="H48" i="395"/>
  <c r="S48" i="395"/>
  <c r="Y48" i="395"/>
  <c r="AG48" i="395"/>
  <c r="AH48" i="395"/>
  <c r="AI48" i="395"/>
  <c r="AJ48" i="395"/>
  <c r="AP48" i="395"/>
  <c r="AQ48" i="395"/>
  <c r="AR48" i="395"/>
  <c r="AS48" i="395"/>
  <c r="AT48" i="395"/>
  <c r="AY48" i="395"/>
  <c r="BA48" i="395"/>
  <c r="BB48" i="395"/>
  <c r="BC48" i="395"/>
  <c r="BD48" i="395"/>
  <c r="BE48" i="395"/>
  <c r="BF48" i="395"/>
  <c r="BG48" i="395"/>
  <c r="BH48" i="395"/>
  <c r="BI48" i="395"/>
  <c r="BJ48" i="395"/>
  <c r="BW48" i="395"/>
  <c r="BZ48" i="395"/>
  <c r="CA48" i="395"/>
  <c r="CB48" i="395"/>
  <c r="CO48" i="395"/>
  <c r="CP48" i="395"/>
  <c r="CV48" i="395"/>
  <c r="CW48" i="395"/>
  <c r="CX48" i="395"/>
  <c r="CY48" i="395"/>
  <c r="CZ48" i="395"/>
  <c r="DA48" i="395"/>
  <c r="DH48" i="395"/>
  <c r="DI48" i="395"/>
  <c r="DJ48" i="395"/>
  <c r="DK48" i="395"/>
  <c r="DL48" i="395"/>
  <c r="DM48" i="395"/>
  <c r="DS48" i="395"/>
  <c r="DT48" i="395"/>
  <c r="DU48" i="395"/>
  <c r="DW48" i="395"/>
  <c r="H49" i="395"/>
  <c r="S49" i="395"/>
  <c r="Y49" i="395"/>
  <c r="AG49" i="395"/>
  <c r="AH49" i="395"/>
  <c r="AI49" i="395"/>
  <c r="AJ49" i="395"/>
  <c r="AP49" i="395"/>
  <c r="AQ49" i="395"/>
  <c r="AR49" i="395"/>
  <c r="AS49" i="395"/>
  <c r="AT49" i="395"/>
  <c r="AY49" i="395"/>
  <c r="BA49" i="395"/>
  <c r="BB49" i="395"/>
  <c r="BC49" i="395"/>
  <c r="BD49" i="395"/>
  <c r="BE49" i="395"/>
  <c r="BF49" i="395"/>
  <c r="BG49" i="395"/>
  <c r="BH49" i="395"/>
  <c r="BI49" i="395"/>
  <c r="BJ49" i="395"/>
  <c r="BW49" i="395"/>
  <c r="BZ49" i="395"/>
  <c r="CA49" i="395"/>
  <c r="CB49" i="395"/>
  <c r="CO49" i="395"/>
  <c r="CP49" i="395"/>
  <c r="CV49" i="395"/>
  <c r="CW49" i="395"/>
  <c r="CX49" i="395"/>
  <c r="CY49" i="395"/>
  <c r="CZ49" i="395"/>
  <c r="DA49" i="395"/>
  <c r="DH49" i="395"/>
  <c r="DI49" i="395"/>
  <c r="DJ49" i="395"/>
  <c r="DK49" i="395"/>
  <c r="DL49" i="395"/>
  <c r="DM49" i="395"/>
  <c r="DS49" i="395"/>
  <c r="DT49" i="395"/>
  <c r="DU49" i="395"/>
  <c r="DW49" i="395"/>
  <c r="H50" i="395"/>
  <c r="S50" i="395"/>
  <c r="Y50" i="395"/>
  <c r="AG50" i="395"/>
  <c r="AH50" i="395"/>
  <c r="AI50" i="395"/>
  <c r="AJ50" i="395"/>
  <c r="AP50" i="395"/>
  <c r="AQ50" i="395"/>
  <c r="AR50" i="395"/>
  <c r="AS50" i="395"/>
  <c r="AT50" i="395"/>
  <c r="AY50" i="395"/>
  <c r="BA50" i="395"/>
  <c r="BB50" i="395"/>
  <c r="BC50" i="395"/>
  <c r="BD50" i="395"/>
  <c r="BE50" i="395"/>
  <c r="BF50" i="395"/>
  <c r="BG50" i="395"/>
  <c r="BH50" i="395"/>
  <c r="BI50" i="395"/>
  <c r="BJ50" i="395"/>
  <c r="BW50" i="395"/>
  <c r="BZ50" i="395"/>
  <c r="CA50" i="395"/>
  <c r="CB50" i="395"/>
  <c r="DS50" i="395"/>
  <c r="DT50" i="395"/>
  <c r="DU50" i="395"/>
  <c r="DW50" i="395"/>
  <c r="B51" i="395"/>
  <c r="D51" i="395"/>
  <c r="E51" i="395"/>
  <c r="AY51" i="395"/>
  <c r="BW51" i="395"/>
  <c r="DC51" i="395"/>
  <c r="DE51" i="395"/>
  <c r="DS51" i="395"/>
  <c r="EN51" i="395"/>
  <c r="DT51" i="395"/>
  <c r="DW51" i="395"/>
  <c r="D23" i="392"/>
  <c r="F23" i="392"/>
  <c r="D3" i="392"/>
  <c r="D6" i="392"/>
  <c r="D7" i="392"/>
  <c r="D8" i="392"/>
  <c r="D11" i="392"/>
  <c r="D9" i="392"/>
  <c r="D10" i="392"/>
  <c r="D13" i="392"/>
  <c r="D12" i="392"/>
  <c r="D14" i="392"/>
  <c r="D15" i="392"/>
  <c r="D16" i="392"/>
  <c r="D17" i="392"/>
  <c r="D19" i="392"/>
  <c r="D20" i="392"/>
  <c r="D21" i="392"/>
  <c r="D22" i="392"/>
  <c r="F2" i="392"/>
  <c r="F3" i="392"/>
  <c r="F5" i="392"/>
  <c r="F4" i="392"/>
  <c r="F6" i="392"/>
  <c r="F7" i="392"/>
  <c r="F8" i="392"/>
  <c r="F18" i="392"/>
  <c r="F11" i="392"/>
  <c r="F9" i="392"/>
  <c r="F10" i="392"/>
  <c r="F13" i="392"/>
  <c r="F12" i="392"/>
  <c r="F14" i="392"/>
  <c r="F15" i="392"/>
  <c r="F16" i="392"/>
  <c r="F17" i="392"/>
  <c r="F19" i="392"/>
  <c r="F20" i="392"/>
  <c r="F21" i="392"/>
  <c r="F22" i="392"/>
  <c r="G23" i="392"/>
  <c r="K2" i="372"/>
  <c r="L2" i="372"/>
  <c r="M2" i="372"/>
  <c r="N2" i="372"/>
  <c r="O2" i="372"/>
  <c r="Q2" i="372"/>
  <c r="R2" i="372"/>
  <c r="K3" i="372"/>
  <c r="L3" i="372"/>
  <c r="M3" i="372"/>
  <c r="N3" i="372"/>
  <c r="O3" i="372"/>
  <c r="Q3" i="372"/>
  <c r="R3" i="372"/>
  <c r="K4" i="372"/>
  <c r="L4" i="372"/>
  <c r="M4" i="372"/>
  <c r="N4" i="372"/>
  <c r="O4" i="372"/>
  <c r="Q4" i="372"/>
  <c r="R4" i="372"/>
  <c r="K5" i="372"/>
  <c r="M5" i="372"/>
  <c r="K6" i="372"/>
  <c r="L6" i="372"/>
  <c r="M6" i="372"/>
  <c r="N6" i="372"/>
  <c r="O6" i="372"/>
  <c r="Q6" i="372"/>
  <c r="R6" i="372"/>
  <c r="K7" i="372"/>
  <c r="L7" i="372"/>
  <c r="M7" i="372"/>
  <c r="N7" i="372"/>
  <c r="O7" i="372"/>
  <c r="Q7" i="372"/>
  <c r="R7" i="372"/>
  <c r="K8" i="372"/>
  <c r="L8" i="372"/>
  <c r="M8" i="372"/>
  <c r="N8" i="372"/>
  <c r="O8" i="372"/>
  <c r="Q8" i="372"/>
  <c r="R8" i="372"/>
  <c r="K9" i="372"/>
  <c r="L9" i="372"/>
  <c r="M9" i="372"/>
  <c r="N9" i="372"/>
  <c r="O9" i="372"/>
  <c r="Q9" i="372"/>
  <c r="R9" i="372"/>
  <c r="K10" i="372"/>
  <c r="L10" i="372"/>
  <c r="M10" i="372"/>
  <c r="N10" i="372"/>
  <c r="O10" i="372"/>
  <c r="Q10" i="372"/>
  <c r="R10" i="372"/>
  <c r="H7" i="131"/>
  <c r="D7" i="389"/>
  <c r="E4" i="381"/>
  <c r="P4" i="381"/>
  <c r="E22" i="381"/>
  <c r="Q4" i="381"/>
  <c r="E23" i="381"/>
  <c r="R4" i="381"/>
  <c r="E5" i="381"/>
  <c r="P5" i="381"/>
  <c r="Q5" i="381"/>
  <c r="R5" i="381"/>
  <c r="E6" i="381"/>
  <c r="P6" i="381"/>
  <c r="Q6" i="381"/>
  <c r="R6" i="381"/>
  <c r="E7" i="381"/>
  <c r="P7" i="381"/>
  <c r="Q7" i="381"/>
  <c r="R7" i="381"/>
  <c r="E8" i="381"/>
  <c r="P8" i="381"/>
  <c r="Q8" i="381"/>
  <c r="R8" i="381"/>
  <c r="E9" i="381"/>
  <c r="P9" i="381"/>
  <c r="Q9" i="381"/>
  <c r="R9" i="381"/>
  <c r="E10" i="381"/>
  <c r="N10" i="381"/>
  <c r="O10" i="381"/>
  <c r="P10" i="381"/>
  <c r="Q10" i="381"/>
  <c r="R10" i="381"/>
  <c r="E11" i="381"/>
  <c r="N11" i="381"/>
  <c r="O11" i="381"/>
  <c r="P11" i="381"/>
  <c r="Q11" i="381"/>
  <c r="R11" i="381"/>
  <c r="E12" i="381"/>
  <c r="N12" i="381"/>
  <c r="O12" i="381"/>
  <c r="P12" i="381"/>
  <c r="Q12" i="381"/>
  <c r="R12" i="381"/>
  <c r="E13" i="381"/>
  <c r="N13" i="381"/>
  <c r="O13" i="381"/>
  <c r="P13" i="381"/>
  <c r="Q13" i="381"/>
  <c r="R13" i="381"/>
  <c r="E14" i="381"/>
  <c r="N14" i="381"/>
  <c r="O14" i="381"/>
  <c r="P14" i="381"/>
  <c r="Q14" i="381"/>
  <c r="R14" i="381"/>
  <c r="E15" i="381"/>
  <c r="N15" i="381"/>
  <c r="O15" i="381"/>
  <c r="P15" i="381"/>
  <c r="Q15" i="381"/>
  <c r="R15" i="381"/>
  <c r="E16" i="381"/>
  <c r="N16" i="381"/>
  <c r="O16" i="381"/>
  <c r="P16" i="381"/>
  <c r="Q16" i="381"/>
  <c r="R16" i="381"/>
  <c r="E17" i="381"/>
  <c r="N17" i="381"/>
  <c r="O17" i="381"/>
  <c r="P17" i="381"/>
  <c r="Q17" i="381"/>
  <c r="R17" i="381"/>
  <c r="E18" i="381"/>
  <c r="N18" i="381"/>
  <c r="O18" i="381"/>
  <c r="P18" i="381"/>
  <c r="Q18" i="381"/>
  <c r="R18" i="381"/>
  <c r="E19" i="381"/>
  <c r="N19" i="381"/>
  <c r="O19" i="381"/>
  <c r="P19" i="381"/>
  <c r="Q19" i="381"/>
  <c r="R19" i="381"/>
  <c r="E20" i="381"/>
  <c r="N20" i="381"/>
  <c r="O20" i="381"/>
  <c r="P20" i="381"/>
  <c r="Q20" i="381"/>
  <c r="R20" i="381"/>
  <c r="P22" i="381"/>
  <c r="M23" i="381"/>
  <c r="P23" i="381"/>
  <c r="E24" i="381"/>
  <c r="M24" i="381"/>
  <c r="P24" i="381"/>
  <c r="O9" i="375"/>
  <c r="P9" i="375"/>
  <c r="O10" i="375"/>
  <c r="P10" i="375"/>
  <c r="O11" i="375"/>
  <c r="P11" i="375"/>
  <c r="O12" i="375"/>
  <c r="P12" i="375"/>
  <c r="O13" i="375"/>
  <c r="P13" i="375"/>
  <c r="O14" i="375"/>
  <c r="P14" i="375"/>
  <c r="O15" i="375"/>
  <c r="P15" i="375"/>
  <c r="O16" i="375"/>
  <c r="P16" i="375"/>
  <c r="O17" i="375"/>
  <c r="P17" i="375"/>
  <c r="O18" i="375"/>
  <c r="P18" i="375"/>
  <c r="O19" i="375"/>
  <c r="P19" i="375"/>
  <c r="M20" i="375"/>
  <c r="N20" i="375"/>
  <c r="O20" i="375"/>
  <c r="P20" i="375"/>
  <c r="M21" i="375"/>
  <c r="N21" i="375"/>
  <c r="O21" i="375"/>
  <c r="P21" i="375"/>
  <c r="M22" i="375"/>
  <c r="N22" i="375"/>
  <c r="O22" i="375"/>
  <c r="P22" i="375"/>
  <c r="M23" i="375"/>
  <c r="N23" i="375"/>
  <c r="O23" i="375"/>
  <c r="P23" i="375"/>
  <c r="M24" i="375"/>
  <c r="N24" i="375"/>
  <c r="O24" i="375"/>
  <c r="P24" i="375"/>
  <c r="M25" i="375"/>
  <c r="N25" i="375"/>
  <c r="O25" i="375"/>
  <c r="P25" i="375"/>
  <c r="M26" i="375"/>
  <c r="N26" i="375"/>
  <c r="O26" i="375"/>
  <c r="P26" i="375"/>
  <c r="M27" i="375"/>
  <c r="N27" i="375"/>
  <c r="O27" i="375"/>
  <c r="P27" i="375"/>
  <c r="M28" i="375"/>
  <c r="N28" i="375"/>
  <c r="O28" i="375"/>
  <c r="P28" i="375"/>
  <c r="M29" i="375"/>
  <c r="N29" i="375"/>
  <c r="O29" i="375"/>
  <c r="P29" i="375"/>
  <c r="M30" i="375"/>
  <c r="N30" i="375"/>
  <c r="O30" i="375"/>
  <c r="P30" i="375"/>
  <c r="M31" i="375"/>
  <c r="N31" i="375"/>
  <c r="O31" i="375"/>
  <c r="P31" i="375"/>
  <c r="M32" i="375"/>
  <c r="N32" i="375"/>
  <c r="O32" i="375"/>
  <c r="P32" i="375"/>
  <c r="M33" i="375"/>
  <c r="N33" i="375"/>
  <c r="O33" i="375"/>
  <c r="P33" i="375"/>
  <c r="M34" i="375"/>
  <c r="N34" i="375"/>
  <c r="O34" i="375"/>
  <c r="P34" i="375"/>
  <c r="M35" i="375"/>
  <c r="N35" i="375"/>
  <c r="O35" i="375"/>
  <c r="P35" i="375"/>
  <c r="M36" i="375"/>
  <c r="N36" i="375"/>
  <c r="O36" i="375"/>
  <c r="P36" i="375"/>
  <c r="M37" i="375"/>
  <c r="N37" i="375"/>
  <c r="O37" i="375"/>
  <c r="P37" i="375"/>
  <c r="M38" i="375"/>
  <c r="N38" i="375"/>
  <c r="O38" i="375"/>
  <c r="P38" i="375"/>
  <c r="O39" i="375"/>
  <c r="P39" i="375"/>
  <c r="M40" i="375"/>
  <c r="N40" i="375"/>
  <c r="O40" i="375"/>
  <c r="P40" i="375"/>
  <c r="M41" i="375"/>
  <c r="N41" i="375"/>
  <c r="O41" i="375"/>
  <c r="P41" i="375"/>
  <c r="M42" i="375"/>
  <c r="N42" i="375"/>
  <c r="O42" i="375"/>
  <c r="P42" i="375"/>
  <c r="M43" i="375"/>
  <c r="N43" i="375"/>
  <c r="O43" i="375"/>
  <c r="P43" i="375"/>
  <c r="M44" i="375"/>
  <c r="N44" i="375"/>
  <c r="O44" i="375"/>
  <c r="P44" i="375"/>
  <c r="M45" i="375"/>
  <c r="N45" i="375"/>
  <c r="O45" i="375"/>
  <c r="P45" i="375"/>
  <c r="M46" i="375"/>
  <c r="N46" i="375"/>
  <c r="O46" i="375"/>
  <c r="P46" i="375"/>
  <c r="O47" i="375"/>
  <c r="P47" i="375"/>
  <c r="M48" i="375"/>
  <c r="N48" i="375"/>
  <c r="O48" i="375"/>
  <c r="P48" i="375"/>
  <c r="M49" i="375"/>
  <c r="N49" i="375"/>
  <c r="O49" i="375"/>
  <c r="P49" i="375"/>
  <c r="M50" i="375"/>
  <c r="N50" i="375"/>
  <c r="O50" i="375"/>
  <c r="P50" i="375"/>
  <c r="M51" i="375"/>
  <c r="N51" i="375"/>
  <c r="O51" i="375"/>
  <c r="P51" i="375"/>
  <c r="M52" i="375"/>
  <c r="N52" i="375"/>
  <c r="O52" i="375"/>
  <c r="P52" i="375"/>
  <c r="M53" i="375"/>
  <c r="N53" i="375"/>
  <c r="O53" i="375"/>
  <c r="P53" i="375"/>
  <c r="O54" i="375"/>
  <c r="P54" i="375"/>
  <c r="B2" i="372"/>
  <c r="B3" i="372"/>
  <c r="B4" i="372"/>
  <c r="B5" i="372"/>
  <c r="B6" i="372"/>
  <c r="B7" i="372"/>
  <c r="B8" i="372"/>
  <c r="B9" i="372"/>
  <c r="F10" i="369"/>
  <c r="F11" i="369"/>
  <c r="F12" i="369"/>
  <c r="F13" i="369"/>
  <c r="F14" i="369"/>
  <c r="F15" i="369"/>
  <c r="F17" i="369"/>
  <c r="F18" i="369"/>
  <c r="G22" i="392"/>
  <c r="G21" i="392"/>
  <c r="G20" i="392"/>
  <c r="G19" i="392"/>
  <c r="G17" i="392"/>
  <c r="G16" i="392"/>
  <c r="G15" i="392"/>
  <c r="G14" i="392"/>
  <c r="G12" i="392"/>
  <c r="G13" i="392"/>
  <c r="G10" i="392"/>
  <c r="G9" i="392"/>
  <c r="G11" i="392"/>
  <c r="G18" i="392"/>
  <c r="G8" i="392"/>
  <c r="G7" i="392"/>
  <c r="G6" i="392"/>
  <c r="G4" i="392"/>
  <c r="G5" i="392"/>
  <c r="G3" i="392"/>
  <c r="G29" i="391"/>
  <c r="D24" i="391"/>
  <c r="E24" i="391"/>
  <c r="H22" i="391"/>
  <c r="H24" i="391"/>
  <c r="D25" i="391"/>
  <c r="E25" i="391"/>
  <c r="H25" i="391"/>
  <c r="D26" i="391"/>
  <c r="E26" i="391"/>
  <c r="H26" i="391"/>
  <c r="D27" i="391"/>
  <c r="E27" i="391"/>
  <c r="H27" i="391"/>
  <c r="D28" i="391"/>
  <c r="E28" i="391"/>
  <c r="C25" i="391"/>
  <c r="C26" i="391"/>
  <c r="C27" i="391"/>
  <c r="C28" i="391"/>
  <c r="D29" i="391"/>
  <c r="E29" i="391"/>
  <c r="H29" i="391"/>
  <c r="C29" i="391"/>
  <c r="D6" i="391"/>
  <c r="D11" i="391"/>
  <c r="D10" i="391"/>
  <c r="D8" i="391"/>
  <c r="D7" i="391"/>
  <c r="D9" i="391"/>
  <c r="R5" i="372"/>
  <c r="Q5" i="372"/>
  <c r="O5" i="372"/>
  <c r="N5" i="372"/>
  <c r="L5" i="372"/>
  <c r="B25" i="392"/>
  <c r="D25" i="392"/>
  <c r="G2" i="392"/>
</calcChain>
</file>

<file path=xl/comments1.xml><?xml version="1.0" encoding="utf-8"?>
<comments xmlns="http://schemas.openxmlformats.org/spreadsheetml/2006/main">
  <authors>
    <author>Gabriel Zucman</author>
  </authors>
  <commentList>
    <comment ref="B7" authorId="0">
      <text>
        <r>
          <rPr>
            <b/>
            <sz val="9"/>
            <color indexed="81"/>
            <rFont val="Calibri"/>
            <family val="2"/>
          </rPr>
          <t>Gabriel Zucman:</t>
        </r>
        <r>
          <rPr>
            <sz val="9"/>
            <color indexed="81"/>
            <rFont val="Calibri"/>
            <family val="2"/>
          </rPr>
          <t xml:space="preserve">
Statutory rate is 12.5%</t>
        </r>
      </text>
    </comment>
  </commentList>
</comments>
</file>

<file path=xl/comments2.xml><?xml version="1.0" encoding="utf-8"?>
<comments xmlns="http://schemas.openxmlformats.org/spreadsheetml/2006/main">
  <authors>
    <author>Gabriel Zucman</author>
  </authors>
  <commentList>
    <comment ref="B5" authorId="0">
      <text>
        <r>
          <rPr>
            <b/>
            <sz val="9"/>
            <color indexed="81"/>
            <rFont val="Calibri"/>
            <family val="2"/>
          </rPr>
          <t>Gabriel Zucman:</t>
        </r>
        <r>
          <rPr>
            <sz val="9"/>
            <color indexed="81"/>
            <rFont val="Calibri"/>
            <family val="2"/>
          </rPr>
          <t xml:space="preserve">
Statutory rate is 12.5%</t>
        </r>
      </text>
    </comment>
  </commentList>
</comments>
</file>

<file path=xl/sharedStrings.xml><?xml version="1.0" encoding="utf-8"?>
<sst xmlns="http://schemas.openxmlformats.org/spreadsheetml/2006/main" count="836" uniqueCount="381">
  <si>
    <t>United Kingdom</t>
  </si>
  <si>
    <t>Sweden</t>
  </si>
  <si>
    <t>Spain</t>
  </si>
  <si>
    <t>Slovakia</t>
  </si>
  <si>
    <t>Romania</t>
  </si>
  <si>
    <t>Poland</t>
  </si>
  <si>
    <t>Netherlands</t>
  </si>
  <si>
    <t>Malta</t>
  </si>
  <si>
    <t>Luxembourg</t>
  </si>
  <si>
    <t>Lithuania</t>
  </si>
  <si>
    <t>Latvia</t>
  </si>
  <si>
    <t>Italy</t>
  </si>
  <si>
    <t>Ireland</t>
  </si>
  <si>
    <t>Hungary</t>
  </si>
  <si>
    <t>Germany</t>
  </si>
  <si>
    <t>France</t>
  </si>
  <si>
    <t>Finland</t>
  </si>
  <si>
    <t>Estonia</t>
  </si>
  <si>
    <t>Denmark</t>
  </si>
  <si>
    <t>Czech Republic</t>
  </si>
  <si>
    <t>Cyprus</t>
  </si>
  <si>
    <t>Belgium</t>
  </si>
  <si>
    <t>Austria</t>
  </si>
  <si>
    <t>Total</t>
  </si>
  <si>
    <t>EU22</t>
  </si>
  <si>
    <t>United States</t>
  </si>
  <si>
    <t>Singapore</t>
  </si>
  <si>
    <t>Switzerland</t>
  </si>
  <si>
    <t>(check)</t>
  </si>
  <si>
    <t>National income</t>
  </si>
  <si>
    <t>Series</t>
  </si>
  <si>
    <t>Vietnam</t>
  </si>
  <si>
    <t>Venezuela</t>
  </si>
  <si>
    <t>Uruguay</t>
  </si>
  <si>
    <t>Turkey</t>
  </si>
  <si>
    <t>Thailand</t>
  </si>
  <si>
    <t>Taiwan</t>
  </si>
  <si>
    <t>Russia</t>
  </si>
  <si>
    <t>Peru</t>
  </si>
  <si>
    <t>Panama</t>
  </si>
  <si>
    <t>Norway</t>
  </si>
  <si>
    <t>New Zealand</t>
  </si>
  <si>
    <t>Mexico</t>
  </si>
  <si>
    <t>Malaysia</t>
  </si>
  <si>
    <t>Kazakhstan</t>
  </si>
  <si>
    <t>Japan</t>
  </si>
  <si>
    <t>Israel</t>
  </si>
  <si>
    <t>Indonesia</t>
  </si>
  <si>
    <t>India</t>
  </si>
  <si>
    <t>Egypt</t>
  </si>
  <si>
    <t>Colombia</t>
  </si>
  <si>
    <t>China</t>
  </si>
  <si>
    <t>Chile</t>
  </si>
  <si>
    <t>Cayman Islands</t>
  </si>
  <si>
    <t>Canada</t>
  </si>
  <si>
    <t>Brazil</t>
  </si>
  <si>
    <t>Australia</t>
  </si>
  <si>
    <t>Argentina</t>
  </si>
  <si>
    <t>EU6</t>
  </si>
  <si>
    <t>EU</t>
  </si>
  <si>
    <t>Puerto Rico</t>
  </si>
  <si>
    <t>UK</t>
  </si>
  <si>
    <t>British Virgin Islands</t>
  </si>
  <si>
    <t>Country</t>
  </si>
  <si>
    <t>GDP</t>
  </si>
  <si>
    <t>(D)</t>
  </si>
  <si>
    <t>Net income</t>
  </si>
  <si>
    <t>Compensation of employees</t>
  </si>
  <si>
    <t>Imports</t>
  </si>
  <si>
    <t>Net interest paid</t>
  </si>
  <si>
    <t>World</t>
  </si>
  <si>
    <t>Non-EU</t>
  </si>
  <si>
    <t>Rest of OECD</t>
  </si>
  <si>
    <t>Developing countries</t>
  </si>
  <si>
    <t>US</t>
  </si>
  <si>
    <t>Other</t>
  </si>
  <si>
    <t>Tax havens</t>
  </si>
  <si>
    <t>Korea</t>
  </si>
  <si>
    <t>EU (UK DE FR)</t>
  </si>
  <si>
    <t>OECD</t>
  </si>
  <si>
    <t>Portgugal</t>
  </si>
  <si>
    <t>Phillipines</t>
  </si>
  <si>
    <t>Hong Kong</t>
  </si>
  <si>
    <t>Nordic countries</t>
  </si>
  <si>
    <t>Belgium (2012)</t>
  </si>
  <si>
    <t># top 3 of other countries TP</t>
  </si>
  <si>
    <t># top 3 of other countries MAP</t>
  </si>
  <si>
    <t>3 TP</t>
  </si>
  <si>
    <t>2 TP</t>
  </si>
  <si>
    <t>1 TP</t>
  </si>
  <si>
    <t>3 MAP</t>
  </si>
  <si>
    <t>2 MAP</t>
  </si>
  <si>
    <t>1 MAP</t>
  </si>
  <si>
    <t>Top TP-case country</t>
  </si>
  <si>
    <t>Top MAP countries</t>
  </si>
  <si>
    <t>EU tax haven</t>
  </si>
  <si>
    <t>EU high tax country</t>
  </si>
  <si>
    <t>% cases in EU</t>
  </si>
  <si>
    <t>Cases in EU</t>
  </si>
  <si>
    <t>Caribbean</t>
  </si>
  <si>
    <t>Corporate depreciation</t>
  </si>
  <si>
    <t>Residence scenario</t>
  </si>
  <si>
    <t>Composition of EU AC cases by counterpart in 2011</t>
  </si>
  <si>
    <t>European Union</t>
  </si>
  <si>
    <t>Missing profits of U.S. multinationals</t>
  </si>
  <si>
    <t>Top 3 countries countries targeted by MAP cases, and TP cases, by country (2013)</t>
  </si>
  <si>
    <t>Foreign-controlled sector</t>
  </si>
  <si>
    <t>Local sector (not foreign-controlled)</t>
  </si>
  <si>
    <t>Average among non-havens</t>
  </si>
  <si>
    <t>Missing profits of other multinationals</t>
  </si>
  <si>
    <t>Reported profits, excl. Mutual funds</t>
  </si>
  <si>
    <t>Ireland.xlsx</t>
  </si>
  <si>
    <t>PSZ</t>
  </si>
  <si>
    <t>Wright-Zucman</t>
  </si>
  <si>
    <t>Source</t>
  </si>
  <si>
    <t>Corrected pi ratio (corrected for mutual funds and unrecorded US profits)</t>
  </si>
  <si>
    <t>Raw pi ratio</t>
  </si>
  <si>
    <t>Offshore mutual funds / comp</t>
  </si>
  <si>
    <t>Missing profits / comp</t>
  </si>
  <si>
    <t>Net operating surplus</t>
  </si>
  <si>
    <r>
      <t>All US corp sector</t>
    </r>
    <r>
      <rPr>
        <sz val="12"/>
        <color theme="1"/>
        <rFont val="Arial"/>
        <family val="2"/>
        <charset val="204"/>
      </rPr>
      <t xml:space="preserve"> (PSZ)</t>
    </r>
  </si>
  <si>
    <t>foreign-owned firms US</t>
  </si>
  <si>
    <t xml:space="preserve">Pre-tax / compensation, non-haven non-oil </t>
  </si>
  <si>
    <r>
      <t>Pre-tax profits / compensation, havens (ex</t>
    </r>
    <r>
      <rPr>
        <sz val="12"/>
        <color theme="1"/>
        <rFont val="Arial"/>
        <family val="2"/>
        <charset val="204"/>
      </rPr>
      <t>c</t>
    </r>
    <r>
      <rPr>
        <sz val="12"/>
        <color theme="1"/>
        <rFont val="Arial"/>
        <family val="2"/>
        <charset val="204"/>
      </rPr>
      <t>l. Oil)</t>
    </r>
  </si>
  <si>
    <t>Pre-tax profits, net of interest &amp; depreciation</t>
  </si>
  <si>
    <t>π</t>
  </si>
  <si>
    <t xml:space="preserve">pi relative to non haven </t>
  </si>
  <si>
    <t>1-p</t>
  </si>
  <si>
    <t>(1-p) relative to non-haven</t>
  </si>
  <si>
    <t>α/(1-α)</t>
  </si>
  <si>
    <t>alpha/(1-alpha) relative to non haven</t>
  </si>
  <si>
    <t>r</t>
  </si>
  <si>
    <t>r (on physical K) relative to non haven</t>
  </si>
  <si>
    <t>K/wL</t>
  </si>
  <si>
    <t>K/wl relative to non-havens</t>
  </si>
  <si>
    <t>Ratio of majority-owned tax haven affiliates to majority-owned non-haven  affiliates of U.S. multinationals (2015)</t>
  </si>
  <si>
    <t>Average havens</t>
  </si>
  <si>
    <t>Average non-havens</t>
  </si>
  <si>
    <t>Bermuda &amp; Car.</t>
  </si>
  <si>
    <t>check</t>
  </si>
  <si>
    <t>alpha</t>
  </si>
  <si>
    <t>p</t>
  </si>
  <si>
    <t>Net interest</t>
  </si>
  <si>
    <t>Professional services</t>
  </si>
  <si>
    <t>Finance</t>
  </si>
  <si>
    <t>Information</t>
  </si>
  <si>
    <t>Wholesale trade</t>
  </si>
  <si>
    <t>Computers</t>
  </si>
  <si>
    <t>Chemical</t>
  </si>
  <si>
    <t>phi</t>
  </si>
  <si>
    <t>Profits</t>
  </si>
  <si>
    <t>Compensation</t>
  </si>
  <si>
    <t>Profitability of Majority-owned affiliates of foreign multinationals, 2015</t>
  </si>
  <si>
    <t>tax loss (Bn.)</t>
  </si>
  <si>
    <t>Tax loss (% of corp. Tax)</t>
  </si>
  <si>
    <t>Corp tax revenue</t>
  </si>
  <si>
    <t>All</t>
  </si>
  <si>
    <t>Share of profits</t>
  </si>
  <si>
    <t>Benchmark scenario</t>
  </si>
  <si>
    <t>Share of shifted profits in tax havens under different scenarios</t>
  </si>
  <si>
    <t>Lost corporate tax revenue under different scenarios</t>
  </si>
  <si>
    <t>Other OECD countries</t>
  </si>
  <si>
    <t>World total</t>
  </si>
  <si>
    <t>Net output</t>
  </si>
  <si>
    <t>Corporate profits</t>
  </si>
  <si>
    <t>Net corporate output</t>
  </si>
  <si>
    <t>Gross corporate output</t>
  </si>
  <si>
    <t>Profits of foreign-controlled firms</t>
  </si>
  <si>
    <t xml:space="preserve"> Artificially shited profits</t>
  </si>
  <si>
    <t>Profits of local firms</t>
  </si>
  <si>
    <t>Benchmark scenario: transactions with tax havens</t>
  </si>
  <si>
    <t>Output</t>
  </si>
  <si>
    <t>Corporate output</t>
  </si>
  <si>
    <t>Depreciation</t>
  </si>
  <si>
    <t>Net corporate profits</t>
  </si>
  <si>
    <t>Trillions of current US$</t>
  </si>
  <si>
    <t xml:space="preserve">   Net profits of local corporations</t>
  </si>
  <si>
    <t>Corporate income taxes paid</t>
  </si>
  <si>
    <t>% of net corporate profits</t>
  </si>
  <si>
    <t xml:space="preserve">       Of which: shifted to tax havens</t>
  </si>
  <si>
    <t xml:space="preserve">   Net profits of foreign-controlled corp.</t>
  </si>
  <si>
    <t>Global gross output (GDP)</t>
  </si>
  <si>
    <t>Shifted profits</t>
  </si>
  <si>
    <t>CIT / national income</t>
  </si>
  <si>
    <t>CIT</t>
  </si>
  <si>
    <t>Haven</t>
  </si>
  <si>
    <t>Non-haven</t>
  </si>
  <si>
    <t>&gt;&gt; do same with BEA effective tax rate</t>
  </si>
  <si>
    <t>&gt;&gt;&gt; Decompose taxes into taxes by MNEs and domestic firms</t>
  </si>
  <si>
    <t>Look at FATS OECD / Eurostat, but apparently nothing on intra-group imports / exports</t>
  </si>
  <si>
    <t>http://www.irisheconomy.ie/index.php/2014/02/11/effective-tax-rates/</t>
  </si>
  <si>
    <t>Solve Bermuda puzzle (probably explains big jump in GDP in 2016)</t>
  </si>
  <si>
    <t>http://foolsgold.international/did-irelands-12-5-percent-corporate-tax-rate-cause-the-celtic-tiger/</t>
  </si>
  <si>
    <t>http://www.taxjustice.net/2015/03/12/did-irelands-12-5-percent-corporate-tax-rate-create-the-celtic-tiger/</t>
  </si>
  <si>
    <t>Need to learn more on history of Ireland as tax haven, exemptions that existed before big cut in late 1990s etc</t>
  </si>
  <si>
    <t>Goods supplied by affiliates to US:</t>
  </si>
  <si>
    <t>128</t>
  </si>
  <si>
    <t>209</t>
  </si>
  <si>
    <t xml:space="preserve">           (D)</t>
  </si>
  <si>
    <t>Intl services Table 2.3. As per BPM6 "Outright sales and purchases of outcomes of research and development, such as the outright sale or purchase of a patent or a copyright, should be recorded in research and development services"</t>
  </si>
  <si>
    <t>Intl services Table 2.3. As per BPM6, "Transactions in rights to reproduce or distribute intellectual property and some transactions in rights to use intellec­ tual property should be classified under charges for the use of intellectual property"</t>
  </si>
  <si>
    <t>Intl services Table 2.3</t>
  </si>
  <si>
    <t>Intl services Table 4.2</t>
  </si>
  <si>
    <t>US Census Bureau "country" file</t>
  </si>
  <si>
    <t>US Census Bureau "country" file https://www.census.gov/foreign-trade/balance/country.xlsx</t>
  </si>
  <si>
    <t>Fdius Table II.H.2</t>
  </si>
  <si>
    <t>Table II.H.1 (majority-owned affiliates)</t>
  </si>
  <si>
    <t>Table II.D.1</t>
  </si>
  <si>
    <t xml:space="preserve">Capital consumption allowance is used as a proxy for consumption of fixed capital. It consists of book-value depreciation charges reported on BEA’s surveys using financial accounting principles. </t>
  </si>
  <si>
    <t xml:space="preserve">Equals taxes other than income and payroll taxes plus production royalty payments to governments less subsidies received. </t>
  </si>
  <si>
    <t>Table II.F.1</t>
  </si>
  <si>
    <t xml:space="preserve">Table II.F.1. Labelled "Profit-type return". Footnote says: "profit type return is an economic accounting measure of profits from current production. Unlike net income, it is gross of foreign income taxes, excluding capital gains and losses and income from equity investments, and reflects certain other adjustments needed to convert profits from a financial accounting basis to an economic accounting basis."
</t>
  </si>
  <si>
    <t>Table II.F.1. Before 2009: non-bank affiliates only</t>
  </si>
  <si>
    <t>25% on non-trading income. Source before 1980: Steward (1980)</t>
  </si>
  <si>
    <t>series 1200 https://stats.oecd.org/Index.aspx?DataSetCode=REVUSA</t>
  </si>
  <si>
    <t>Central bank dividend?</t>
  </si>
  <si>
    <t>series 1200 https://stats.oecd.org/Index.aspx?DataSetCode=REVIRL</t>
  </si>
  <si>
    <t>Very close to net interest paid to Row</t>
  </si>
  <si>
    <t>1% discrep in 1995 ignored here (I just paste pre-1995 series)</t>
  </si>
  <si>
    <t>Before 1998: assume 70% of economy-wide compensation of employees</t>
  </si>
  <si>
    <t>0.5% discrep in 1995 ignored here (I just paste pre-1995 series)</t>
  </si>
  <si>
    <t>excl EU taxes/subsidies. 10% gap in 1995, unclear why</t>
  </si>
  <si>
    <t>Included in national income; unclear why</t>
  </si>
  <si>
    <t>D44 =  income paid by mutual funds (+ property income attributable to insurance policy holders + property income payable on pension entitlements)</t>
  </si>
  <si>
    <t>Misses interest on other investment (bank deposits etc.)</t>
  </si>
  <si>
    <t>Could be bonds owned by money market funds + intra-groups loans + …?</t>
  </si>
  <si>
    <t>Includes cross-border labor and investment income. Excludes "other primary income" of BoP (= taxes on product, rents)</t>
  </si>
  <si>
    <t>Source / note</t>
  </si>
  <si>
    <t>gross foreign liabilities</t>
  </si>
  <si>
    <t>Gross foreign assets</t>
  </si>
  <si>
    <t>NFA</t>
  </si>
  <si>
    <t>Irish pound / dollar</t>
  </si>
  <si>
    <t>Euro / dollar</t>
  </si>
  <si>
    <t>Professional &amp; management consulting services</t>
  </si>
  <si>
    <t>R&amp;D services</t>
  </si>
  <si>
    <t>Charges for use of IP</t>
  </si>
  <si>
    <t>Services exported to Ireland</t>
  </si>
  <si>
    <t xml:space="preserve">  Telecommunications, computer, and information services</t>
  </si>
  <si>
    <t>Services imported from Ireland</t>
  </si>
  <si>
    <t>To unaffiliated persons</t>
  </si>
  <si>
    <t>To other foreign affiliates</t>
  </si>
  <si>
    <t>Gap between Irish rate and US rate</t>
  </si>
  <si>
    <t>US federal corporate tax rate</t>
  </si>
  <si>
    <t>(% of total Irish trade balance)</t>
  </si>
  <si>
    <t>(% of Irish GDP)</t>
  </si>
  <si>
    <t>Census Bureau US net trade balance with Ireland</t>
  </si>
  <si>
    <t>Census bureau intra-group exports to US</t>
  </si>
  <si>
    <t>Census bureau US imports from Ireland</t>
  </si>
  <si>
    <t>Census bureau intra-group imports from US</t>
  </si>
  <si>
    <t>Census bureau US exports to Ireland</t>
  </si>
  <si>
    <t>(% Irish GDP)</t>
  </si>
  <si>
    <t>Total non-intra group MNE trade balance of US with Ireland</t>
  </si>
  <si>
    <t>Total intra-group trade balance of US with Ireland</t>
  </si>
  <si>
    <t>Total intra-group exports from Ireland to US</t>
  </si>
  <si>
    <t>Total intra-group imports from Ireland to US</t>
  </si>
  <si>
    <t>Intra-group MNE imports to the US</t>
  </si>
  <si>
    <t>MNE imports to the US</t>
  </si>
  <si>
    <t>Intra-group MNE exports to Ireland</t>
  </si>
  <si>
    <t>MNE exports to Ireland</t>
  </si>
  <si>
    <t>Net non-intra-group imports from the US by Irish affiliates of US MNEs</t>
  </si>
  <si>
    <t>Net intra-group imports from the US  by Irish affiliates of US MNEs</t>
  </si>
  <si>
    <t>Net imports from the US by Irish affiliates of US MNEs</t>
  </si>
  <si>
    <t>Intra-group MNE exports to the US</t>
  </si>
  <si>
    <t>MNE exports to the US</t>
  </si>
  <si>
    <t>Intra-group MNE imports from the US</t>
  </si>
  <si>
    <t>MNE imports from the US</t>
  </si>
  <si>
    <t>(% of all corp tax revenue)</t>
  </si>
  <si>
    <t>(euros)</t>
  </si>
  <si>
    <t>Foreign income taxes paid</t>
  </si>
  <si>
    <t>(Memo: net income, all US affiliates)</t>
  </si>
  <si>
    <r>
      <rPr>
        <sz val="12"/>
        <rFont val="Garamond"/>
        <family val="1"/>
      </rPr>
      <t>Capital consumption allowances</t>
    </r>
  </si>
  <si>
    <r>
      <rPr>
        <sz val="12"/>
        <rFont val="Garamond"/>
        <family val="1"/>
      </rPr>
      <t xml:space="preserve">Taxes on production and imports </t>
    </r>
  </si>
  <si>
    <r>
      <rPr>
        <sz val="12"/>
        <rFont val="Garamond"/>
        <family val="1"/>
      </rPr>
      <t xml:space="preserve">Net interest paid </t>
    </r>
  </si>
  <si>
    <t>Net profits</t>
  </si>
  <si>
    <t>Gross value-added of majority-owned US affiliaties</t>
  </si>
  <si>
    <t>Net exports services</t>
  </si>
  <si>
    <t xml:space="preserve">Net exports goods </t>
  </si>
  <si>
    <t>Imports / GDP</t>
  </si>
  <si>
    <t>Exports / GDP</t>
  </si>
  <si>
    <t>Net exports / GDP</t>
  </si>
  <si>
    <t>Exports</t>
  </si>
  <si>
    <t>Net exports</t>
  </si>
  <si>
    <t>Corporate income tax rate</t>
  </si>
  <si>
    <t>US national income</t>
  </si>
  <si>
    <t>US GDP</t>
  </si>
  <si>
    <t>US corporate tax revenue</t>
  </si>
  <si>
    <t>Memo: US</t>
  </si>
  <si>
    <t>for graph</t>
  </si>
  <si>
    <t>Corporate tax / national income</t>
  </si>
  <si>
    <t>Corporate tax / GDP</t>
  </si>
  <si>
    <t>Corporate tax paid / net domestic profits</t>
  </si>
  <si>
    <t>Net national corporate profits / national income</t>
  </si>
  <si>
    <t>Net domestic corporate profits / national income</t>
  </si>
  <si>
    <t>Net domestic corporate profits / GDP</t>
  </si>
  <si>
    <t>Share of corporate profits made by foreigners</t>
  </si>
  <si>
    <t>Memo: taxable profits / comp, US domestic corp sector</t>
  </si>
  <si>
    <t>Interest correction</t>
  </si>
  <si>
    <t>alpha/(1-alpha)</t>
  </si>
  <si>
    <t>Taxable profits / compensation of employee</t>
  </si>
  <si>
    <t>K share of net value added</t>
  </si>
  <si>
    <t>Gap</t>
  </si>
  <si>
    <t>Corporate tax paid, OECD rev stat</t>
  </si>
  <si>
    <t>Corporate tax paid</t>
  </si>
  <si>
    <t>Gross interest received</t>
  </si>
  <si>
    <t>Gross interest paid</t>
  </si>
  <si>
    <t>Net corporate profits / national income</t>
  </si>
  <si>
    <t>KD/gross profits</t>
  </si>
  <si>
    <t>Gross corporate profits</t>
  </si>
  <si>
    <t>Gross value added</t>
  </si>
  <si>
    <t>(% of corporate compf of employees)</t>
  </si>
  <si>
    <t>Memo: Compenstion of employees in industry + distribution, transport, comm + other services</t>
  </si>
  <si>
    <t>(% of total compensation of employees)</t>
  </si>
  <si>
    <t>Memo: economy-wide compensation of employees</t>
  </si>
  <si>
    <t xml:space="preserve">Product taxes net of subsidies </t>
  </si>
  <si>
    <t>Memo: Stat discrepancy income/output</t>
  </si>
  <si>
    <t>Memo: FISIM</t>
  </si>
  <si>
    <t>Check</t>
  </si>
  <si>
    <t>Net EU product subsidies</t>
  </si>
  <si>
    <t>Of which: net other cross-border investment income</t>
  </si>
  <si>
    <t>Of which: net cross-border retained earnings</t>
  </si>
  <si>
    <t>Of which: net cross-border dividends</t>
  </si>
  <si>
    <t>Of which: net interest on PI</t>
  </si>
  <si>
    <t>Of which: net interest in DI</t>
  </si>
  <si>
    <t>Of which: net cross-border interest</t>
  </si>
  <si>
    <t>% of net domestic product</t>
  </si>
  <si>
    <t>Net factor income from rest of the world</t>
  </si>
  <si>
    <t>(Memo: GDP no FISIM)</t>
  </si>
  <si>
    <t>GDP price index (2014 = 1)</t>
  </si>
  <si>
    <t>(Memo: national income (no FISIM))</t>
  </si>
  <si>
    <t>IIP</t>
  </si>
  <si>
    <t>Service trade between US and Ireland</t>
  </si>
  <si>
    <t>Services supplied by Irish affiliates of US firms</t>
  </si>
  <si>
    <t>Census Bureau: goods trade with Ireland</t>
  </si>
  <si>
    <t>Total BEA MNE goods trade between Ireland and US</t>
  </si>
  <si>
    <t>Majority-owned US affiliates of Irish MNEs: goods trade with Ireland</t>
  </si>
  <si>
    <t>Majority-owned irish affiliates of US MNEs: goods trade with the US</t>
  </si>
  <si>
    <t>Majority-owned Irish affiliates of US MNEs: value added and taxes paid</t>
  </si>
  <si>
    <t>Trade</t>
  </si>
  <si>
    <t>Corporate sector (financial + non-financial)</t>
  </si>
  <si>
    <t>Details on compensation of employees</t>
  </si>
  <si>
    <t>Irish pound</t>
  </si>
  <si>
    <t xml:space="preserve">1 euro  = </t>
  </si>
  <si>
    <t>Foreign corporate sector</t>
  </si>
  <si>
    <t>Tax rate of US affiliates</t>
  </si>
  <si>
    <t>Tax rate of all firms</t>
  </si>
  <si>
    <t>Tax rate on shifted profits</t>
  </si>
  <si>
    <t>Tax revenue gain from shifted profits</t>
  </si>
  <si>
    <t>Total corporate income tax revenue</t>
  </si>
  <si>
    <t>Revenue collected on shifted profits, % of total revenue</t>
  </si>
  <si>
    <t>Total havens</t>
  </si>
  <si>
    <t>Revenue collected on shifted profits, % of national income</t>
  </si>
  <si>
    <t>Physical capital / wages</t>
  </si>
  <si>
    <t>Operating surplus / Physical K</t>
  </si>
  <si>
    <t>Capital share</t>
  </si>
  <si>
    <t xml:space="preserve">Operating surplus / comp.        </t>
  </si>
  <si>
    <t>Interest payments adjustment</t>
  </si>
  <si>
    <t>Taxable profits / comp</t>
  </si>
  <si>
    <t>Where the shifted profits come from</t>
  </si>
  <si>
    <t>To whom the shifted profits accrue</t>
  </si>
  <si>
    <t>Share of comp made by foreign-controlled firms</t>
  </si>
  <si>
    <t>Assumes that 70% of artificially shifted profits are from foreign controlled firms (not local firms)</t>
  </si>
  <si>
    <t>Breakdown by main regions</t>
  </si>
  <si>
    <t>Corrected capital share</t>
  </si>
  <si>
    <t>Reported pre-tax profits</t>
  </si>
  <si>
    <t>Corrected trade balance</t>
  </si>
  <si>
    <t>Effective corporate tax rate</t>
  </si>
  <si>
    <t>Difference with published data</t>
  </si>
  <si>
    <t>OECD countries</t>
  </si>
  <si>
    <t>Bermuda</t>
  </si>
  <si>
    <t>Of which: Local firms</t>
  </si>
  <si>
    <t>Of which: Foreign firms</t>
  </si>
  <si>
    <t>2%`</t>
  </si>
  <si>
    <t>Main developing countries</t>
  </si>
  <si>
    <t>Corp. tax revenue loss/gain (% collected)</t>
  </si>
  <si>
    <t>Greece</t>
  </si>
  <si>
    <t>Iceland</t>
  </si>
  <si>
    <t>Portugal</t>
  </si>
  <si>
    <t>Slovenia</t>
  </si>
  <si>
    <t>Costa Rica</t>
  </si>
  <si>
    <t>South Africa</t>
  </si>
  <si>
    <t>British virgin islands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</si>
</sst>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 #,##0.00_ ;_ * \-#,##0.00_ ;_ * &quot;-&quot;??_ ;_ @_ "/>
    <numFmt numFmtId="165" formatCode="0.0%"/>
    <numFmt numFmtId="166" formatCode="_-* #,##0.00\ _z_ł_-;\-* #,##0.00\ _z_ł_-;_-* &quot;-&quot;??\ _z_ł_-;_-@_-"/>
    <numFmt numFmtId="167" formatCode="\$#,##0\ ;\(\$#,##0\)"/>
    <numFmt numFmtId="168" formatCode="0.0"/>
    <numFmt numFmtId="169" formatCode="#,##0;[Red]#,##0"/>
    <numFmt numFmtId="170" formatCode="\+0.0%"/>
    <numFmt numFmtId="171" formatCode="#,##0.0"/>
  </numFmts>
  <fonts count="115" x14ac:knownFonts="1">
    <font>
      <sz val="12"/>
      <color theme="1"/>
      <name val="Calibri"/>
      <family val="2"/>
      <scheme val="minor"/>
    </font>
    <font>
      <sz val="12"/>
      <color theme="1"/>
      <name val="Arial"/>
      <family val="2"/>
      <charset val="204"/>
    </font>
    <font>
      <sz val="12"/>
      <color theme="1"/>
      <name val="Arial"/>
      <family val="2"/>
      <charset val="204"/>
    </font>
    <font>
      <sz val="11"/>
      <color theme="1"/>
      <name val="Calibri"/>
      <family val="2"/>
      <scheme val="minor"/>
    </font>
    <font>
      <sz val="12"/>
      <color theme="1"/>
      <name val="Arial"/>
      <family val="2"/>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name val="Arial"/>
      <family val="2"/>
    </font>
    <font>
      <sz val="12"/>
      <name val="Arial"/>
      <family val="2"/>
    </font>
    <font>
      <sz val="11"/>
      <color theme="1"/>
      <name val="Garamond"/>
      <family val="1"/>
    </font>
    <font>
      <b/>
      <sz val="12"/>
      <color theme="1"/>
      <name val="Garamond"/>
      <family val="1"/>
    </font>
    <font>
      <sz val="11"/>
      <name val="Arial"/>
      <family val="2"/>
    </font>
    <font>
      <sz val="12"/>
      <color theme="1"/>
      <name val="Arial"/>
      <family val="2"/>
    </font>
    <font>
      <sz val="1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sz val="12"/>
      <color indexed="24"/>
      <name val="Arial"/>
      <family val="2"/>
    </font>
    <font>
      <b/>
      <sz val="8"/>
      <color indexed="24"/>
      <name val="Times New Roman"/>
      <family val="1"/>
    </font>
    <font>
      <sz val="8"/>
      <color indexed="24"/>
      <name val="Times New Roman"/>
      <family val="1"/>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indexed="8"/>
      <name val="Calibri"/>
      <family val="2"/>
      <scheme val="minor"/>
    </font>
    <font>
      <b/>
      <sz val="10"/>
      <color rgb="FF3F3F3F"/>
      <name val="Arial"/>
      <family val="2"/>
    </font>
    <font>
      <sz val="11"/>
      <color indexed="17"/>
      <name val="Calibri"/>
      <family val="2"/>
    </font>
    <font>
      <sz val="7"/>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theme="1"/>
      <name val="Arial"/>
      <family val="2"/>
    </font>
    <font>
      <b/>
      <sz val="11"/>
      <color indexed="9"/>
      <name val="Calibri"/>
      <family val="2"/>
    </font>
    <font>
      <sz val="10"/>
      <color rgb="FFFF0000"/>
      <name val="Arial"/>
      <family val="2"/>
    </font>
    <font>
      <b/>
      <sz val="12"/>
      <color theme="1"/>
      <name val="Arial"/>
      <family val="2"/>
    </font>
    <font>
      <sz val="12"/>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0000"/>
      <name val="Garamond"/>
      <family val="1"/>
    </font>
    <font>
      <sz val="10"/>
      <name val="Arial"/>
      <family val="2"/>
    </font>
    <font>
      <sz val="12"/>
      <color theme="1"/>
      <name val="Garamond"/>
      <family val="1"/>
    </font>
    <font>
      <sz val="12"/>
      <name val="Garamond"/>
      <family val="1"/>
    </font>
    <font>
      <sz val="10"/>
      <name val="Verdana"/>
      <family val="2"/>
    </font>
    <font>
      <u/>
      <sz val="10"/>
      <color indexed="12"/>
      <name val="Verdana"/>
      <family val="2"/>
    </font>
    <font>
      <sz val="11"/>
      <name val="Arial"/>
      <family val="2"/>
    </font>
    <font>
      <sz val="10"/>
      <name val="Arial"/>
      <family val="2"/>
    </font>
    <font>
      <sz val="11"/>
      <color rgb="FF000000"/>
      <name val="Calibri"/>
      <family val="2"/>
    </font>
    <font>
      <sz val="11"/>
      <color indexed="8"/>
      <name val="Calibri"/>
      <family val="2"/>
    </font>
    <font>
      <b/>
      <sz val="12"/>
      <color theme="1"/>
      <name val="Calibri"/>
      <family val="2"/>
      <scheme val="minor"/>
    </font>
    <font>
      <sz val="9"/>
      <color indexed="81"/>
      <name val="Calibri"/>
      <family val="2"/>
    </font>
    <font>
      <b/>
      <sz val="9"/>
      <color indexed="81"/>
      <name val="Calibri"/>
      <family val="2"/>
    </font>
    <font>
      <sz val="10"/>
      <name val="Arial"/>
      <family val="2"/>
    </font>
    <font>
      <i/>
      <sz val="12"/>
      <color theme="1"/>
      <name val="Arial"/>
      <family val="2"/>
    </font>
    <font>
      <sz val="12"/>
      <color theme="0"/>
      <name val="Calibri"/>
      <family val="2"/>
      <scheme val="minor"/>
    </font>
    <font>
      <sz val="8"/>
      <name val="Calibri"/>
      <family val="2"/>
      <scheme val="minor"/>
    </font>
    <font>
      <sz val="18"/>
      <color theme="1"/>
      <name val="Garamond"/>
      <family val="1"/>
    </font>
    <font>
      <sz val="12"/>
      <color rgb="FFFF0000"/>
      <name val="Garamond"/>
      <family val="1"/>
    </font>
    <font>
      <i/>
      <sz val="12"/>
      <color theme="1"/>
      <name val="Garamond"/>
      <family val="1"/>
    </font>
    <font>
      <sz val="12"/>
      <color rgb="FF000000"/>
      <name val="Garamond"/>
      <family val="2"/>
    </font>
    <font>
      <sz val="12"/>
      <color theme="1"/>
      <name val="Verdana"/>
      <family val="2"/>
    </font>
    <font>
      <sz val="11"/>
      <color theme="1"/>
      <name val="Verdana"/>
      <family val="2"/>
    </font>
    <font>
      <b/>
      <sz val="12"/>
      <color theme="1"/>
      <name val="Verdana"/>
      <family val="2"/>
    </font>
    <font>
      <sz val="20"/>
      <color theme="1"/>
      <name val="Garamond"/>
    </font>
    <font>
      <i/>
      <sz val="20"/>
      <color theme="1"/>
      <name val="Garamond"/>
    </font>
    <font>
      <b/>
      <sz val="20"/>
      <color theme="1"/>
      <name val="Garamond"/>
    </font>
    <font>
      <sz val="26"/>
      <color theme="1"/>
      <name val="Garamond"/>
    </font>
    <font>
      <b/>
      <sz val="26"/>
      <color theme="1"/>
      <name val="Garamond"/>
    </font>
    <font>
      <i/>
      <sz val="26"/>
      <color theme="1"/>
      <name val="Garamond"/>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indexed="42"/>
      </patternFill>
    </fill>
    <fill>
      <patternFill patternType="solid">
        <fgColor indexed="55"/>
      </patternFill>
    </fill>
  </fills>
  <borders count="22">
    <border>
      <left/>
      <right/>
      <top/>
      <bottom/>
      <diagonal/>
    </border>
    <border>
      <left/>
      <right/>
      <top/>
      <bottom style="thin">
        <color auto="1"/>
      </bottom>
      <diagonal/>
    </border>
    <border>
      <left/>
      <right/>
      <top/>
      <bottom style="double">
        <color auto="1"/>
      </bottom>
      <diagonal/>
    </border>
    <border>
      <left/>
      <right/>
      <top style="double">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auto="1"/>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double">
        <color auto="1"/>
      </top>
      <bottom/>
      <diagonal/>
    </border>
    <border>
      <left/>
      <right/>
      <top style="thin">
        <color auto="1"/>
      </top>
      <bottom/>
      <diagonal/>
    </border>
    <border>
      <left/>
      <right/>
      <top/>
      <bottom style="thin">
        <color auto="1"/>
      </bottom>
      <diagonal/>
    </border>
  </borders>
  <cellStyleXfs count="426">
    <xf numFmtId="0" fontId="0" fillId="0" borderId="0"/>
    <xf numFmtId="0" fontId="29" fillId="0" borderId="0" applyNumberFormat="0" applyFill="0" applyBorder="0" applyAlignment="0" applyProtection="0"/>
    <xf numFmtId="0" fontId="30" fillId="0" borderId="0" applyNumberFormat="0" applyFill="0" applyBorder="0" applyAlignment="0" applyProtection="0"/>
    <xf numFmtId="0" fontId="32" fillId="0" borderId="0"/>
    <xf numFmtId="0" fontId="31" fillId="0" borderId="0"/>
    <xf numFmtId="9" fontId="31" fillId="0" borderId="0" applyFont="0" applyFill="0" applyBorder="0" applyAlignment="0" applyProtection="0"/>
    <xf numFmtId="164" fontId="31" fillId="0" borderId="0" applyFont="0" applyFill="0" applyBorder="0" applyAlignment="0" applyProtection="0"/>
    <xf numFmtId="9" fontId="28" fillId="0" borderId="0" applyFont="0" applyFill="0" applyBorder="0" applyAlignment="0" applyProtection="0"/>
    <xf numFmtId="3" fontId="3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164" fontId="27" fillId="0" borderId="0" applyFont="0" applyFill="0" applyBorder="0" applyAlignment="0" applyProtection="0"/>
    <xf numFmtId="166" fontId="36" fillId="0" borderId="0" applyFont="0" applyFill="0" applyBorder="0" applyAlignment="0" applyProtection="0"/>
    <xf numFmtId="164" fontId="28" fillId="0" borderId="0" applyFont="0" applyFill="0" applyBorder="0" applyAlignment="0" applyProtection="0"/>
    <xf numFmtId="0" fontId="27" fillId="0" borderId="0"/>
    <xf numFmtId="0" fontId="37" fillId="0" borderId="0"/>
    <xf numFmtId="0" fontId="36" fillId="0" borderId="0"/>
    <xf numFmtId="0" fontId="28" fillId="0" borderId="0"/>
    <xf numFmtId="9" fontId="38"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9" fontId="28" fillId="0" borderId="0" applyFont="0" applyFill="0" applyBorder="0" applyAlignment="0" applyProtection="0"/>
    <xf numFmtId="0" fontId="39" fillId="10"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22" borderId="0" applyNumberFormat="0" applyBorder="0" applyAlignment="0" applyProtection="0"/>
    <xf numFmtId="0" fontId="39" fillId="26" borderId="0" applyNumberFormat="0" applyBorder="0" applyAlignment="0" applyProtection="0"/>
    <xf numFmtId="0" fontId="39" fillId="30"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9" borderId="0" applyNumberFormat="0" applyBorder="0" applyAlignment="0" applyProtection="0"/>
    <xf numFmtId="0" fontId="39" fillId="23" borderId="0" applyNumberFormat="0" applyBorder="0" applyAlignment="0" applyProtection="0"/>
    <xf numFmtId="0" fontId="39" fillId="27" borderId="0" applyNumberFormat="0" applyBorder="0" applyAlignment="0" applyProtection="0"/>
    <xf numFmtId="0" fontId="39" fillId="31" borderId="0" applyNumberFormat="0" applyBorder="0" applyAlignment="0" applyProtection="0"/>
    <xf numFmtId="0" fontId="40" fillId="12" borderId="0" applyNumberFormat="0" applyBorder="0" applyAlignment="0" applyProtection="0"/>
    <xf numFmtId="0" fontId="40" fillId="16"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8" borderId="0" applyNumberFormat="0" applyBorder="0" applyAlignment="0" applyProtection="0"/>
    <xf numFmtId="0" fontId="40" fillId="32" borderId="0" applyNumberFormat="0" applyBorder="0" applyAlignment="0" applyProtection="0"/>
    <xf numFmtId="0" fontId="40" fillId="9" borderId="0" applyNumberFormat="0" applyBorder="0" applyAlignment="0" applyProtection="0"/>
    <xf numFmtId="0" fontId="40" fillId="13"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1" fillId="3" borderId="0" applyNumberFormat="0" applyBorder="0" applyAlignment="0" applyProtection="0"/>
    <xf numFmtId="0" fontId="42" fillId="6" borderId="7" applyNumberFormat="0" applyAlignment="0" applyProtection="0"/>
    <xf numFmtId="0" fontId="43" fillId="7" borderId="10" applyNumberFormat="0" applyAlignment="0" applyProtection="0"/>
    <xf numFmtId="0" fontId="44" fillId="33" borderId="13" applyNumberFormat="0" applyFont="0" applyAlignment="0" applyProtection="0"/>
    <xf numFmtId="0" fontId="4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3" fontId="45" fillId="0" borderId="0" applyFont="0" applyFill="0" applyBorder="0" applyAlignment="0" applyProtection="0"/>
    <xf numFmtId="0" fontId="49" fillId="2"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5" borderId="7" applyNumberFormat="0" applyAlignment="0" applyProtection="0"/>
    <xf numFmtId="0" fontId="29" fillId="0" borderId="0" applyNumberFormat="0" applyFill="0" applyBorder="0" applyAlignment="0" applyProtection="0"/>
    <xf numFmtId="0" fontId="54" fillId="0" borderId="9" applyNumberFormat="0" applyFill="0" applyAlignment="0" applyProtection="0"/>
    <xf numFmtId="167" fontId="45" fillId="0" borderId="0" applyFont="0" applyFill="0" applyBorder="0" applyAlignment="0" applyProtection="0"/>
    <xf numFmtId="0" fontId="55" fillId="4" borderId="0" applyNumberFormat="0" applyBorder="0" applyAlignment="0" applyProtection="0"/>
    <xf numFmtId="0" fontId="37" fillId="0" borderId="0"/>
    <xf numFmtId="0" fontId="39" fillId="0" borderId="0"/>
    <xf numFmtId="0" fontId="56" fillId="0" borderId="0"/>
    <xf numFmtId="0" fontId="39" fillId="8" borderId="11" applyNumberFormat="0" applyFont="0" applyAlignment="0" applyProtection="0"/>
    <xf numFmtId="0" fontId="57" fillId="6" borderId="8"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7" fillId="0" borderId="0" applyFont="0" applyFill="0" applyBorder="0" applyAlignment="0" applyProtection="0"/>
    <xf numFmtId="9" fontId="26" fillId="0" borderId="0" applyFont="0" applyFill="0" applyBorder="0" applyAlignment="0" applyProtection="0"/>
    <xf numFmtId="0" fontId="58" fillId="34" borderId="0" applyNumberFormat="0" applyBorder="0" applyAlignment="0" applyProtection="0"/>
    <xf numFmtId="0" fontId="32" fillId="0" borderId="0"/>
    <xf numFmtId="0" fontId="59" fillId="0" borderId="14">
      <alignment horizontal="center"/>
    </xf>
    <xf numFmtId="0" fontId="60" fillId="0" borderId="0" applyNumberFormat="0" applyFill="0" applyBorder="0" applyAlignment="0" applyProtection="0"/>
    <xf numFmtId="0" fontId="61" fillId="0" borderId="15" applyNumberFormat="0" applyFill="0" applyAlignment="0" applyProtection="0"/>
    <xf numFmtId="0" fontId="62" fillId="0" borderId="16" applyNumberFormat="0" applyFill="0" applyAlignment="0" applyProtection="0"/>
    <xf numFmtId="0" fontId="63" fillId="0" borderId="17" applyNumberFormat="0" applyFill="0" applyAlignment="0" applyProtection="0"/>
    <xf numFmtId="0" fontId="63" fillId="0" borderId="0" applyNumberFormat="0" applyFill="0" applyBorder="0" applyAlignment="0" applyProtection="0"/>
    <xf numFmtId="0" fontId="64" fillId="0" borderId="12" applyNumberFormat="0" applyFill="0" applyAlignment="0" applyProtection="0"/>
    <xf numFmtId="0" fontId="65" fillId="35" borderId="18" applyNumberFormat="0" applyAlignment="0" applyProtection="0"/>
    <xf numFmtId="2" fontId="45" fillId="0" borderId="0" applyFont="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69" fillId="0" borderId="0" applyNumberForma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2" borderId="0" applyNumberFormat="0" applyBorder="0" applyAlignment="0" applyProtection="0"/>
    <xf numFmtId="0" fontId="74" fillId="3" borderId="0" applyNumberFormat="0" applyBorder="0" applyAlignment="0" applyProtection="0"/>
    <xf numFmtId="0" fontId="75" fillId="4" borderId="0" applyNumberFormat="0" applyBorder="0" applyAlignment="0" applyProtection="0"/>
    <xf numFmtId="0" fontId="76" fillId="5" borderId="7" applyNumberFormat="0" applyAlignment="0" applyProtection="0"/>
    <xf numFmtId="0" fontId="77" fillId="6" borderId="8" applyNumberFormat="0" applyAlignment="0" applyProtection="0"/>
    <xf numFmtId="0" fontId="78" fillId="6" borderId="7" applyNumberFormat="0" applyAlignment="0" applyProtection="0"/>
    <xf numFmtId="0" fontId="79" fillId="0" borderId="9" applyNumberFormat="0" applyFill="0" applyAlignment="0" applyProtection="0"/>
    <xf numFmtId="0" fontId="80" fillId="7" borderId="10"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12" applyNumberFormat="0" applyFill="0" applyAlignment="0" applyProtection="0"/>
    <xf numFmtId="0" fontId="8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84" fillId="32" borderId="0" applyNumberFormat="0" applyBorder="0" applyAlignment="0" applyProtection="0"/>
    <xf numFmtId="0" fontId="25" fillId="0" borderId="0"/>
    <xf numFmtId="9" fontId="25" fillId="0" borderId="0" applyFont="0" applyFill="0" applyBorder="0" applyAlignment="0" applyProtection="0"/>
    <xf numFmtId="164" fontId="25" fillId="0" borderId="0" applyFont="0" applyFill="0" applyBorder="0" applyAlignment="0" applyProtection="0"/>
    <xf numFmtId="0" fontId="36" fillId="0" borderId="0"/>
    <xf numFmtId="9" fontId="36" fillId="0" borderId="0" applyFont="0" applyFill="0" applyBorder="0" applyAlignment="0" applyProtection="0"/>
    <xf numFmtId="0" fontId="25" fillId="0" borderId="0"/>
    <xf numFmtId="9" fontId="26" fillId="0" borderId="0" applyFont="0" applyFill="0" applyBorder="0" applyAlignment="0" applyProtection="0"/>
    <xf numFmtId="9" fontId="25" fillId="0" borderId="0" applyFont="0" applyFill="0" applyBorder="0" applyAlignment="0" applyProtection="0"/>
    <xf numFmtId="0" fontId="26" fillId="0" borderId="0"/>
    <xf numFmtId="164" fontId="26" fillId="0" borderId="0" applyFont="0" applyFill="0" applyBorder="0" applyAlignment="0" applyProtection="0"/>
    <xf numFmtId="164" fontId="25" fillId="0" borderId="0" applyFont="0" applyFill="0" applyBorder="0" applyAlignment="0" applyProtection="0"/>
    <xf numFmtId="0" fontId="86" fillId="0" borderId="0"/>
    <xf numFmtId="0" fontId="25" fillId="8" borderId="11" applyNumberFormat="0" applyFont="0" applyAlignment="0" applyProtection="0"/>
    <xf numFmtId="0" fontId="24" fillId="0" borderId="0"/>
    <xf numFmtId="0" fontId="24" fillId="0" borderId="0"/>
    <xf numFmtId="9" fontId="24" fillId="0" borderId="0" applyFont="0" applyFill="0" applyBorder="0" applyAlignment="0" applyProtection="0"/>
    <xf numFmtId="164" fontId="24"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2" fillId="0" borderId="0"/>
    <xf numFmtId="9" fontId="22" fillId="0" borderId="0" applyFont="0" applyFill="0" applyBorder="0" applyAlignment="0" applyProtection="0"/>
    <xf numFmtId="0" fontId="89" fillId="0" borderId="0"/>
    <xf numFmtId="0" fontId="26" fillId="0" borderId="0"/>
    <xf numFmtId="9" fontId="89" fillId="0" borderId="0" applyFont="0" applyFill="0" applyBorder="0" applyAlignment="0" applyProtection="0"/>
    <xf numFmtId="0" fontId="26" fillId="0" borderId="0"/>
    <xf numFmtId="0" fontId="26" fillId="0" borderId="0"/>
    <xf numFmtId="0" fontId="26" fillId="0" borderId="0"/>
    <xf numFmtId="0" fontId="26" fillId="0" borderId="0"/>
    <xf numFmtId="0" fontId="89" fillId="0" borderId="0"/>
    <xf numFmtId="9" fontId="26" fillId="0" borderId="0" applyFont="0" applyFill="0" applyBorder="0" applyAlignment="0" applyProtection="0"/>
    <xf numFmtId="0" fontId="26" fillId="0" borderId="0"/>
    <xf numFmtId="0" fontId="21" fillId="0" borderId="0"/>
    <xf numFmtId="164" fontId="21" fillId="0" borderId="0" applyFont="0" applyFill="0" applyBorder="0" applyAlignment="0" applyProtection="0"/>
    <xf numFmtId="9" fontId="21" fillId="0" borderId="0" applyFont="0" applyFill="0" applyBorder="0" applyAlignment="0" applyProtection="0"/>
    <xf numFmtId="0" fontId="91" fillId="0" borderId="0"/>
    <xf numFmtId="166" fontId="91" fillId="0" borderId="0" applyFont="0" applyFill="0" applyBorder="0" applyAlignment="0" applyProtection="0"/>
    <xf numFmtId="9" fontId="91" fillId="0" borderId="0" applyFont="0" applyFill="0" applyBorder="0" applyAlignment="0" applyProtection="0"/>
    <xf numFmtId="0" fontId="36" fillId="0" borderId="0"/>
    <xf numFmtId="43" fontId="21" fillId="0" borderId="0" applyFont="0" applyFill="0" applyBorder="0" applyAlignment="0" applyProtection="0"/>
    <xf numFmtId="0" fontId="32" fillId="0" borderId="0"/>
    <xf numFmtId="0" fontId="92" fillId="0" borderId="0"/>
    <xf numFmtId="0" fontId="21" fillId="0" borderId="0"/>
    <xf numFmtId="164" fontId="26" fillId="0" borderId="0" applyFont="0" applyFill="0" applyBorder="0" applyAlignment="0" applyProtection="0"/>
    <xf numFmtId="0" fontId="32" fillId="0" borderId="0"/>
    <xf numFmtId="0" fontId="20" fillId="0" borderId="0"/>
    <xf numFmtId="0" fontId="19" fillId="0" borderId="0"/>
    <xf numFmtId="0" fontId="18" fillId="0" borderId="0"/>
    <xf numFmtId="0" fontId="17" fillId="0" borderId="0"/>
    <xf numFmtId="164" fontId="17" fillId="0" borderId="0" applyFont="0" applyFill="0" applyBorder="0" applyAlignment="0" applyProtection="0"/>
    <xf numFmtId="9" fontId="17" fillId="0" borderId="0" applyFont="0" applyFill="0" applyBorder="0" applyAlignment="0" applyProtection="0"/>
    <xf numFmtId="0" fontId="16" fillId="0" borderId="0"/>
    <xf numFmtId="164" fontId="16" fillId="0" borderId="0" applyFont="0" applyFill="0" applyBorder="0" applyAlignment="0" applyProtection="0"/>
    <xf numFmtId="9" fontId="16" fillId="0" borderId="0" applyFont="0" applyFill="0" applyBorder="0" applyAlignment="0" applyProtection="0"/>
    <xf numFmtId="0" fontId="93" fillId="0" borderId="0" applyNumberFormat="0" applyBorder="0" applyAlignment="0"/>
    <xf numFmtId="0" fontId="15" fillId="0" borderId="0"/>
    <xf numFmtId="0" fontId="14" fillId="0" borderId="0"/>
    <xf numFmtId="0" fontId="13" fillId="0" borderId="0"/>
    <xf numFmtId="0" fontId="94" fillId="0" borderId="0" applyFill="0" applyProtection="0"/>
    <xf numFmtId="0" fontId="12" fillId="0" borderId="0"/>
    <xf numFmtId="0" fontId="11" fillId="0" borderId="0"/>
    <xf numFmtId="0" fontId="11" fillId="0" borderId="0"/>
    <xf numFmtId="0" fontId="11"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164" fontId="10" fillId="0" borderId="0" applyFont="0" applyFill="0" applyBorder="0" applyAlignment="0" applyProtection="0"/>
    <xf numFmtId="0" fontId="9" fillId="0" borderId="0"/>
    <xf numFmtId="0" fontId="8" fillId="0" borderId="0"/>
    <xf numFmtId="0" fontId="8" fillId="0" borderId="0"/>
    <xf numFmtId="0" fontId="32" fillId="0" borderId="0"/>
    <xf numFmtId="9" fontId="8" fillId="0" borderId="0" applyFont="0" applyFill="0" applyBorder="0" applyAlignment="0" applyProtection="0"/>
    <xf numFmtId="0" fontId="8" fillId="0" borderId="0"/>
    <xf numFmtId="0" fontId="8" fillId="0" borderId="0"/>
    <xf numFmtId="0" fontId="7" fillId="0" borderId="0"/>
    <xf numFmtId="0" fontId="56" fillId="0" borderId="0"/>
    <xf numFmtId="0" fontId="98"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7"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3" fontId="45" fillId="0" borderId="0" applyFont="0" applyFill="0" applyBorder="0" applyAlignment="0" applyProtection="0"/>
    <xf numFmtId="0" fontId="90" fillId="0" borderId="0" applyNumberFormat="0" applyFill="0" applyBorder="0" applyAlignment="0" applyProtection="0">
      <alignment vertical="top"/>
      <protection locked="0"/>
    </xf>
    <xf numFmtId="167" fontId="45" fillId="0" borderId="0" applyFont="0" applyFill="0" applyBorder="0" applyAlignment="0" applyProtection="0"/>
    <xf numFmtId="0" fontId="5" fillId="0" borderId="0"/>
    <xf numFmtId="0" fontId="5" fillId="0" borderId="0"/>
    <xf numFmtId="0" fontId="5" fillId="0" borderId="0"/>
    <xf numFmtId="0" fontId="89" fillId="0" borderId="0"/>
    <xf numFmtId="169" fontId="32" fillId="0" borderId="0" applyNumberFormat="0" applyFont="0" applyFill="0" applyBorder="0" applyAlignment="0" applyProtection="0"/>
    <xf numFmtId="0" fontId="5"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2" fontId="45" fillId="0" borderId="0" applyFont="0" applyFill="0" applyBorder="0" applyAlignment="0" applyProtection="0"/>
    <xf numFmtId="169" fontId="32" fillId="0" borderId="0" applyNumberFormat="0" applyFont="0" applyFill="0" applyBorder="0" applyAlignment="0" applyProtection="0"/>
    <xf numFmtId="0" fontId="32" fillId="0" borderId="0"/>
    <xf numFmtId="9" fontId="8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xf numFmtId="9" fontId="2"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232">
    <xf numFmtId="0" fontId="0" fillId="0" borderId="0" xfId="0"/>
    <xf numFmtId="9" fontId="0" fillId="0" borderId="0" xfId="7" applyFont="1"/>
    <xf numFmtId="9" fontId="34" fillId="0" borderId="0" xfId="7" applyFont="1"/>
    <xf numFmtId="0" fontId="0" fillId="0" borderId="0" xfId="0" applyAlignment="1">
      <alignment wrapText="1"/>
    </xf>
    <xf numFmtId="0" fontId="87" fillId="0" borderId="0" xfId="0" applyFont="1"/>
    <xf numFmtId="0" fontId="87" fillId="0" borderId="3" xfId="0" applyFont="1" applyBorder="1"/>
    <xf numFmtId="0" fontId="87" fillId="0" borderId="2" xfId="0" applyFont="1" applyBorder="1"/>
    <xf numFmtId="0" fontId="35" fillId="0" borderId="2" xfId="0" applyFont="1" applyBorder="1"/>
    <xf numFmtId="0" fontId="87" fillId="0" borderId="0" xfId="0" applyFont="1" applyAlignment="1">
      <alignment wrapText="1"/>
    </xf>
    <xf numFmtId="9" fontId="34" fillId="0" borderId="0" xfId="7" applyFont="1" applyAlignment="1">
      <alignment horizontal="center"/>
    </xf>
    <xf numFmtId="9" fontId="34" fillId="0" borderId="0" xfId="7" applyFont="1" applyBorder="1" applyAlignment="1">
      <alignment horizontal="center"/>
    </xf>
    <xf numFmtId="0" fontId="34" fillId="0" borderId="0" xfId="171" applyFont="1"/>
    <xf numFmtId="9" fontId="87" fillId="0" borderId="0" xfId="173" applyFont="1"/>
    <xf numFmtId="168" fontId="34" fillId="0" borderId="0" xfId="171" applyNumberFormat="1" applyFont="1"/>
    <xf numFmtId="165" fontId="34" fillId="0" borderId="0" xfId="171" applyNumberFormat="1" applyFont="1"/>
    <xf numFmtId="3" fontId="34" fillId="0" borderId="0" xfId="171" applyNumberFormat="1" applyFont="1"/>
    <xf numFmtId="165" fontId="87" fillId="0" borderId="0" xfId="173" applyNumberFormat="1" applyFont="1"/>
    <xf numFmtId="0" fontId="34" fillId="0" borderId="2" xfId="171" applyFont="1" applyBorder="1"/>
    <xf numFmtId="168" fontId="34" fillId="0" borderId="2" xfId="171" applyNumberFormat="1" applyFont="1" applyBorder="1"/>
    <xf numFmtId="9" fontId="87" fillId="0" borderId="2" xfId="173" applyFont="1" applyBorder="1"/>
    <xf numFmtId="0" fontId="26" fillId="0" borderId="0" xfId="177"/>
    <xf numFmtId="3" fontId="0" fillId="0" borderId="0" xfId="0" applyNumberFormat="1"/>
    <xf numFmtId="0" fontId="87" fillId="0" borderId="21" xfId="0" applyFont="1" applyBorder="1"/>
    <xf numFmtId="0" fontId="87" fillId="0" borderId="0" xfId="235"/>
    <xf numFmtId="9" fontId="0" fillId="0" borderId="2" xfId="259" applyFont="1" applyBorder="1"/>
    <xf numFmtId="9" fontId="88" fillId="0" borderId="2" xfId="235" applyNumberFormat="1" applyFont="1" applyBorder="1"/>
    <xf numFmtId="9" fontId="87" fillId="0" borderId="2" xfId="235" applyNumberFormat="1" applyBorder="1"/>
    <xf numFmtId="0" fontId="5" fillId="0" borderId="2" xfId="251" applyBorder="1"/>
    <xf numFmtId="9" fontId="0" fillId="0" borderId="0" xfId="259" applyFont="1" applyBorder="1"/>
    <xf numFmtId="9" fontId="88" fillId="0" borderId="0" xfId="235" applyNumberFormat="1" applyFont="1" applyBorder="1"/>
    <xf numFmtId="9" fontId="87" fillId="0" borderId="0" xfId="235" applyNumberFormat="1" applyBorder="1"/>
    <xf numFmtId="0" fontId="5" fillId="0" borderId="0" xfId="251" applyBorder="1"/>
    <xf numFmtId="0" fontId="5" fillId="0" borderId="0" xfId="251" applyFill="1" applyBorder="1"/>
    <xf numFmtId="9" fontId="0" fillId="0" borderId="0" xfId="259" applyFont="1"/>
    <xf numFmtId="9" fontId="87" fillId="0" borderId="0" xfId="235" applyNumberFormat="1"/>
    <xf numFmtId="0" fontId="5" fillId="0" borderId="0" xfId="251"/>
    <xf numFmtId="0" fontId="5" fillId="0" borderId="0" xfId="251" applyFont="1"/>
    <xf numFmtId="9" fontId="88" fillId="0" borderId="0" xfId="235" applyNumberFormat="1" applyFont="1"/>
    <xf numFmtId="9" fontId="5" fillId="0" borderId="0" xfId="259" applyFont="1"/>
    <xf numFmtId="0" fontId="5" fillId="0" borderId="0" xfId="251" applyFont="1" applyBorder="1"/>
    <xf numFmtId="0" fontId="87" fillId="0" borderId="0" xfId="235" applyAlignment="1">
      <alignment wrapText="1"/>
    </xf>
    <xf numFmtId="0" fontId="87" fillId="0" borderId="0" xfId="235" applyAlignment="1">
      <alignment horizontal="center" vertical="center" wrapText="1"/>
    </xf>
    <xf numFmtId="3" fontId="26" fillId="0" borderId="0" xfId="177" applyNumberFormat="1"/>
    <xf numFmtId="9" fontId="4" fillId="0" borderId="0" xfId="177" applyNumberFormat="1" applyFont="1" applyAlignment="1">
      <alignment horizontal="center"/>
    </xf>
    <xf numFmtId="0" fontId="4" fillId="0" borderId="0" xfId="177" applyFont="1" applyAlignment="1">
      <alignment horizontal="left"/>
    </xf>
    <xf numFmtId="9" fontId="4" fillId="0" borderId="0" xfId="177" applyNumberFormat="1" applyFont="1"/>
    <xf numFmtId="9" fontId="4" fillId="0" borderId="0" xfId="259" applyFont="1" applyAlignment="1">
      <alignment horizontal="center"/>
    </xf>
    <xf numFmtId="3" fontId="4" fillId="0" borderId="0" xfId="177" applyNumberFormat="1" applyFont="1" applyAlignment="1">
      <alignment horizontal="center"/>
    </xf>
    <xf numFmtId="9" fontId="68" fillId="0" borderId="0" xfId="259" applyFont="1" applyAlignment="1">
      <alignment horizontal="center"/>
    </xf>
    <xf numFmtId="0" fontId="4" fillId="0" borderId="0" xfId="177" applyFont="1"/>
    <xf numFmtId="0" fontId="26" fillId="0" borderId="0" xfId="177" applyAlignment="1">
      <alignment horizontal="center" vertical="center"/>
    </xf>
    <xf numFmtId="0" fontId="4" fillId="0" borderId="0" xfId="177" applyFont="1" applyAlignment="1">
      <alignment horizontal="center" vertical="center"/>
    </xf>
    <xf numFmtId="3" fontId="4" fillId="0" borderId="0" xfId="177" applyNumberFormat="1" applyFont="1" applyAlignment="1">
      <alignment horizontal="center" vertical="center"/>
    </xf>
    <xf numFmtId="0" fontId="4" fillId="0" borderId="0" xfId="177" applyFont="1" applyAlignment="1">
      <alignment horizontal="center" vertical="center" wrapText="1"/>
    </xf>
    <xf numFmtId="0" fontId="26" fillId="0" borderId="0" xfId="177" applyFont="1"/>
    <xf numFmtId="0" fontId="95" fillId="0" borderId="0" xfId="177" applyFont="1"/>
    <xf numFmtId="9" fontId="26" fillId="0" borderId="0" xfId="177" applyNumberFormat="1"/>
    <xf numFmtId="0" fontId="99" fillId="0" borderId="0" xfId="177" applyFont="1"/>
    <xf numFmtId="0" fontId="4" fillId="0" borderId="0" xfId="252" applyFont="1"/>
    <xf numFmtId="0" fontId="68" fillId="0" borderId="0" xfId="252" applyFont="1"/>
    <xf numFmtId="9" fontId="4" fillId="0" borderId="0" xfId="252" applyNumberFormat="1" applyFont="1" applyAlignment="1">
      <alignment horizontal="center"/>
    </xf>
    <xf numFmtId="9" fontId="4" fillId="0" borderId="0" xfId="254" applyFont="1" applyAlignment="1">
      <alignment horizontal="center"/>
    </xf>
    <xf numFmtId="3" fontId="4" fillId="0" borderId="0" xfId="252" applyNumberFormat="1" applyFont="1" applyAlignment="1">
      <alignment horizontal="center"/>
    </xf>
    <xf numFmtId="9" fontId="4" fillId="0" borderId="0" xfId="252" applyNumberFormat="1" applyFont="1"/>
    <xf numFmtId="3" fontId="4" fillId="0" borderId="0" xfId="252" applyNumberFormat="1" applyFont="1"/>
    <xf numFmtId="0" fontId="4" fillId="0" borderId="0" xfId="252" applyFont="1" applyAlignment="1">
      <alignment wrapText="1"/>
    </xf>
    <xf numFmtId="0" fontId="4" fillId="0" borderId="0" xfId="252" applyFont="1" applyAlignment="1">
      <alignment horizontal="center" vertical="center" wrapText="1"/>
    </xf>
    <xf numFmtId="9" fontId="34" fillId="0" borderId="0" xfId="7" applyFont="1" applyBorder="1"/>
    <xf numFmtId="1" fontId="0" fillId="0" borderId="0" xfId="0" applyNumberFormat="1"/>
    <xf numFmtId="3" fontId="100" fillId="0" borderId="0" xfId="0" applyNumberFormat="1" applyFont="1"/>
    <xf numFmtId="0" fontId="0" fillId="0" borderId="0" xfId="0" applyAlignment="1">
      <alignment horizontal="center" vertical="center" wrapText="1"/>
    </xf>
    <xf numFmtId="0" fontId="95" fillId="0" borderId="0" xfId="0" applyFont="1"/>
    <xf numFmtId="3" fontId="95" fillId="0" borderId="0" xfId="0" applyNumberFormat="1" applyFont="1"/>
    <xf numFmtId="0" fontId="0" fillId="0" borderId="0" xfId="0" applyAlignment="1">
      <alignment horizontal="center" wrapText="1"/>
    </xf>
    <xf numFmtId="0" fontId="102" fillId="0" borderId="19" xfId="0" applyFont="1" applyBorder="1" applyAlignment="1">
      <alignment horizontal="center" wrapText="1"/>
    </xf>
    <xf numFmtId="0" fontId="102" fillId="0" borderId="19" xfId="0" applyFont="1" applyBorder="1" applyAlignment="1">
      <alignment horizontal="center" vertical="center" wrapText="1"/>
    </xf>
    <xf numFmtId="0" fontId="102" fillId="0" borderId="20" xfId="0" applyFont="1" applyBorder="1" applyAlignment="1">
      <alignment vertical="center"/>
    </xf>
    <xf numFmtId="3" fontId="102" fillId="0" borderId="20" xfId="0" applyNumberFormat="1" applyFont="1" applyBorder="1" applyAlignment="1">
      <alignment horizontal="center" vertical="center"/>
    </xf>
    <xf numFmtId="9" fontId="102" fillId="0" borderId="20" xfId="7" applyFont="1" applyBorder="1" applyAlignment="1">
      <alignment horizontal="center" vertical="center"/>
    </xf>
    <xf numFmtId="0" fontId="102" fillId="0" borderId="0" xfId="0" applyFont="1" applyBorder="1" applyAlignment="1">
      <alignment vertical="center"/>
    </xf>
    <xf numFmtId="3" fontId="102" fillId="0" borderId="0" xfId="0" applyNumberFormat="1" applyFont="1" applyBorder="1" applyAlignment="1">
      <alignment horizontal="center" vertical="center"/>
    </xf>
    <xf numFmtId="9" fontId="102" fillId="0" borderId="0" xfId="7" applyFont="1" applyBorder="1" applyAlignment="1">
      <alignment horizontal="center" vertical="center"/>
    </xf>
    <xf numFmtId="0" fontId="102" fillId="0" borderId="0" xfId="0" applyFont="1" applyBorder="1" applyAlignment="1">
      <alignment vertical="center" wrapText="1"/>
    </xf>
    <xf numFmtId="0" fontId="102" fillId="0" borderId="2" xfId="0" applyFont="1" applyBorder="1" applyAlignment="1">
      <alignment vertical="center"/>
    </xf>
    <xf numFmtId="3" fontId="102" fillId="0" borderId="2" xfId="0" applyNumberFormat="1" applyFont="1" applyBorder="1" applyAlignment="1">
      <alignment horizontal="center" vertical="center"/>
    </xf>
    <xf numFmtId="9" fontId="102" fillId="0" borderId="2" xfId="7" applyFont="1" applyBorder="1" applyAlignment="1">
      <alignment horizontal="center" vertical="center"/>
    </xf>
    <xf numFmtId="0" fontId="34" fillId="0" borderId="0" xfId="171" applyFont="1" applyBorder="1"/>
    <xf numFmtId="9" fontId="87" fillId="0" borderId="0" xfId="173" applyFont="1" applyBorder="1"/>
    <xf numFmtId="168" fontId="34" fillId="0" borderId="0" xfId="171" applyNumberFormat="1" applyFont="1" applyBorder="1"/>
    <xf numFmtId="0" fontId="3" fillId="0" borderId="0" xfId="251" applyFont="1"/>
    <xf numFmtId="0" fontId="3" fillId="0" borderId="0" xfId="251" applyFont="1" applyBorder="1"/>
    <xf numFmtId="165" fontId="87" fillId="0" borderId="0" xfId="7" applyNumberFormat="1" applyFont="1"/>
    <xf numFmtId="0" fontId="87" fillId="0" borderId="0" xfId="235" applyBorder="1"/>
    <xf numFmtId="3" fontId="87" fillId="0" borderId="0" xfId="235" applyNumberFormat="1" applyAlignment="1">
      <alignment horizontal="center"/>
    </xf>
    <xf numFmtId="165" fontId="87" fillId="0" borderId="0" xfId="7" applyNumberFormat="1" applyFont="1" applyAlignment="1">
      <alignment horizontal="center"/>
    </xf>
    <xf numFmtId="1" fontId="87" fillId="0" borderId="0" xfId="235" applyNumberFormat="1" applyAlignment="1">
      <alignment horizontal="center"/>
    </xf>
    <xf numFmtId="165" fontId="0" fillId="0" borderId="0" xfId="259" applyNumberFormat="1" applyFont="1" applyAlignment="1">
      <alignment horizontal="center"/>
    </xf>
    <xf numFmtId="1" fontId="87" fillId="0" borderId="0" xfId="7" applyNumberFormat="1" applyFont="1" applyAlignment="1">
      <alignment horizontal="center"/>
    </xf>
    <xf numFmtId="0" fontId="87" fillId="0" borderId="0" xfId="286" applyFont="1"/>
    <xf numFmtId="0" fontId="87" fillId="0" borderId="0" xfId="286" applyFont="1" applyAlignment="1">
      <alignment horizontal="center"/>
    </xf>
    <xf numFmtId="3" fontId="87" fillId="0" borderId="0" xfId="286" applyNumberFormat="1" applyFont="1" applyAlignment="1">
      <alignment horizontal="center"/>
    </xf>
    <xf numFmtId="9" fontId="87" fillId="0" borderId="0" xfId="287" applyFont="1" applyAlignment="1">
      <alignment horizontal="center"/>
    </xf>
    <xf numFmtId="165" fontId="87" fillId="0" borderId="0" xfId="286" applyNumberFormat="1" applyFont="1" applyAlignment="1">
      <alignment horizontal="center"/>
    </xf>
    <xf numFmtId="9" fontId="87" fillId="0" borderId="0" xfId="287" applyFont="1"/>
    <xf numFmtId="165" fontId="87" fillId="0" borderId="0" xfId="287" applyNumberFormat="1" applyFont="1"/>
    <xf numFmtId="3" fontId="87" fillId="0" borderId="0" xfId="286" applyNumberFormat="1" applyFont="1"/>
    <xf numFmtId="9" fontId="87" fillId="0" borderId="0" xfId="286" applyNumberFormat="1" applyFont="1"/>
    <xf numFmtId="9" fontId="87" fillId="0" borderId="0" xfId="287" applyFont="1" applyAlignment="1">
      <alignment horizontal="center" wrapText="1"/>
    </xf>
    <xf numFmtId="3" fontId="103" fillId="0" borderId="0" xfId="286" applyNumberFormat="1" applyFont="1" applyAlignment="1">
      <alignment horizontal="center"/>
    </xf>
    <xf numFmtId="2" fontId="103" fillId="0" borderId="0" xfId="286" applyNumberFormat="1" applyFont="1" applyAlignment="1">
      <alignment horizontal="center"/>
    </xf>
    <xf numFmtId="3" fontId="104" fillId="0" borderId="0" xfId="286" applyNumberFormat="1" applyFont="1" applyAlignment="1">
      <alignment horizontal="center"/>
    </xf>
    <xf numFmtId="9" fontId="87" fillId="0" borderId="0" xfId="286" applyNumberFormat="1" applyFont="1" applyAlignment="1">
      <alignment horizontal="center"/>
    </xf>
    <xf numFmtId="4" fontId="87" fillId="0" borderId="0" xfId="286" applyNumberFormat="1" applyFont="1" applyAlignment="1">
      <alignment horizontal="center"/>
    </xf>
    <xf numFmtId="3" fontId="87" fillId="0" borderId="0" xfId="286" applyNumberFormat="1" applyFont="1" applyFill="1" applyAlignment="1">
      <alignment horizontal="center"/>
    </xf>
    <xf numFmtId="9" fontId="104" fillId="0" borderId="0" xfId="287" applyFont="1" applyAlignment="1">
      <alignment horizontal="center"/>
    </xf>
    <xf numFmtId="0" fontId="104" fillId="0" borderId="0" xfId="286" applyFont="1" applyAlignment="1">
      <alignment horizontal="center"/>
    </xf>
    <xf numFmtId="9" fontId="87" fillId="0" borderId="0" xfId="287" applyFont="1" applyBorder="1" applyAlignment="1">
      <alignment horizontal="center"/>
    </xf>
    <xf numFmtId="9" fontId="87" fillId="0" borderId="21" xfId="287" applyFont="1" applyBorder="1" applyAlignment="1">
      <alignment horizontal="center"/>
    </xf>
    <xf numFmtId="3" fontId="87" fillId="0" borderId="21" xfId="286" applyNumberFormat="1" applyFont="1" applyBorder="1" applyAlignment="1">
      <alignment horizontal="center"/>
    </xf>
    <xf numFmtId="3" fontId="87" fillId="0" borderId="0" xfId="286" applyNumberFormat="1" applyFont="1" applyBorder="1" applyAlignment="1">
      <alignment horizontal="center"/>
    </xf>
    <xf numFmtId="3" fontId="87" fillId="0" borderId="0" xfId="286" applyNumberFormat="1" applyFont="1" applyAlignment="1"/>
    <xf numFmtId="0" fontId="87" fillId="0" borderId="0" xfId="286" applyFont="1" applyAlignment="1">
      <alignment horizontal="center" wrapText="1"/>
    </xf>
    <xf numFmtId="3" fontId="87" fillId="0" borderId="0" xfId="286" applyNumberFormat="1" applyFont="1" applyAlignment="1">
      <alignment horizontal="center" wrapText="1"/>
    </xf>
    <xf numFmtId="1" fontId="103" fillId="0" borderId="0" xfId="286" applyNumberFormat="1" applyFont="1" applyAlignment="1">
      <alignment horizontal="center"/>
    </xf>
    <xf numFmtId="3" fontId="88" fillId="0" borderId="0" xfId="286" applyNumberFormat="1" applyFont="1" applyAlignment="1">
      <alignment horizontal="center"/>
    </xf>
    <xf numFmtId="9" fontId="103" fillId="0" borderId="0" xfId="287" applyFont="1" applyAlignment="1">
      <alignment horizontal="center"/>
    </xf>
    <xf numFmtId="3" fontId="103" fillId="0" borderId="0" xfId="286" applyNumberFormat="1" applyFont="1" applyFill="1" applyAlignment="1">
      <alignment horizontal="center"/>
    </xf>
    <xf numFmtId="0" fontId="87" fillId="0" borderId="0" xfId="286" applyFont="1" applyAlignment="1">
      <alignment horizontal="center" vertical="center" wrapText="1"/>
    </xf>
    <xf numFmtId="0" fontId="103" fillId="0" borderId="0" xfId="286" applyFont="1" applyAlignment="1">
      <alignment horizontal="center"/>
    </xf>
    <xf numFmtId="0" fontId="104" fillId="0" borderId="0" xfId="286" applyFont="1" applyAlignment="1">
      <alignment horizontal="center" vertical="center" wrapText="1"/>
    </xf>
    <xf numFmtId="0" fontId="105" fillId="0" borderId="0" xfId="286" applyFont="1" applyAlignment="1">
      <alignment wrapText="1"/>
    </xf>
    <xf numFmtId="0" fontId="105" fillId="0" borderId="0" xfId="286" applyFont="1" applyAlignment="1">
      <alignment horizontal="center" vertical="center" wrapText="1"/>
    </xf>
    <xf numFmtId="0" fontId="87" fillId="0" borderId="0" xfId="286" applyFont="1" applyFill="1" applyAlignment="1">
      <alignment horizontal="center" vertical="center" wrapText="1"/>
    </xf>
    <xf numFmtId="0" fontId="105" fillId="0" borderId="0" xfId="286" applyFont="1"/>
    <xf numFmtId="0" fontId="87" fillId="0" borderId="0" xfId="286" applyFont="1" applyFill="1"/>
    <xf numFmtId="165" fontId="34" fillId="0" borderId="0" xfId="7" applyNumberFormat="1" applyFont="1" applyAlignment="1">
      <alignment horizontal="center"/>
    </xf>
    <xf numFmtId="165" fontId="34" fillId="0" borderId="0" xfId="171" applyNumberFormat="1" applyFont="1" applyAlignment="1">
      <alignment horizontal="center"/>
    </xf>
    <xf numFmtId="0" fontId="34" fillId="0" borderId="2" xfId="171" applyFont="1" applyBorder="1" applyAlignment="1">
      <alignment horizontal="center" vertical="center" wrapText="1"/>
    </xf>
    <xf numFmtId="0" fontId="34" fillId="0" borderId="0" xfId="171" applyFont="1" applyAlignment="1">
      <alignment horizontal="center" vertical="center" wrapText="1"/>
    </xf>
    <xf numFmtId="165" fontId="34" fillId="0" borderId="0" xfId="171" applyNumberFormat="1" applyFont="1" applyBorder="1" applyAlignment="1">
      <alignment horizontal="center"/>
    </xf>
    <xf numFmtId="9" fontId="85" fillId="0" borderId="0" xfId="7" applyFont="1" applyBorder="1" applyAlignment="1">
      <alignment horizontal="center"/>
    </xf>
    <xf numFmtId="165" fontId="34" fillId="0" borderId="0" xfId="7" applyNumberFormat="1" applyFont="1" applyBorder="1" applyAlignment="1">
      <alignment horizontal="center"/>
    </xf>
    <xf numFmtId="9" fontId="34" fillId="0" borderId="0" xfId="7" applyNumberFormat="1" applyFont="1" applyBorder="1" applyAlignment="1">
      <alignment horizontal="center"/>
    </xf>
    <xf numFmtId="165" fontId="34" fillId="0" borderId="2" xfId="171" applyNumberFormat="1" applyFont="1" applyBorder="1" applyAlignment="1">
      <alignment horizontal="center"/>
    </xf>
    <xf numFmtId="9" fontId="34" fillId="0" borderId="2" xfId="7" applyFont="1" applyBorder="1" applyAlignment="1">
      <alignment horizontal="center"/>
    </xf>
    <xf numFmtId="165" fontId="34" fillId="0" borderId="2" xfId="7" applyNumberFormat="1" applyFont="1" applyBorder="1" applyAlignment="1">
      <alignment horizontal="center"/>
    </xf>
    <xf numFmtId="0" fontId="2" fillId="0" borderId="0" xfId="230" applyFont="1" applyBorder="1" applyAlignment="1">
      <alignment horizontal="center" vertical="center" wrapText="1"/>
    </xf>
    <xf numFmtId="0" fontId="0" fillId="0" borderId="0" xfId="230" applyFont="1" applyBorder="1" applyAlignment="1">
      <alignment horizontal="center" vertical="center" wrapText="1"/>
    </xf>
    <xf numFmtId="0" fontId="67" fillId="0" borderId="0" xfId="230" applyFont="1" applyBorder="1" applyAlignment="1">
      <alignment horizontal="center" vertical="center" wrapText="1"/>
    </xf>
    <xf numFmtId="9" fontId="0" fillId="0" borderId="0" xfId="0" applyNumberFormat="1"/>
    <xf numFmtId="9" fontId="87" fillId="0" borderId="2" xfId="160" applyNumberFormat="1" applyFont="1" applyBorder="1"/>
    <xf numFmtId="0" fontId="106" fillId="0" borderId="0" xfId="0" applyFont="1"/>
    <xf numFmtId="0" fontId="106" fillId="0" borderId="0" xfId="0" applyFont="1" applyAlignment="1">
      <alignment wrapText="1"/>
    </xf>
    <xf numFmtId="9" fontId="106" fillId="0" borderId="0" xfId="7" applyFont="1"/>
    <xf numFmtId="9" fontId="106" fillId="0" borderId="0" xfId="7" applyFont="1" applyAlignment="1">
      <alignment wrapText="1"/>
    </xf>
    <xf numFmtId="9" fontId="106" fillId="0" borderId="0" xfId="0" applyNumberFormat="1" applyFont="1"/>
    <xf numFmtId="0" fontId="106" fillId="0" borderId="2" xfId="162" applyFont="1" applyBorder="1"/>
    <xf numFmtId="9" fontId="106" fillId="0" borderId="2" xfId="7" applyFont="1" applyBorder="1"/>
    <xf numFmtId="9" fontId="107" fillId="0" borderId="0" xfId="7" applyFont="1" applyAlignment="1">
      <alignment wrapText="1"/>
    </xf>
    <xf numFmtId="9" fontId="106" fillId="0" borderId="0" xfId="7" applyNumberFormat="1" applyFont="1"/>
    <xf numFmtId="9" fontId="106" fillId="0" borderId="2" xfId="7" applyNumberFormat="1" applyFont="1" applyBorder="1"/>
    <xf numFmtId="0" fontId="106" fillId="0" borderId="0" xfId="0" applyFont="1" applyBorder="1"/>
    <xf numFmtId="0" fontId="106" fillId="0" borderId="0" xfId="0" applyFont="1" applyBorder="1" applyAlignment="1">
      <alignment wrapText="1"/>
    </xf>
    <xf numFmtId="2" fontId="106" fillId="0" borderId="0" xfId="7" applyNumberFormat="1" applyFont="1" applyBorder="1"/>
    <xf numFmtId="9" fontId="106" fillId="0" borderId="0" xfId="7" applyFont="1" applyBorder="1"/>
    <xf numFmtId="2" fontId="106" fillId="0" borderId="0" xfId="0" applyNumberFormat="1" applyFont="1" applyBorder="1"/>
    <xf numFmtId="9" fontId="106" fillId="0" borderId="0" xfId="0" applyNumberFormat="1" applyFont="1" applyBorder="1"/>
    <xf numFmtId="2" fontId="106" fillId="0" borderId="0" xfId="160" applyNumberFormat="1" applyFont="1" applyBorder="1"/>
    <xf numFmtId="0" fontId="106" fillId="0" borderId="2" xfId="0" applyFont="1" applyBorder="1"/>
    <xf numFmtId="2" fontId="106" fillId="0" borderId="2" xfId="0" applyNumberFormat="1" applyFont="1" applyBorder="1"/>
    <xf numFmtId="0" fontId="106" fillId="0" borderId="2" xfId="0" applyFont="1" applyBorder="1" applyAlignment="1">
      <alignment wrapText="1"/>
    </xf>
    <xf numFmtId="0" fontId="106" fillId="0" borderId="1" xfId="162" applyFont="1" applyBorder="1" applyAlignment="1">
      <alignment vertical="center" wrapText="1"/>
    </xf>
    <xf numFmtId="0" fontId="106" fillId="0" borderId="0" xfId="0" applyFont="1" applyBorder="1" applyAlignment="1">
      <alignment vertical="center" wrapText="1"/>
    </xf>
    <xf numFmtId="9" fontId="5" fillId="0" borderId="0" xfId="259" applyFont="1" applyBorder="1"/>
    <xf numFmtId="0" fontId="87" fillId="0" borderId="0" xfId="0" applyFont="1" applyAlignment="1">
      <alignment horizontal="center" vertical="center" wrapText="1"/>
    </xf>
    <xf numFmtId="171" fontId="34" fillId="0" borderId="0" xfId="7" applyNumberFormat="1" applyFont="1"/>
    <xf numFmtId="0" fontId="109" fillId="0" borderId="19" xfId="0" applyFont="1" applyBorder="1" applyAlignment="1">
      <alignment horizontal="center" vertical="center" wrapText="1"/>
    </xf>
    <xf numFmtId="0" fontId="110" fillId="0" borderId="19" xfId="0" applyFont="1" applyBorder="1" applyAlignment="1">
      <alignment horizontal="center" vertical="center" wrapText="1"/>
    </xf>
    <xf numFmtId="0" fontId="109" fillId="0" borderId="20" xfId="0" applyFont="1" applyBorder="1" applyAlignment="1">
      <alignment vertical="center"/>
    </xf>
    <xf numFmtId="0" fontId="109" fillId="0" borderId="0" xfId="0" applyFont="1" applyBorder="1"/>
    <xf numFmtId="9" fontId="109" fillId="0" borderId="0" xfId="7" applyFont="1" applyBorder="1" applyAlignment="1">
      <alignment horizontal="center"/>
    </xf>
    <xf numFmtId="165" fontId="109" fillId="0" borderId="0" xfId="7" applyNumberFormat="1" applyFont="1" applyBorder="1" applyAlignment="1">
      <alignment horizontal="center"/>
    </xf>
    <xf numFmtId="170" fontId="110" fillId="0" borderId="0" xfId="7" applyNumberFormat="1" applyFont="1" applyBorder="1" applyAlignment="1">
      <alignment horizontal="center"/>
    </xf>
    <xf numFmtId="0" fontId="109" fillId="0" borderId="21" xfId="0" applyFont="1" applyBorder="1"/>
    <xf numFmtId="9" fontId="109" fillId="0" borderId="21" xfId="7" applyFont="1" applyBorder="1" applyAlignment="1">
      <alignment horizontal="center"/>
    </xf>
    <xf numFmtId="170" fontId="110" fillId="0" borderId="21" xfId="7" applyNumberFormat="1" applyFont="1" applyBorder="1" applyAlignment="1">
      <alignment horizontal="center"/>
    </xf>
    <xf numFmtId="165" fontId="109" fillId="0" borderId="21" xfId="7" applyNumberFormat="1" applyFont="1" applyBorder="1" applyAlignment="1">
      <alignment horizontal="center"/>
    </xf>
    <xf numFmtId="0" fontId="109" fillId="0" borderId="0" xfId="0" applyFont="1"/>
    <xf numFmtId="0" fontId="109" fillId="0" borderId="2" xfId="0" applyFont="1" applyBorder="1"/>
    <xf numFmtId="9" fontId="109" fillId="0" borderId="2" xfId="7" applyFont="1" applyBorder="1" applyAlignment="1">
      <alignment horizontal="center"/>
    </xf>
    <xf numFmtId="170" fontId="110" fillId="0" borderId="2" xfId="7" applyNumberFormat="1" applyFont="1" applyBorder="1" applyAlignment="1">
      <alignment horizontal="center"/>
    </xf>
    <xf numFmtId="165" fontId="109" fillId="0" borderId="2" xfId="7" applyNumberFormat="1" applyFont="1" applyBorder="1" applyAlignment="1">
      <alignment horizontal="center"/>
    </xf>
    <xf numFmtId="0" fontId="112" fillId="0" borderId="19" xfId="0" applyFont="1" applyBorder="1" applyAlignment="1">
      <alignment horizontal="center" vertical="center" wrapText="1"/>
    </xf>
    <xf numFmtId="0" fontId="113" fillId="0" borderId="19" xfId="0" applyFont="1" applyBorder="1" applyAlignment="1">
      <alignment horizontal="center" vertical="center" wrapText="1"/>
    </xf>
    <xf numFmtId="0" fontId="114" fillId="0" borderId="19" xfId="0" applyFont="1" applyBorder="1" applyAlignment="1">
      <alignment horizontal="center" vertical="center" wrapText="1"/>
    </xf>
    <xf numFmtId="0" fontId="112" fillId="0" borderId="20" xfId="0" applyFont="1" applyBorder="1" applyAlignment="1">
      <alignment vertical="center"/>
    </xf>
    <xf numFmtId="0" fontId="112" fillId="0" borderId="0" xfId="0" applyFont="1" applyBorder="1"/>
    <xf numFmtId="3" fontId="113" fillId="0" borderId="0" xfId="0" applyNumberFormat="1" applyFont="1" applyBorder="1" applyAlignment="1">
      <alignment horizontal="center"/>
    </xf>
    <xf numFmtId="3" fontId="114" fillId="0" borderId="0" xfId="0" applyNumberFormat="1" applyFont="1" applyBorder="1" applyAlignment="1">
      <alignment horizontal="center"/>
    </xf>
    <xf numFmtId="1" fontId="114" fillId="0" borderId="0" xfId="0" applyNumberFormat="1" applyFont="1" applyBorder="1" applyAlignment="1">
      <alignment horizontal="center"/>
    </xf>
    <xf numFmtId="9" fontId="112" fillId="0" borderId="0" xfId="7" applyFont="1" applyBorder="1" applyAlignment="1">
      <alignment horizontal="center"/>
    </xf>
    <xf numFmtId="9" fontId="112" fillId="0" borderId="0" xfId="0" applyNumberFormat="1" applyFont="1" applyBorder="1" applyAlignment="1">
      <alignment horizontal="center"/>
    </xf>
    <xf numFmtId="0" fontId="112" fillId="0" borderId="21" xfId="0" applyFont="1" applyBorder="1"/>
    <xf numFmtId="3" fontId="113" fillId="0" borderId="21" xfId="0" applyNumberFormat="1" applyFont="1" applyBorder="1" applyAlignment="1">
      <alignment horizontal="center"/>
    </xf>
    <xf numFmtId="3" fontId="114" fillId="0" borderId="21" xfId="0" applyNumberFormat="1" applyFont="1" applyBorder="1" applyAlignment="1">
      <alignment horizontal="center"/>
    </xf>
    <xf numFmtId="1" fontId="114" fillId="0" borderId="21" xfId="0" applyNumberFormat="1" applyFont="1" applyBorder="1" applyAlignment="1">
      <alignment horizontal="center"/>
    </xf>
    <xf numFmtId="9" fontId="112" fillId="0" borderId="21" xfId="7" applyFont="1" applyBorder="1" applyAlignment="1">
      <alignment horizontal="center"/>
    </xf>
    <xf numFmtId="9" fontId="112" fillId="0" borderId="21" xfId="0" applyNumberFormat="1" applyFont="1" applyBorder="1" applyAlignment="1">
      <alignment horizontal="center"/>
    </xf>
    <xf numFmtId="0" fontId="112" fillId="0" borderId="0" xfId="0" applyFont="1"/>
    <xf numFmtId="3" fontId="112" fillId="0" borderId="0" xfId="0" applyNumberFormat="1" applyFont="1" applyBorder="1" applyAlignment="1">
      <alignment horizontal="center"/>
    </xf>
    <xf numFmtId="0" fontId="112" fillId="0" borderId="2" xfId="0" applyFont="1" applyBorder="1"/>
    <xf numFmtId="3" fontId="113" fillId="0" borderId="2" xfId="0" applyNumberFormat="1" applyFont="1" applyBorder="1" applyAlignment="1">
      <alignment horizontal="center"/>
    </xf>
    <xf numFmtId="3" fontId="112" fillId="0" borderId="2" xfId="0" applyNumberFormat="1" applyFont="1" applyBorder="1" applyAlignment="1">
      <alignment horizontal="center"/>
    </xf>
    <xf numFmtId="9" fontId="112" fillId="0" borderId="2" xfId="7" applyFont="1" applyBorder="1" applyAlignment="1">
      <alignment horizontal="center"/>
    </xf>
    <xf numFmtId="9" fontId="112" fillId="0" borderId="2" xfId="0" applyNumberFormat="1" applyFont="1" applyBorder="1" applyAlignment="1">
      <alignment horizontal="center"/>
    </xf>
    <xf numFmtId="3" fontId="113" fillId="0" borderId="20" xfId="0" applyNumberFormat="1" applyFont="1" applyBorder="1" applyAlignment="1">
      <alignment horizontal="center" vertical="center"/>
    </xf>
    <xf numFmtId="0" fontId="113" fillId="0" borderId="20" xfId="0" applyFont="1" applyBorder="1" applyAlignment="1">
      <alignment horizontal="center" vertical="center"/>
    </xf>
    <xf numFmtId="0" fontId="112" fillId="0" borderId="20" xfId="0" applyFont="1" applyBorder="1" applyAlignment="1">
      <alignment horizontal="center" vertical="center"/>
    </xf>
    <xf numFmtId="0" fontId="113" fillId="0" borderId="0" xfId="0" applyFont="1" applyBorder="1" applyAlignment="1">
      <alignment horizontal="center" vertical="center"/>
    </xf>
    <xf numFmtId="0" fontId="112" fillId="0" borderId="0" xfId="0" applyFont="1" applyBorder="1" applyAlignment="1">
      <alignment horizontal="center" vertical="center"/>
    </xf>
    <xf numFmtId="3" fontId="111" fillId="0" borderId="20" xfId="0" applyNumberFormat="1" applyFont="1" applyBorder="1" applyAlignment="1">
      <alignment horizontal="center" vertical="center"/>
    </xf>
    <xf numFmtId="0" fontId="111" fillId="0" borderId="20" xfId="0" applyFont="1" applyBorder="1" applyAlignment="1">
      <alignment horizontal="center" vertical="center"/>
    </xf>
    <xf numFmtId="0" fontId="4" fillId="0" borderId="0" xfId="252" applyFont="1" applyAlignment="1">
      <alignment horizontal="center"/>
    </xf>
    <xf numFmtId="0" fontId="108" fillId="0" borderId="0" xfId="0" applyFont="1" applyBorder="1" applyAlignment="1">
      <alignment horizontal="center"/>
    </xf>
    <xf numFmtId="0" fontId="108" fillId="0" borderId="19" xfId="0" applyFont="1" applyBorder="1" applyAlignment="1">
      <alignment horizontal="center" vertical="center"/>
    </xf>
    <xf numFmtId="0" fontId="108" fillId="0" borderId="0" xfId="0" applyFont="1" applyBorder="1" applyAlignment="1">
      <alignment horizontal="center" vertical="center"/>
    </xf>
    <xf numFmtId="0" fontId="108" fillId="0" borderId="19" xfId="162" applyFont="1" applyBorder="1" applyAlignment="1">
      <alignment horizontal="center" wrapText="1"/>
    </xf>
    <xf numFmtId="0" fontId="108" fillId="0" borderId="0" xfId="0" applyFont="1" applyBorder="1" applyAlignment="1">
      <alignment horizontal="center" vertical="center" wrapText="1"/>
    </xf>
    <xf numFmtId="0" fontId="108" fillId="0" borderId="19" xfId="162" applyFont="1" applyBorder="1" applyAlignment="1">
      <alignment horizontal="center" vertical="center" wrapText="1"/>
    </xf>
    <xf numFmtId="0" fontId="87" fillId="0" borderId="0" xfId="0" applyFont="1" applyAlignment="1">
      <alignment horizontal="center"/>
    </xf>
    <xf numFmtId="0" fontId="87" fillId="0" borderId="0" xfId="0" applyFont="1" applyAlignment="1">
      <alignment horizontal="left" wrapText="1"/>
    </xf>
    <xf numFmtId="0" fontId="87" fillId="0" borderId="2" xfId="0" applyFont="1" applyBorder="1" applyAlignment="1">
      <alignment horizontal="center"/>
    </xf>
  </cellXfs>
  <cellStyles count="426">
    <cellStyle name="20% - Accent1" xfId="131" builtinId="30" customBuiltin="1"/>
    <cellStyle name="20% - Accent1 2" xfId="30"/>
    <cellStyle name="20% - Accent2" xfId="135" builtinId="34" customBuiltin="1"/>
    <cellStyle name="20% - Accent2 2" xfId="31"/>
    <cellStyle name="20% - Accent3" xfId="139" builtinId="38" customBuiltin="1"/>
    <cellStyle name="20% - Accent3 2" xfId="32"/>
    <cellStyle name="20% - Accent4" xfId="143" builtinId="42" customBuiltin="1"/>
    <cellStyle name="20% - Accent4 2" xfId="33"/>
    <cellStyle name="20% - Accent5" xfId="147" builtinId="46" customBuiltin="1"/>
    <cellStyle name="20% - Accent5 2" xfId="34"/>
    <cellStyle name="20% - Accent6" xfId="151" builtinId="50" customBuiltin="1"/>
    <cellStyle name="20% - Accent6 2" xfId="35"/>
    <cellStyle name="40% - Accent1" xfId="132" builtinId="31" customBuiltin="1"/>
    <cellStyle name="40% - Accent1 2" xfId="36"/>
    <cellStyle name="40% - Accent2" xfId="136" builtinId="35" customBuiltin="1"/>
    <cellStyle name="40% - Accent2 2" xfId="37"/>
    <cellStyle name="40% - Accent3" xfId="140" builtinId="39" customBuiltin="1"/>
    <cellStyle name="40% - Accent3 2" xfId="38"/>
    <cellStyle name="40% - Accent4" xfId="144" builtinId="43" customBuiltin="1"/>
    <cellStyle name="40% - Accent4 2" xfId="39"/>
    <cellStyle name="40% - Accent5" xfId="148" builtinId="47" customBuiltin="1"/>
    <cellStyle name="40% - Accent5 2" xfId="40"/>
    <cellStyle name="40% - Accent6" xfId="152" builtinId="51" customBuiltin="1"/>
    <cellStyle name="40% - Accent6 2" xfId="41"/>
    <cellStyle name="60% - Accent1" xfId="133" builtinId="32" customBuiltin="1"/>
    <cellStyle name="60% - Accent1 2" xfId="42"/>
    <cellStyle name="60% - Accent2" xfId="137" builtinId="36" customBuiltin="1"/>
    <cellStyle name="60% - Accent2 2" xfId="43"/>
    <cellStyle name="60% - Accent3" xfId="141" builtinId="40" customBuiltin="1"/>
    <cellStyle name="60% - Accent3 2" xfId="44"/>
    <cellStyle name="60% - Accent4" xfId="145" builtinId="44" customBuiltin="1"/>
    <cellStyle name="60% - Accent4 2" xfId="45"/>
    <cellStyle name="60% - Accent5" xfId="149" builtinId="48" customBuiltin="1"/>
    <cellStyle name="60% - Accent5 2" xfId="46"/>
    <cellStyle name="60% - Accent6" xfId="153" builtinId="52" customBuiltin="1"/>
    <cellStyle name="60% - Accent6 2" xfId="47"/>
    <cellStyle name="Accent1" xfId="130" builtinId="29" customBuiltin="1"/>
    <cellStyle name="Accent1 2" xfId="48"/>
    <cellStyle name="Accent2" xfId="134" builtinId="33" customBuiltin="1"/>
    <cellStyle name="Accent2 2" xfId="49"/>
    <cellStyle name="Accent3" xfId="138" builtinId="37" customBuiltin="1"/>
    <cellStyle name="Accent3 2" xfId="50"/>
    <cellStyle name="Accent4" xfId="142" builtinId="41" customBuiltin="1"/>
    <cellStyle name="Accent4 2" xfId="51"/>
    <cellStyle name="Accent5" xfId="146" builtinId="45" customBuiltin="1"/>
    <cellStyle name="Accent5 2" xfId="52"/>
    <cellStyle name="Accent6" xfId="150" builtinId="49" customBuiltin="1"/>
    <cellStyle name="Accent6 2" xfId="53"/>
    <cellStyle name="Bad" xfId="120" builtinId="27" customBuiltin="1"/>
    <cellStyle name="Bad 2" xfId="54"/>
    <cellStyle name="Calculation" xfId="124" builtinId="22" customBuiltin="1"/>
    <cellStyle name="Calculation 2" xfId="55"/>
    <cellStyle name="Check Cell" xfId="126" builtinId="23" customBuiltin="1"/>
    <cellStyle name="Check Cell 2" xfId="56"/>
    <cellStyle name="Comma 10" xfId="206"/>
    <cellStyle name="Comma 11" xfId="220"/>
    <cellStyle name="Comma 12" xfId="236"/>
    <cellStyle name="Comma 12 2" xfId="237"/>
    <cellStyle name="Comma 13" xfId="238"/>
    <cellStyle name="Comma 2" xfId="6"/>
    <cellStyle name="Comma 2 2" xfId="19"/>
    <cellStyle name="Comma 2 2 2" xfId="164"/>
    <cellStyle name="Comma 2 3" xfId="193"/>
    <cellStyle name="Comma 3" xfId="20"/>
    <cellStyle name="Comma 3 2" xfId="197"/>
    <cellStyle name="Comma 4" xfId="21"/>
    <cellStyle name="Comma 4 2" xfId="163"/>
    <cellStyle name="Comma 5" xfId="156"/>
    <cellStyle name="Comma 5 2" xfId="239"/>
    <cellStyle name="Comma 6" xfId="170"/>
    <cellStyle name="Comma 7" xfId="187"/>
    <cellStyle name="Comma 8" xfId="190"/>
    <cellStyle name="Comma 9" xfId="203"/>
    <cellStyle name="Comma0" xfId="8"/>
    <cellStyle name="Commentaire" xfId="57"/>
    <cellStyle name="Date" xfId="58"/>
    <cellStyle name="Date 2" xfId="240"/>
    <cellStyle name="En-tête 1" xfId="59"/>
    <cellStyle name="En-tête 1 2" xfId="241"/>
    <cellStyle name="En-tête 2" xfId="60"/>
    <cellStyle name="En-tête 2 2" xfId="242"/>
    <cellStyle name="Explanatory Text" xfId="128" builtinId="53" customBuiltin="1"/>
    <cellStyle name="Explanatory Text 2" xfId="61"/>
    <cellStyle name="Financier0" xfId="62"/>
    <cellStyle name="Financier0 2" xfId="243"/>
    <cellStyle name="Followed Hyperlink" xfId="2"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3" builtinId="9" hidden="1"/>
    <cellStyle name="Followed Hyperlink" xfId="232" builtinId="9" hidden="1"/>
    <cellStyle name="Followed Hyperlink" xfId="233" builtinId="9" hidden="1"/>
    <cellStyle name="Followed Hyperlink" xfId="234"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Good" xfId="119" builtinId="26" customBuiltin="1"/>
    <cellStyle name="Good 2" xfId="63"/>
    <cellStyle name="Heading 1" xfId="115" builtinId="16" customBuiltin="1"/>
    <cellStyle name="Heading 1 2" xfId="64"/>
    <cellStyle name="Heading 2" xfId="116" builtinId="17" customBuiltin="1"/>
    <cellStyle name="Heading 2 2" xfId="65"/>
    <cellStyle name="Heading 3" xfId="117" builtinId="18" customBuiltin="1"/>
    <cellStyle name="Heading 3 2" xfId="66"/>
    <cellStyle name="Heading 4" xfId="118" builtinId="19" customBuiltin="1"/>
    <cellStyle name="Heading 4 2" xfId="67"/>
    <cellStyle name="Hyperlink" xfId="1"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2" xfId="244"/>
    <cellStyle name="Input" xfId="122" builtinId="20" customBuiltin="1"/>
    <cellStyle name="Input 2" xfId="68"/>
    <cellStyle name="Lien hypertexte 2" xfId="69"/>
    <cellStyle name="Linked Cell" xfId="125" builtinId="24" customBuiltin="1"/>
    <cellStyle name="Linked Cell 2" xfId="70"/>
    <cellStyle name="Monétaire0" xfId="71"/>
    <cellStyle name="Monétaire0 2" xfId="245"/>
    <cellStyle name="Neutral" xfId="121" builtinId="28" customBuiltin="1"/>
    <cellStyle name="Neutral 2" xfId="72"/>
    <cellStyle name="Normal" xfId="0" builtinId="0"/>
    <cellStyle name="Normal 10" xfId="154"/>
    <cellStyle name="Normal 10 2" xfId="246"/>
    <cellStyle name="Normal 11" xfId="165"/>
    <cellStyle name="Normal 11 2" xfId="224"/>
    <cellStyle name="Normal 12" xfId="167"/>
    <cellStyle name="Normal 12 2" xfId="227"/>
    <cellStyle name="Normal 13" xfId="174"/>
    <cellStyle name="Normal 13 2" xfId="288"/>
    <cellStyle name="Normal 14" xfId="176"/>
    <cellStyle name="Normal 15" xfId="186"/>
    <cellStyle name="Normal 15 2" xfId="223"/>
    <cellStyle name="Normal 15 3" xfId="247"/>
    <cellStyle name="Normal 15 4" xfId="248"/>
    <cellStyle name="Normal 16" xfId="189"/>
    <cellStyle name="Normal 17" xfId="195"/>
    <cellStyle name="Normal 18" xfId="199"/>
    <cellStyle name="Normal 19" xfId="200"/>
    <cellStyle name="Normal 2" xfId="3"/>
    <cellStyle name="Normal 2 2" xfId="183"/>
    <cellStyle name="Normal 2 2 2" xfId="249"/>
    <cellStyle name="Normal 2 3" xfId="177"/>
    <cellStyle name="Normal 2 4" xfId="192"/>
    <cellStyle name="Normal 2 5" xfId="229"/>
    <cellStyle name="Normal 2 6" xfId="250"/>
    <cellStyle name="Normal 20" xfId="201"/>
    <cellStyle name="Normal 21" xfId="202"/>
    <cellStyle name="Normal 22" xfId="205"/>
    <cellStyle name="Normal 23" xfId="209"/>
    <cellStyle name="Normal 24" xfId="210"/>
    <cellStyle name="Normal 25" xfId="211"/>
    <cellStyle name="Normal 26" xfId="212"/>
    <cellStyle name="Normal 27" xfId="213"/>
    <cellStyle name="Normal 28" xfId="214"/>
    <cellStyle name="Normal 29" xfId="218"/>
    <cellStyle name="Normal 3" xfId="4"/>
    <cellStyle name="Normal 3 2" xfId="22"/>
    <cellStyle name="Normal 3 2 2" xfId="159"/>
    <cellStyle name="Normal 3 2 2 2" xfId="251"/>
    <cellStyle name="Normal 3 2 3" xfId="172"/>
    <cellStyle name="Normal 3 2 4" xfId="198"/>
    <cellStyle name="Normal 3 2 4 2" xfId="226"/>
    <cellStyle name="Normal 3 2 5" xfId="216"/>
    <cellStyle name="Normal 3 2 6" xfId="222"/>
    <cellStyle name="Normal 3 3" xfId="157"/>
    <cellStyle name="Normal 3 4" xfId="168"/>
    <cellStyle name="Normal 3 5" xfId="171"/>
    <cellStyle name="Normal 3 6" xfId="179"/>
    <cellStyle name="Normal 3 7" xfId="194"/>
    <cellStyle name="Normal 3 8" xfId="196"/>
    <cellStyle name="Normal 3 9" xfId="215"/>
    <cellStyle name="Normal 30" xfId="221"/>
    <cellStyle name="Normal 31" xfId="228"/>
    <cellStyle name="Normal 32" xfId="230"/>
    <cellStyle name="Normal 33" xfId="231"/>
    <cellStyle name="Normal 34" xfId="235"/>
    <cellStyle name="Normal 35" xfId="289"/>
    <cellStyle name="Normal 4" xfId="23"/>
    <cellStyle name="Normal 4 2" xfId="180"/>
    <cellStyle name="Normal 4 3" xfId="208"/>
    <cellStyle name="Normal 4 4" xfId="252"/>
    <cellStyle name="Normal 4 5" xfId="253"/>
    <cellStyle name="Normal 4 5 2" xfId="286"/>
    <cellStyle name="Normal 5" xfId="24"/>
    <cellStyle name="Normal 5 2" xfId="181"/>
    <cellStyle name="Normal 6" xfId="25"/>
    <cellStyle name="Normal 6 2" xfId="162"/>
    <cellStyle name="Normal 7" xfId="73"/>
    <cellStyle name="Normal 7 2" xfId="182"/>
    <cellStyle name="Normal 8" xfId="74"/>
    <cellStyle name="Normal 8 2" xfId="185"/>
    <cellStyle name="Normal 9" xfId="75"/>
    <cellStyle name="Note 2" xfId="76"/>
    <cellStyle name="Note 3" xfId="166"/>
    <cellStyle name="Output" xfId="123" builtinId="21" customBuiltin="1"/>
    <cellStyle name="Output 2" xfId="77"/>
    <cellStyle name="Percent" xfId="7" builtinId="5"/>
    <cellStyle name="Percent 10" xfId="175"/>
    <cellStyle name="Percent 10 2" xfId="290"/>
    <cellStyle name="Percent 11" xfId="178"/>
    <cellStyle name="Percent 12" xfId="188"/>
    <cellStyle name="Percent 12 2" xfId="225"/>
    <cellStyle name="Percent 13" xfId="191"/>
    <cellStyle name="Percent 14" xfId="204"/>
    <cellStyle name="Percent 15" xfId="207"/>
    <cellStyle name="Percent 16" xfId="219"/>
    <cellStyle name="Percent 17" xfId="259"/>
    <cellStyle name="Percent 2" xfId="5"/>
    <cellStyle name="Percent 2 2" xfId="161"/>
    <cellStyle name="Percent 2 3" xfId="173"/>
    <cellStyle name="Percent 2 4" xfId="217"/>
    <cellStyle name="Percent 3" xfId="26"/>
    <cellStyle name="Percent 3 2" xfId="158"/>
    <cellStyle name="Percent 4" xfId="27"/>
    <cellStyle name="Percent 4 2" xfId="254"/>
    <cellStyle name="Percent 4 3" xfId="255"/>
    <cellStyle name="Percent 4 3 2" xfId="287"/>
    <cellStyle name="Percent 5" xfId="28"/>
    <cellStyle name="Percent 6" xfId="29"/>
    <cellStyle name="Percent 6 2" xfId="160"/>
    <cellStyle name="Percent 7" xfId="111"/>
    <cellStyle name="Percent 8" xfId="155"/>
    <cellStyle name="Percent 8 2" xfId="291"/>
    <cellStyle name="Percent 9" xfId="169"/>
    <cellStyle name="Pourcentage 2" xfId="78"/>
    <cellStyle name="Pourcentage 3" xfId="79"/>
    <cellStyle name="Pourcentage 3 2" xfId="80"/>
    <cellStyle name="Pourcentage 4" xfId="81"/>
    <cellStyle name="Pourcentage 4 2" xfId="184"/>
    <cellStyle name="Pourcentage 5" xfId="82"/>
    <cellStyle name="Satisfaisant" xfId="83"/>
    <cellStyle name="Standard 11" xfId="84"/>
    <cellStyle name="style_col_headings" xfId="85"/>
    <cellStyle name="Title" xfId="114" builtinId="15" customBuiltin="1"/>
    <cellStyle name="Titre" xfId="86"/>
    <cellStyle name="Titre 1" xfId="87"/>
    <cellStyle name="Titre 2" xfId="88"/>
    <cellStyle name="Titre 3" xfId="89"/>
    <cellStyle name="Titre 4" xfId="90"/>
    <cellStyle name="Total" xfId="129" builtinId="25" customBuiltin="1"/>
    <cellStyle name="Total 2" xfId="91"/>
    <cellStyle name="Vérification" xfId="92"/>
    <cellStyle name="Virgule fixe" xfId="93"/>
    <cellStyle name="Virgule fixe 2" xfId="256"/>
    <cellStyle name="Warning Text" xfId="127" builtinId="11" customBuiltin="1"/>
    <cellStyle name="Warning Text 2" xfId="94"/>
    <cellStyle name="一般 2 3" xfId="257"/>
    <cellStyle name="一般 3" xfId="25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chartsheet" Target="chartsheets/sheet29.xml"/><Relationship Id="rId47" Type="http://schemas.openxmlformats.org/officeDocument/2006/relationships/theme" Target="theme/theme1.xml"/><Relationship Id="rId48" Type="http://schemas.openxmlformats.org/officeDocument/2006/relationships/styles" Target="styles.xml"/><Relationship Id="rId49" Type="http://schemas.openxmlformats.org/officeDocument/2006/relationships/sharedStrings" Target="sharedStrings.xml"/><Relationship Id="rId20" Type="http://schemas.openxmlformats.org/officeDocument/2006/relationships/chartsheet" Target="chartsheets/sheet11.xml"/><Relationship Id="rId21" Type="http://schemas.openxmlformats.org/officeDocument/2006/relationships/worksheet" Target="worksheets/sheet10.xml"/><Relationship Id="rId22" Type="http://schemas.openxmlformats.org/officeDocument/2006/relationships/chartsheet" Target="chartsheets/sheet12.xml"/><Relationship Id="rId23" Type="http://schemas.openxmlformats.org/officeDocument/2006/relationships/chartsheet" Target="chartsheets/sheet13.xml"/><Relationship Id="rId24" Type="http://schemas.openxmlformats.org/officeDocument/2006/relationships/chartsheet" Target="chartsheets/sheet14.xml"/><Relationship Id="rId25" Type="http://schemas.openxmlformats.org/officeDocument/2006/relationships/worksheet" Target="worksheets/sheet11.xml"/><Relationship Id="rId26" Type="http://schemas.openxmlformats.org/officeDocument/2006/relationships/chartsheet" Target="chartsheets/sheet15.xml"/><Relationship Id="rId27" Type="http://schemas.openxmlformats.org/officeDocument/2006/relationships/worksheet" Target="worksheets/sheet12.xml"/><Relationship Id="rId28" Type="http://schemas.openxmlformats.org/officeDocument/2006/relationships/chartsheet" Target="chartsheets/sheet16.xml"/><Relationship Id="rId29" Type="http://schemas.openxmlformats.org/officeDocument/2006/relationships/chartsheet" Target="chartsheets/sheet17.xml"/><Relationship Id="rId5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chartsheet" Target="chartsheets/sheet18.xml"/><Relationship Id="rId31" Type="http://schemas.openxmlformats.org/officeDocument/2006/relationships/chartsheet" Target="chartsheets/sheet19.xml"/><Relationship Id="rId32" Type="http://schemas.openxmlformats.org/officeDocument/2006/relationships/worksheet" Target="worksheets/sheet13.xml"/><Relationship Id="rId9" Type="http://schemas.openxmlformats.org/officeDocument/2006/relationships/chartsheet" Target="chartsheets/sheet3.xml"/><Relationship Id="rId6" Type="http://schemas.openxmlformats.org/officeDocument/2006/relationships/chartsheet" Target="chartsheets/sheet1.xml"/><Relationship Id="rId7" Type="http://schemas.openxmlformats.org/officeDocument/2006/relationships/chartsheet" Target="chartsheets/sheet2.xml"/><Relationship Id="rId8" Type="http://schemas.openxmlformats.org/officeDocument/2006/relationships/worksheet" Target="worksheets/sheet6.xml"/><Relationship Id="rId33" Type="http://schemas.openxmlformats.org/officeDocument/2006/relationships/chartsheet" Target="chartsheets/sheet20.xml"/><Relationship Id="rId34" Type="http://schemas.openxmlformats.org/officeDocument/2006/relationships/worksheet" Target="worksheets/sheet14.xml"/><Relationship Id="rId35" Type="http://schemas.openxmlformats.org/officeDocument/2006/relationships/chartsheet" Target="chartsheets/sheet21.xml"/><Relationship Id="rId36" Type="http://schemas.openxmlformats.org/officeDocument/2006/relationships/worksheet" Target="worksheets/sheet15.xml"/><Relationship Id="rId10" Type="http://schemas.openxmlformats.org/officeDocument/2006/relationships/chartsheet" Target="chartsheets/sheet4.xml"/><Relationship Id="rId11" Type="http://schemas.openxmlformats.org/officeDocument/2006/relationships/worksheet" Target="worksheets/sheet7.xml"/><Relationship Id="rId12" Type="http://schemas.openxmlformats.org/officeDocument/2006/relationships/chartsheet" Target="chartsheets/sheet5.xml"/><Relationship Id="rId13" Type="http://schemas.openxmlformats.org/officeDocument/2006/relationships/chartsheet" Target="chartsheets/sheet6.xml"/><Relationship Id="rId14" Type="http://schemas.openxmlformats.org/officeDocument/2006/relationships/worksheet" Target="worksheets/sheet8.xml"/><Relationship Id="rId15" Type="http://schemas.openxmlformats.org/officeDocument/2006/relationships/chartsheet" Target="chartsheets/sheet7.xml"/><Relationship Id="rId16" Type="http://schemas.openxmlformats.org/officeDocument/2006/relationships/chartsheet" Target="chartsheets/sheet8.xml"/><Relationship Id="rId17" Type="http://schemas.openxmlformats.org/officeDocument/2006/relationships/chartsheet" Target="chartsheets/sheet9.xml"/><Relationship Id="rId18" Type="http://schemas.openxmlformats.org/officeDocument/2006/relationships/chartsheet" Target="chartsheets/sheet10.xml"/><Relationship Id="rId19" Type="http://schemas.openxmlformats.org/officeDocument/2006/relationships/worksheet" Target="worksheets/sheet9.xml"/><Relationship Id="rId37" Type="http://schemas.openxmlformats.org/officeDocument/2006/relationships/chartsheet" Target="chartsheets/sheet22.xml"/><Relationship Id="rId38" Type="http://schemas.openxmlformats.org/officeDocument/2006/relationships/worksheet" Target="worksheets/sheet16.xml"/><Relationship Id="rId39" Type="http://schemas.openxmlformats.org/officeDocument/2006/relationships/chartsheet" Target="chartsheets/sheet23.xml"/><Relationship Id="rId40" Type="http://schemas.openxmlformats.org/officeDocument/2006/relationships/chartsheet" Target="chartsheets/sheet24.xml"/><Relationship Id="rId41" Type="http://schemas.openxmlformats.org/officeDocument/2006/relationships/chartsheet" Target="chartsheets/sheet25.xml"/><Relationship Id="rId42" Type="http://schemas.openxmlformats.org/officeDocument/2006/relationships/chartsheet" Target="chartsheets/sheet26.xml"/><Relationship Id="rId43" Type="http://schemas.openxmlformats.org/officeDocument/2006/relationships/chartsheet" Target="chartsheets/sheet27.xml"/><Relationship Id="rId44" Type="http://schemas.openxmlformats.org/officeDocument/2006/relationships/worksheet" Target="worksheets/sheet17.xml"/><Relationship Id="rId45" Type="http://schemas.openxmlformats.org/officeDocument/2006/relationships/chartsheet" Target="chartsheets/sheet2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r>
              <a:rPr lang="en-US" sz="2200" b="0"/>
              <a:t> )</a:t>
            </a:r>
          </a:p>
        </c:rich>
      </c:tx>
      <c:layout>
        <c:manualLayout>
          <c:xMode val="edge"/>
          <c:yMode val="edge"/>
          <c:x val="0.306747821016242"/>
          <c:y val="0.00206740306252579"/>
        </c:manualLayout>
      </c:layout>
      <c:overlay val="1"/>
    </c:title>
    <c:autoTitleDeleted val="0"/>
    <c:plotArea>
      <c:layout>
        <c:manualLayout>
          <c:layoutTarget val="inner"/>
          <c:xMode val="edge"/>
          <c:yMode val="edge"/>
          <c:x val="0.0784352007228605"/>
          <c:y val="0.090193426222898"/>
          <c:w val="0.920301153168557"/>
          <c:h val="0.675515070648056"/>
        </c:manualLayout>
      </c:layout>
      <c:barChart>
        <c:barDir val="col"/>
        <c:grouping val="stacked"/>
        <c:varyColors val="0"/>
        <c:ser>
          <c:idx val="0"/>
          <c:order val="0"/>
          <c:tx>
            <c:v>As reported in the national accounts</c:v>
          </c:tx>
          <c:spPr>
            <a:solidFill>
              <a:schemeClr val="tx2">
                <a:lumMod val="60000"/>
                <a:lumOff val="40000"/>
              </a:schemeClr>
            </a:solidFill>
            <a:ln>
              <a:noFill/>
            </a:ln>
          </c:spPr>
          <c:invertIfNegative val="0"/>
          <c:cat>
            <c:strRef>
              <c:f>DataF3!$A$2:$A$18</c:f>
              <c:strCache>
                <c:ptCount val="17"/>
                <c:pt idx="0">
                  <c:v>Luxembourg</c:v>
                </c:pt>
                <c:pt idx="1">
                  <c:v>Ireland</c:v>
                </c:pt>
                <c:pt idx="2">
                  <c:v>Puerto Rico</c:v>
                </c:pt>
                <c:pt idx="3">
                  <c:v>Singapore</c:v>
                </c:pt>
                <c:pt idx="4">
                  <c:v>Hong Kong</c:v>
                </c:pt>
                <c:pt idx="5">
                  <c:v>Netherlands</c:v>
                </c:pt>
                <c:pt idx="6">
                  <c:v>Belgium</c:v>
                </c:pt>
                <c:pt idx="7">
                  <c:v>Germany</c:v>
                </c:pt>
                <c:pt idx="8">
                  <c:v>Italy</c:v>
                </c:pt>
                <c:pt idx="9">
                  <c:v>United Kingdom</c:v>
                </c:pt>
                <c:pt idx="10">
                  <c:v>Japan</c:v>
                </c:pt>
                <c:pt idx="11">
                  <c:v>Spain</c:v>
                </c:pt>
                <c:pt idx="12">
                  <c:v>Australia</c:v>
                </c:pt>
                <c:pt idx="13">
                  <c:v>United States</c:v>
                </c:pt>
                <c:pt idx="14">
                  <c:v>Switzerland</c:v>
                </c:pt>
                <c:pt idx="15">
                  <c:v>Canada</c:v>
                </c:pt>
                <c:pt idx="16">
                  <c:v>France</c:v>
                </c:pt>
              </c:strCache>
            </c:strRef>
          </c:cat>
          <c:val>
            <c:numRef>
              <c:f>DataF3!$B$2:$B$18</c:f>
              <c:numCache>
                <c:formatCode>0%</c:formatCode>
                <c:ptCount val="17"/>
                <c:pt idx="0">
                  <c:v>2.576059454464877</c:v>
                </c:pt>
                <c:pt idx="1">
                  <c:v>2.417005305319382</c:v>
                </c:pt>
                <c:pt idx="2">
                  <c:v>2.285299986639992</c:v>
                </c:pt>
                <c:pt idx="3">
                  <c:v>0.974821270447103</c:v>
                </c:pt>
                <c:pt idx="4">
                  <c:v>0.892302493760219</c:v>
                </c:pt>
                <c:pt idx="5">
                  <c:v>0.614886390960189</c:v>
                </c:pt>
                <c:pt idx="6">
                  <c:v>0.481856315060375</c:v>
                </c:pt>
                <c:pt idx="7">
                  <c:v>0.452204745473754</c:v>
                </c:pt>
                <c:pt idx="8">
                  <c:v>0.430945795156474</c:v>
                </c:pt>
                <c:pt idx="9">
                  <c:v>0.419774824524874</c:v>
                </c:pt>
                <c:pt idx="10">
                  <c:v>0.418842607708529</c:v>
                </c:pt>
                <c:pt idx="11">
                  <c:v>0.404285387876685</c:v>
                </c:pt>
                <c:pt idx="12">
                  <c:v>0.359865112937984</c:v>
                </c:pt>
                <c:pt idx="13">
                  <c:v>0.313015811565564</c:v>
                </c:pt>
                <c:pt idx="14">
                  <c:v>0.295463513802057</c:v>
                </c:pt>
                <c:pt idx="15">
                  <c:v>0.233058888996234</c:v>
                </c:pt>
                <c:pt idx="16">
                  <c:v>0.215357750150187</c:v>
                </c:pt>
              </c:numCache>
            </c:numRef>
          </c:val>
          <c:extLst xmlns:c16r2="http://schemas.microsoft.com/office/drawing/2015/06/chart">
            <c:ext xmlns:c16="http://schemas.microsoft.com/office/drawing/2014/chart" uri="{C3380CC4-5D6E-409C-BE32-E72D297353CC}">
              <c16:uniqueId val="{00000000-295F-45AC-B6C8-8A0426A687D6}"/>
            </c:ext>
          </c:extLst>
        </c:ser>
        <c:dLbls>
          <c:showLegendKey val="0"/>
          <c:showVal val="0"/>
          <c:showCatName val="0"/>
          <c:showSerName val="0"/>
          <c:showPercent val="0"/>
          <c:showBubbleSize val="0"/>
        </c:dLbls>
        <c:gapWidth val="150"/>
        <c:overlap val="100"/>
        <c:axId val="-2118019112"/>
        <c:axId val="-2118016040"/>
      </c:barChart>
      <c:lineChart>
        <c:grouping val="standard"/>
        <c:varyColors val="0"/>
        <c:ser>
          <c:idx val="1"/>
          <c:order val="1"/>
          <c:tx>
            <c:strRef>
              <c:f>DataF3!$F$1</c:f>
              <c:strCache>
                <c:ptCount val="1"/>
                <c:pt idx="0">
                  <c:v>Average among non-havens</c:v>
                </c:pt>
              </c:strCache>
            </c:strRef>
          </c:tx>
          <c:marker>
            <c:symbol val="none"/>
          </c:marker>
          <c:cat>
            <c:strRef>
              <c:f>DataF3!$A$2:$A$17</c:f>
              <c:strCache>
                <c:ptCount val="16"/>
                <c:pt idx="0">
                  <c:v>Luxembourg</c:v>
                </c:pt>
                <c:pt idx="1">
                  <c:v>Ireland</c:v>
                </c:pt>
                <c:pt idx="2">
                  <c:v>Puerto Rico</c:v>
                </c:pt>
                <c:pt idx="3">
                  <c:v>Singapore</c:v>
                </c:pt>
                <c:pt idx="4">
                  <c:v>Hong Kong</c:v>
                </c:pt>
                <c:pt idx="5">
                  <c:v>Netherlands</c:v>
                </c:pt>
                <c:pt idx="6">
                  <c:v>Belgium</c:v>
                </c:pt>
                <c:pt idx="7">
                  <c:v>Germany</c:v>
                </c:pt>
                <c:pt idx="8">
                  <c:v>Italy</c:v>
                </c:pt>
                <c:pt idx="9">
                  <c:v>United Kingdom</c:v>
                </c:pt>
                <c:pt idx="10">
                  <c:v>Japan</c:v>
                </c:pt>
                <c:pt idx="11">
                  <c:v>Spain</c:v>
                </c:pt>
                <c:pt idx="12">
                  <c:v>Australia</c:v>
                </c:pt>
                <c:pt idx="13">
                  <c:v>United States</c:v>
                </c:pt>
                <c:pt idx="14">
                  <c:v>Switzerland</c:v>
                </c:pt>
                <c:pt idx="15">
                  <c:v>Canada</c:v>
                </c:pt>
              </c:strCache>
            </c:strRef>
          </c:cat>
          <c:val>
            <c:numRef>
              <c:f>DataF3!$F$2:$F$18</c:f>
              <c:numCache>
                <c:formatCode>0%</c:formatCode>
                <c:ptCount val="17"/>
                <c:pt idx="0">
                  <c:v>0.360816769376698</c:v>
                </c:pt>
                <c:pt idx="1">
                  <c:v>0.360816769376698</c:v>
                </c:pt>
                <c:pt idx="2">
                  <c:v>0.360816769376698</c:v>
                </c:pt>
                <c:pt idx="3">
                  <c:v>0.360816769376698</c:v>
                </c:pt>
                <c:pt idx="4">
                  <c:v>0.360816769376698</c:v>
                </c:pt>
                <c:pt idx="5">
                  <c:v>0.360816769376698</c:v>
                </c:pt>
                <c:pt idx="6">
                  <c:v>0.360816769376698</c:v>
                </c:pt>
                <c:pt idx="7">
                  <c:v>0.360816769376698</c:v>
                </c:pt>
                <c:pt idx="8">
                  <c:v>0.360816769376698</c:v>
                </c:pt>
                <c:pt idx="9">
                  <c:v>0.360816769376698</c:v>
                </c:pt>
                <c:pt idx="10">
                  <c:v>0.360816769376698</c:v>
                </c:pt>
                <c:pt idx="11">
                  <c:v>0.360816769376698</c:v>
                </c:pt>
                <c:pt idx="12">
                  <c:v>0.360816769376698</c:v>
                </c:pt>
                <c:pt idx="13">
                  <c:v>0.360816769376698</c:v>
                </c:pt>
                <c:pt idx="14">
                  <c:v>0.360816769376698</c:v>
                </c:pt>
                <c:pt idx="15">
                  <c:v>0.360816769376698</c:v>
                </c:pt>
                <c:pt idx="16">
                  <c:v>0.360816769376698</c:v>
                </c:pt>
              </c:numCache>
            </c:numRef>
          </c:val>
          <c:smooth val="0"/>
          <c:extLst xmlns:c16r2="http://schemas.microsoft.com/office/drawing/2015/06/chart">
            <c:ext xmlns:c16="http://schemas.microsoft.com/office/drawing/2014/chart" uri="{C3380CC4-5D6E-409C-BE32-E72D297353CC}">
              <c16:uniqueId val="{00000002-295F-45AC-B6C8-8A0426A687D6}"/>
            </c:ext>
          </c:extLst>
        </c:ser>
        <c:dLbls>
          <c:showLegendKey val="0"/>
          <c:showVal val="0"/>
          <c:showCatName val="0"/>
          <c:showSerName val="0"/>
          <c:showPercent val="0"/>
          <c:showBubbleSize val="0"/>
        </c:dLbls>
        <c:marker val="1"/>
        <c:smooth val="0"/>
        <c:axId val="-2118019112"/>
        <c:axId val="-2118016040"/>
      </c:lineChart>
      <c:catAx>
        <c:axId val="-2118019112"/>
        <c:scaling>
          <c:orientation val="minMax"/>
        </c:scaling>
        <c:delete val="0"/>
        <c:axPos val="b"/>
        <c:numFmt formatCode="General" sourceLinked="1"/>
        <c:majorTickMark val="none"/>
        <c:minorTickMark val="none"/>
        <c:tickLblPos val="nextTo"/>
        <c:txPr>
          <a:bodyPr rot="-2700000" vert="horz" anchor="ctr" anchorCtr="1"/>
          <a:lstStyle/>
          <a:p>
            <a:pPr>
              <a:defRPr sz="1800"/>
            </a:pPr>
            <a:endParaRPr lang="en-US"/>
          </a:p>
        </c:txPr>
        <c:crossAx val="-2118016040"/>
        <c:crosses val="autoZero"/>
        <c:auto val="1"/>
        <c:lblAlgn val="ctr"/>
        <c:lblOffset val="100"/>
        <c:noMultiLvlLbl val="0"/>
      </c:catAx>
      <c:valAx>
        <c:axId val="-2118016040"/>
        <c:scaling>
          <c:orientation val="minMax"/>
          <c:max val="3.0"/>
          <c:min val="0.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18019112"/>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t>Pre-tax</a:t>
            </a:r>
            <a:r>
              <a:rPr lang="en-US" sz="2200" b="1" baseline="0"/>
              <a:t> </a:t>
            </a:r>
            <a:r>
              <a:rPr lang="en-US" sz="2200" b="1"/>
              <a:t>profits of affiliates</a:t>
            </a:r>
            <a:r>
              <a:rPr lang="en-US" sz="2200" b="1" baseline="0"/>
              <a:t> of U.S. multinationals</a:t>
            </a:r>
            <a:r>
              <a:rPr lang="en-US" sz="2200" b="1"/>
              <a:t> </a:t>
            </a:r>
          </a:p>
          <a:p>
            <a:pPr>
              <a:defRPr sz="2200" b="1"/>
            </a:pPr>
            <a:r>
              <a:rPr lang="en-US" sz="2200" b="0"/>
              <a:t>(%</a:t>
            </a:r>
            <a:r>
              <a:rPr lang="en-US" sz="2200" b="0" baseline="0"/>
              <a:t> of</a:t>
            </a:r>
            <a:r>
              <a:rPr lang="en-US" sz="2200" b="0"/>
              <a:t> compensation of employees)</a:t>
            </a:r>
          </a:p>
        </c:rich>
      </c:tx>
      <c:layout>
        <c:manualLayout>
          <c:xMode val="edge"/>
          <c:yMode val="edge"/>
          <c:x val="0.223790822698887"/>
          <c:y val="0.00674902910891794"/>
        </c:manualLayout>
      </c:layout>
      <c:overlay val="0"/>
    </c:title>
    <c:autoTitleDeleted val="0"/>
    <c:plotArea>
      <c:layout>
        <c:manualLayout>
          <c:layoutTarget val="inner"/>
          <c:xMode val="edge"/>
          <c:yMode val="edge"/>
          <c:x val="0.0700894342705611"/>
          <c:y val="0.156224743093554"/>
          <c:w val="0.924131401878798"/>
          <c:h val="0.740399128075092"/>
        </c:manualLayout>
      </c:layout>
      <c:lineChart>
        <c:grouping val="standard"/>
        <c:varyColors val="0"/>
        <c:ser>
          <c:idx val="0"/>
          <c:order val="0"/>
          <c:spPr>
            <a:ln w="12700">
              <a:solidFill>
                <a:sysClr val="windowText" lastClr="000000"/>
              </a:solidFill>
            </a:ln>
            <a:effectLst/>
          </c:spPr>
          <c:marker>
            <c:symbol val="circle"/>
            <c:size val="10"/>
            <c:spPr>
              <a:solidFill>
                <a:schemeClr val="accent2">
                  <a:lumMod val="60000"/>
                  <a:lumOff val="40000"/>
                </a:schemeClr>
              </a:solidFill>
              <a:ln>
                <a:solidFill>
                  <a:sysClr val="windowText" lastClr="000000"/>
                </a:solidFill>
              </a:ln>
              <a:effectLst/>
            </c:spPr>
          </c:marker>
          <c:cat>
            <c:numRef>
              <c:f>DataF5!$A$5:$A$55</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DataF5!$B$5:$B$55</c:f>
              <c:numCache>
                <c:formatCode>0%</c:formatCode>
                <c:ptCount val="51"/>
                <c:pt idx="0">
                  <c:v>0.495081072086241</c:v>
                </c:pt>
                <c:pt idx="1">
                  <c:v>0.532007431981818</c:v>
                </c:pt>
                <c:pt idx="2">
                  <c:v>0.52756150735357</c:v>
                </c:pt>
                <c:pt idx="3">
                  <c:v>0.555696238257219</c:v>
                </c:pt>
                <c:pt idx="4">
                  <c:v>0.70531986712939</c:v>
                </c:pt>
                <c:pt idx="5">
                  <c:v>0.828542236504122</c:v>
                </c:pt>
                <c:pt idx="6">
                  <c:v>0.828308415536702</c:v>
                </c:pt>
                <c:pt idx="7">
                  <c:v>0.877080901751807</c:v>
                </c:pt>
                <c:pt idx="8">
                  <c:v>0.878684335957208</c:v>
                </c:pt>
                <c:pt idx="9">
                  <c:v>0.848547531930028</c:v>
                </c:pt>
                <c:pt idx="10">
                  <c:v>0.902330233756043</c:v>
                </c:pt>
                <c:pt idx="11">
                  <c:v>0.86798182350929</c:v>
                </c:pt>
                <c:pt idx="12">
                  <c:v>1.073396363296081</c:v>
                </c:pt>
                <c:pt idx="13">
                  <c:v>1.379407321516226</c:v>
                </c:pt>
                <c:pt idx="14">
                  <c:v>1.486744533185297</c:v>
                </c:pt>
                <c:pt idx="15">
                  <c:v>1.273940649387876</c:v>
                </c:pt>
                <c:pt idx="16">
                  <c:v>1.334708680189494</c:v>
                </c:pt>
                <c:pt idx="17">
                  <c:v>1.421432767102015</c:v>
                </c:pt>
                <c:pt idx="18">
                  <c:v>1.551394354663544</c:v>
                </c:pt>
                <c:pt idx="19">
                  <c:v>1.678238991227445</c:v>
                </c:pt>
                <c:pt idx="20">
                  <c:v>1.372038065912929</c:v>
                </c:pt>
                <c:pt idx="21">
                  <c:v>1.681453993678892</c:v>
                </c:pt>
                <c:pt idx="22">
                  <c:v>1.425073880171702</c:v>
                </c:pt>
                <c:pt idx="23">
                  <c:v>1.584155194752868</c:v>
                </c:pt>
                <c:pt idx="24">
                  <c:v>1.549846169636861</c:v>
                </c:pt>
                <c:pt idx="25">
                  <c:v>1.29708616778208</c:v>
                </c:pt>
                <c:pt idx="26">
                  <c:v>1.116893961874085</c:v>
                </c:pt>
                <c:pt idx="27">
                  <c:v>1.104922858194326</c:v>
                </c:pt>
                <c:pt idx="28">
                  <c:v>1.092497290835724</c:v>
                </c:pt>
                <c:pt idx="29">
                  <c:v>1.460399477867374</c:v>
                </c:pt>
                <c:pt idx="30">
                  <c:v>1.45015016029363</c:v>
                </c:pt>
                <c:pt idx="31">
                  <c:v>1.83661436640687</c:v>
                </c:pt>
                <c:pt idx="32">
                  <c:v>1.854730943315459</c:v>
                </c:pt>
                <c:pt idx="33">
                  <c:v>1.694293169745939</c:v>
                </c:pt>
                <c:pt idx="34">
                  <c:v>2.001730597961344</c:v>
                </c:pt>
                <c:pt idx="35">
                  <c:v>1.817009836656776</c:v>
                </c:pt>
                <c:pt idx="36">
                  <c:v>1.926045446185717</c:v>
                </c:pt>
                <c:pt idx="37">
                  <c:v>2.264764860414849</c:v>
                </c:pt>
                <c:pt idx="38">
                  <c:v>2.603370127204285</c:v>
                </c:pt>
                <c:pt idx="39">
                  <c:v>2.551174231426764</c:v>
                </c:pt>
                <c:pt idx="40">
                  <c:v>2.775752976511287</c:v>
                </c:pt>
                <c:pt idx="41">
                  <c:v>2.952541488270101</c:v>
                </c:pt>
                <c:pt idx="42">
                  <c:v>2.475317708601427</c:v>
                </c:pt>
                <c:pt idx="43">
                  <c:v>2.731557318175955</c:v>
                </c:pt>
                <c:pt idx="44">
                  <c:v>2.684956521417541</c:v>
                </c:pt>
                <c:pt idx="45">
                  <c:v>3.112007671393882</c:v>
                </c:pt>
                <c:pt idx="46">
                  <c:v>3.16923485220422</c:v>
                </c:pt>
                <c:pt idx="47">
                  <c:v>2.816314373942114</c:v>
                </c:pt>
                <c:pt idx="48">
                  <c:v>3.015125544246132</c:v>
                </c:pt>
                <c:pt idx="49">
                  <c:v>3.571806937533643</c:v>
                </c:pt>
              </c:numCache>
            </c:numRef>
          </c:val>
          <c:smooth val="0"/>
          <c:extLst xmlns:c16r2="http://schemas.microsoft.com/office/drawing/2015/06/char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DataF5!$A$5:$A$55</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DataF5!$C$5:$C$55</c:f>
              <c:numCache>
                <c:formatCode>0%</c:formatCode>
                <c:ptCount val="51"/>
                <c:pt idx="0">
                  <c:v>0.468051431638426</c:v>
                </c:pt>
                <c:pt idx="1">
                  <c:v>0.428275204638223</c:v>
                </c:pt>
                <c:pt idx="2">
                  <c:v>0.418355360942191</c:v>
                </c:pt>
                <c:pt idx="3">
                  <c:v>0.429542189238878</c:v>
                </c:pt>
                <c:pt idx="4">
                  <c:v>0.416528088583029</c:v>
                </c:pt>
                <c:pt idx="5">
                  <c:v>0.46447188052527</c:v>
                </c:pt>
                <c:pt idx="6">
                  <c:v>0.466093990498824</c:v>
                </c:pt>
                <c:pt idx="7">
                  <c:v>0.486404536459278</c:v>
                </c:pt>
                <c:pt idx="8">
                  <c:v>0.418210926683792</c:v>
                </c:pt>
                <c:pt idx="9">
                  <c:v>0.411905614871768</c:v>
                </c:pt>
                <c:pt idx="10">
                  <c:v>0.436733270519517</c:v>
                </c:pt>
                <c:pt idx="11">
                  <c:v>0.362752766160307</c:v>
                </c:pt>
                <c:pt idx="12">
                  <c:v>0.406717313683002</c:v>
                </c:pt>
                <c:pt idx="13">
                  <c:v>0.424044412316496</c:v>
                </c:pt>
                <c:pt idx="14">
                  <c:v>0.40050534117077</c:v>
                </c:pt>
                <c:pt idx="15">
                  <c:v>0.316437505554569</c:v>
                </c:pt>
                <c:pt idx="16">
                  <c:v>0.244269206984911</c:v>
                </c:pt>
                <c:pt idx="17">
                  <c:v>0.313386562446583</c:v>
                </c:pt>
                <c:pt idx="18">
                  <c:v>0.378192352534777</c:v>
                </c:pt>
                <c:pt idx="19">
                  <c:v>0.371586851531777</c:v>
                </c:pt>
                <c:pt idx="20">
                  <c:v>0.420631177567856</c:v>
                </c:pt>
                <c:pt idx="21">
                  <c:v>0.480416060552496</c:v>
                </c:pt>
                <c:pt idx="22">
                  <c:v>0.55628659647633</c:v>
                </c:pt>
                <c:pt idx="23">
                  <c:v>0.503557717454099</c:v>
                </c:pt>
                <c:pt idx="24">
                  <c:v>0.382039947925736</c:v>
                </c:pt>
                <c:pt idx="25">
                  <c:v>0.305591016241486</c:v>
                </c:pt>
                <c:pt idx="26">
                  <c:v>0.280245125881453</c:v>
                </c:pt>
                <c:pt idx="27">
                  <c:v>0.296463827526751</c:v>
                </c:pt>
                <c:pt idx="28">
                  <c:v>0.337848479787674</c:v>
                </c:pt>
                <c:pt idx="29">
                  <c:v>0.420682933674257</c:v>
                </c:pt>
                <c:pt idx="30">
                  <c:v>0.432648722518402</c:v>
                </c:pt>
                <c:pt idx="31">
                  <c:v>0.451226587546566</c:v>
                </c:pt>
                <c:pt idx="32">
                  <c:v>0.396367562040573</c:v>
                </c:pt>
                <c:pt idx="33">
                  <c:v>0.388808111134138</c:v>
                </c:pt>
                <c:pt idx="34">
                  <c:v>0.376950174828874</c:v>
                </c:pt>
                <c:pt idx="35">
                  <c:v>0.286871156433281</c:v>
                </c:pt>
                <c:pt idx="36">
                  <c:v>0.331558243314579</c:v>
                </c:pt>
                <c:pt idx="37">
                  <c:v>0.416684792484094</c:v>
                </c:pt>
                <c:pt idx="38">
                  <c:v>0.415362296390671</c:v>
                </c:pt>
                <c:pt idx="39">
                  <c:v>0.498573457382782</c:v>
                </c:pt>
                <c:pt idx="40">
                  <c:v>0.491071932654763</c:v>
                </c:pt>
                <c:pt idx="41">
                  <c:v>0.516948094512087</c:v>
                </c:pt>
                <c:pt idx="42">
                  <c:v>0.484984219338283</c:v>
                </c:pt>
                <c:pt idx="43">
                  <c:v>0.450404991566059</c:v>
                </c:pt>
                <c:pt idx="44">
                  <c:v>0.520296689405034</c:v>
                </c:pt>
                <c:pt idx="45">
                  <c:v>0.547601347947186</c:v>
                </c:pt>
                <c:pt idx="46">
                  <c:v>0.501574313155204</c:v>
                </c:pt>
                <c:pt idx="47">
                  <c:v>0.476134026767887</c:v>
                </c:pt>
                <c:pt idx="48">
                  <c:v>0.486326700135502</c:v>
                </c:pt>
                <c:pt idx="49">
                  <c:v>0.446555820206451</c:v>
                </c:pt>
              </c:numCache>
            </c:numRef>
          </c:val>
          <c:smooth val="0"/>
          <c:extLst xmlns:c16r2="http://schemas.microsoft.com/office/drawing/2015/06/chart">
            <c:ext xmlns:c16="http://schemas.microsoft.com/office/drawing/2014/chart" uri="{C3380CC4-5D6E-409C-BE32-E72D297353CC}">
              <c16:uniqueId val="{00000001-031C-4692-A13B-43C6E9AFA7F4}"/>
            </c:ext>
          </c:extLst>
        </c:ser>
        <c:ser>
          <c:idx val="2"/>
          <c:order val="2"/>
          <c:spPr>
            <a:ln w="12700">
              <a:solidFill>
                <a:schemeClr val="tx1"/>
              </a:solidFill>
            </a:ln>
            <a:effectLst/>
          </c:spPr>
          <c:marker>
            <c:symbol val="circle"/>
            <c:size val="10"/>
            <c:spPr>
              <a:solidFill>
                <a:schemeClr val="bg1">
                  <a:lumMod val="85000"/>
                </a:schemeClr>
              </a:solidFill>
              <a:ln>
                <a:solidFill>
                  <a:schemeClr val="tx1"/>
                </a:solidFill>
              </a:ln>
              <a:effectLst/>
            </c:spPr>
          </c:marker>
          <c:val>
            <c:numRef>
              <c:f>DataF5!$D$5:$D$55</c:f>
              <c:numCache>
                <c:formatCode>0%</c:formatCode>
                <c:ptCount val="51"/>
                <c:pt idx="11">
                  <c:v>0.355359139555934</c:v>
                </c:pt>
                <c:pt idx="12">
                  <c:v>0.315583075335397</c:v>
                </c:pt>
                <c:pt idx="13">
                  <c:v>0.347503629363126</c:v>
                </c:pt>
                <c:pt idx="14">
                  <c:v>0.337977875995705</c:v>
                </c:pt>
                <c:pt idx="15">
                  <c:v>0.272966166648418</c:v>
                </c:pt>
                <c:pt idx="16">
                  <c:v>0.108624587311139</c:v>
                </c:pt>
                <c:pt idx="17">
                  <c:v>0.145763168530244</c:v>
                </c:pt>
                <c:pt idx="18">
                  <c:v>0.215692707265395</c:v>
                </c:pt>
                <c:pt idx="19">
                  <c:v>0.161572817234434</c:v>
                </c:pt>
                <c:pt idx="20">
                  <c:v>0.123537436988392</c:v>
                </c:pt>
                <c:pt idx="21">
                  <c:v>0.144746846649793</c:v>
                </c:pt>
                <c:pt idx="22">
                  <c:v>0.150558875999073</c:v>
                </c:pt>
                <c:pt idx="23">
                  <c:v>0.0868967958334035</c:v>
                </c:pt>
                <c:pt idx="24">
                  <c:v>-0.00152207931928212</c:v>
                </c:pt>
                <c:pt idx="25">
                  <c:v>-0.0309827299126551</c:v>
                </c:pt>
                <c:pt idx="26">
                  <c:v>0.016004042201462</c:v>
                </c:pt>
                <c:pt idx="27">
                  <c:v>0.0455854922279793</c:v>
                </c:pt>
                <c:pt idx="28">
                  <c:v>0.112728360292102</c:v>
                </c:pt>
                <c:pt idx="29">
                  <c:v>0.134947711214709</c:v>
                </c:pt>
                <c:pt idx="30">
                  <c:v>0.194921975915191</c:v>
                </c:pt>
                <c:pt idx="31">
                  <c:v>0.203416021941136</c:v>
                </c:pt>
                <c:pt idx="32">
                  <c:v>0.175599398153506</c:v>
                </c:pt>
                <c:pt idx="33">
                  <c:v>0.151632066131288</c:v>
                </c:pt>
                <c:pt idx="34">
                  <c:v>0.123371343850563</c:v>
                </c:pt>
                <c:pt idx="35">
                  <c:v>-0.031727497056594</c:v>
                </c:pt>
                <c:pt idx="36">
                  <c:v>0.0697608137336555</c:v>
                </c:pt>
                <c:pt idx="37">
                  <c:v>0.140822899841641</c:v>
                </c:pt>
                <c:pt idx="38">
                  <c:v>0.228828294620328</c:v>
                </c:pt>
                <c:pt idx="39">
                  <c:v>0.279574563034585</c:v>
                </c:pt>
                <c:pt idx="40">
                  <c:v>0.324961960790776</c:v>
                </c:pt>
                <c:pt idx="41">
                  <c:v>0.307370313491218</c:v>
                </c:pt>
                <c:pt idx="42">
                  <c:v>0.222343412553115</c:v>
                </c:pt>
                <c:pt idx="43">
                  <c:v>0.112010137238481</c:v>
                </c:pt>
                <c:pt idx="44">
                  <c:v>0.265096859583684</c:v>
                </c:pt>
                <c:pt idx="45">
                  <c:v>0.326879462984553</c:v>
                </c:pt>
                <c:pt idx="46">
                  <c:v>0.324033554491827</c:v>
                </c:pt>
                <c:pt idx="47">
                  <c:v>0.3277770537736</c:v>
                </c:pt>
                <c:pt idx="48">
                  <c:v>0.316595625447406</c:v>
                </c:pt>
                <c:pt idx="49">
                  <c:v>0.283432726463305</c:v>
                </c:pt>
              </c:numCache>
            </c:numRef>
          </c:val>
          <c:smooth val="0"/>
        </c:ser>
        <c:dLbls>
          <c:showLegendKey val="0"/>
          <c:showVal val="0"/>
          <c:showCatName val="0"/>
          <c:showSerName val="0"/>
          <c:showPercent val="0"/>
          <c:showBubbleSize val="0"/>
        </c:dLbls>
        <c:marker val="1"/>
        <c:smooth val="0"/>
        <c:axId val="-2115775912"/>
        <c:axId val="-2115770984"/>
      </c:lineChart>
      <c:catAx>
        <c:axId val="-2115775912"/>
        <c:scaling>
          <c:orientation val="minMax"/>
        </c:scaling>
        <c:delete val="0"/>
        <c:axPos val="b"/>
        <c:numFmt formatCode="General" sourceLinked="1"/>
        <c:majorTickMark val="none"/>
        <c:minorTickMark val="none"/>
        <c:tickLblPos val="nextTo"/>
        <c:txPr>
          <a:bodyPr/>
          <a:lstStyle/>
          <a:p>
            <a:pPr>
              <a:defRPr sz="1800"/>
            </a:pPr>
            <a:endParaRPr lang="en-US"/>
          </a:p>
        </c:txPr>
        <c:crossAx val="-2115770984"/>
        <c:crosses val="autoZero"/>
        <c:auto val="1"/>
        <c:lblAlgn val="ctr"/>
        <c:lblOffset val="100"/>
        <c:tickLblSkip val="5"/>
        <c:noMultiLvlLbl val="0"/>
      </c:catAx>
      <c:valAx>
        <c:axId val="-2115770984"/>
        <c:scaling>
          <c:orientation val="minMax"/>
          <c:max val="3.6"/>
          <c:min val="-0.5"/>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15775912"/>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Taxable</a:t>
            </a:r>
            <a:r>
              <a:rPr lang="en-US" sz="2200" b="1" baseline="0"/>
              <a:t> profits of affiliates of U.S. multinationals in 2015                                                           </a:t>
            </a:r>
            <a:r>
              <a:rPr lang="en-US" sz="2200" b="0" baseline="0"/>
              <a:t>(% of compensation of employees)</a:t>
            </a:r>
            <a:endParaRPr lang="en-US" sz="2200" b="0"/>
          </a:p>
        </c:rich>
      </c:tx>
      <c:layout>
        <c:manualLayout>
          <c:xMode val="edge"/>
          <c:yMode val="edge"/>
          <c:x val="0.188834602641883"/>
          <c:y val="0.0104338945079564"/>
        </c:manualLayout>
      </c:layout>
      <c:overlay val="1"/>
    </c:title>
    <c:autoTitleDeleted val="0"/>
    <c:plotArea>
      <c:layout>
        <c:manualLayout>
          <c:layoutTarget val="inner"/>
          <c:xMode val="edge"/>
          <c:yMode val="edge"/>
          <c:x val="0.0784352007228605"/>
          <c:y val="0.090193426222898"/>
          <c:w val="0.915768254378039"/>
          <c:h val="0.696901459493295"/>
        </c:manualLayout>
      </c:layout>
      <c:barChart>
        <c:barDir val="col"/>
        <c:grouping val="stacked"/>
        <c:varyColors val="0"/>
        <c:ser>
          <c:idx val="0"/>
          <c:order val="0"/>
          <c:spPr>
            <a:solidFill>
              <a:schemeClr val="accent2">
                <a:lumMod val="60000"/>
                <a:lumOff val="40000"/>
              </a:schemeClr>
            </a:solidFill>
            <a:ln>
              <a:noFill/>
            </a:ln>
          </c:spPr>
          <c:invertIfNegative val="0"/>
          <c:dPt>
            <c:idx val="6"/>
            <c:invertIfNegative val="0"/>
            <c:bubble3D val="0"/>
            <c:spPr>
              <a:solidFill>
                <a:schemeClr val="tx2">
                  <a:lumMod val="60000"/>
                  <a:lumOff val="40000"/>
                </a:schemeClr>
              </a:solidFill>
              <a:ln>
                <a:noFill/>
              </a:ln>
            </c:spPr>
            <c:extLst xmlns:c16r2="http://schemas.microsoft.com/office/drawing/2015/06/chart">
              <c:ext xmlns:c16="http://schemas.microsoft.com/office/drawing/2014/chart" uri="{C3380CC4-5D6E-409C-BE32-E72D297353CC}">
                <c16:uniqueId val="{00000001-F2A8-41B8-A219-8942ECA5537F}"/>
              </c:ext>
            </c:extLst>
          </c:dPt>
          <c:dPt>
            <c:idx val="7"/>
            <c:invertIfNegative val="0"/>
            <c:bubble3D val="0"/>
            <c:spPr>
              <a:solidFill>
                <a:srgbClr val="558ED5"/>
              </a:solidFill>
              <a:ln>
                <a:noFill/>
              </a:ln>
            </c:spPr>
            <c:extLst xmlns:c16r2="http://schemas.microsoft.com/office/drawing/2015/06/chart">
              <c:ext xmlns:c16="http://schemas.microsoft.com/office/drawing/2014/chart" uri="{C3380CC4-5D6E-409C-BE32-E72D297353CC}">
                <c16:uniqueId val="{00000003-F2A8-41B8-A219-8942ECA5537F}"/>
              </c:ext>
            </c:extLst>
          </c:dPt>
          <c:dPt>
            <c:idx val="8"/>
            <c:invertIfNegative val="0"/>
            <c:bubble3D val="0"/>
            <c:spPr>
              <a:solidFill>
                <a:srgbClr val="558ED5"/>
              </a:solidFill>
              <a:ln>
                <a:noFill/>
              </a:ln>
            </c:spPr>
            <c:extLst xmlns:c16r2="http://schemas.microsoft.com/office/drawing/2015/06/chart">
              <c:ext xmlns:c16="http://schemas.microsoft.com/office/drawing/2014/chart" uri="{C3380CC4-5D6E-409C-BE32-E72D297353CC}">
                <c16:uniqueId val="{00000005-F2A8-41B8-A219-8942ECA5537F}"/>
              </c:ext>
            </c:extLst>
          </c:dPt>
          <c:dPt>
            <c:idx val="10"/>
            <c:invertIfNegative val="0"/>
            <c:bubble3D val="0"/>
            <c:spPr>
              <a:solidFill>
                <a:schemeClr val="tx2">
                  <a:lumMod val="60000"/>
                  <a:lumOff val="40000"/>
                </a:schemeClr>
              </a:solidFill>
              <a:ln>
                <a:noFill/>
              </a:ln>
            </c:spPr>
            <c:extLst xmlns:c16r2="http://schemas.microsoft.com/office/drawing/2015/06/chart">
              <c:ext xmlns:c16="http://schemas.microsoft.com/office/drawing/2014/chart" uri="{C3380CC4-5D6E-409C-BE32-E72D297353CC}">
                <c16:uniqueId val="{00000007-F2A8-41B8-A219-8942ECA5537F}"/>
              </c:ext>
            </c:extLst>
          </c:dPt>
          <c:dPt>
            <c:idx val="11"/>
            <c:invertIfNegative val="0"/>
            <c:bubble3D val="0"/>
            <c:spPr>
              <a:solidFill>
                <a:srgbClr val="558ED5"/>
              </a:solidFill>
              <a:ln>
                <a:noFill/>
              </a:ln>
            </c:spPr>
            <c:extLst xmlns:c16r2="http://schemas.microsoft.com/office/drawing/2015/06/chart">
              <c:ext xmlns:c16="http://schemas.microsoft.com/office/drawing/2014/chart" uri="{C3380CC4-5D6E-409C-BE32-E72D297353CC}">
                <c16:uniqueId val="{00000009-F2A8-41B8-A219-8942ECA5537F}"/>
              </c:ext>
            </c:extLst>
          </c:dPt>
          <c:dPt>
            <c:idx val="12"/>
            <c:invertIfNegative val="0"/>
            <c:bubble3D val="0"/>
            <c:spPr>
              <a:solidFill>
                <a:srgbClr val="558ED5"/>
              </a:solidFill>
              <a:ln>
                <a:noFill/>
              </a:ln>
            </c:spPr>
            <c:extLst xmlns:c16r2="http://schemas.microsoft.com/office/drawing/2015/06/chart">
              <c:ext xmlns:c16="http://schemas.microsoft.com/office/drawing/2014/chart" uri="{C3380CC4-5D6E-409C-BE32-E72D297353CC}">
                <c16:uniqueId val="{0000000B-F2A8-41B8-A219-8942ECA5537F}"/>
              </c:ext>
            </c:extLst>
          </c:dPt>
          <c:dPt>
            <c:idx val="13"/>
            <c:invertIfNegative val="0"/>
            <c:bubble3D val="0"/>
            <c:spPr>
              <a:solidFill>
                <a:srgbClr val="558ED5"/>
              </a:solidFill>
              <a:ln>
                <a:noFill/>
              </a:ln>
            </c:spPr>
            <c:extLst xmlns:c16r2="http://schemas.microsoft.com/office/drawing/2015/06/chart">
              <c:ext xmlns:c16="http://schemas.microsoft.com/office/drawing/2014/chart" uri="{C3380CC4-5D6E-409C-BE32-E72D297353CC}">
                <c16:uniqueId val="{00000001-0259-41A3-8DA7-2ED5745B5D40}"/>
              </c:ext>
            </c:extLst>
          </c:dPt>
          <c:dPt>
            <c:idx val="14"/>
            <c:invertIfNegative val="0"/>
            <c:bubble3D val="0"/>
            <c:spPr>
              <a:solidFill>
                <a:srgbClr val="558ED5"/>
              </a:solidFill>
              <a:ln>
                <a:noFill/>
              </a:ln>
            </c:spPr>
            <c:extLst xmlns:c16r2="http://schemas.microsoft.com/office/drawing/2015/06/chart">
              <c:ext xmlns:c16="http://schemas.microsoft.com/office/drawing/2014/chart" uri="{C3380CC4-5D6E-409C-BE32-E72D297353CC}">
                <c16:uniqueId val="{0000000F-F2A8-41B8-A219-8942ECA5537F}"/>
              </c:ext>
            </c:extLst>
          </c:dPt>
          <c:dPt>
            <c:idx val="15"/>
            <c:invertIfNegative val="0"/>
            <c:bubble3D val="0"/>
            <c:spPr>
              <a:solidFill>
                <a:srgbClr val="558ED5"/>
              </a:solidFill>
              <a:ln>
                <a:noFill/>
              </a:ln>
            </c:spPr>
            <c:extLst xmlns:c16r2="http://schemas.microsoft.com/office/drawing/2015/06/chart">
              <c:ext xmlns:c16="http://schemas.microsoft.com/office/drawing/2014/chart" uri="{C3380CC4-5D6E-409C-BE32-E72D297353CC}">
                <c16:uniqueId val="{00000011-F2A8-41B8-A219-8942ECA5537F}"/>
              </c:ext>
            </c:extLst>
          </c:dPt>
          <c:dPt>
            <c:idx val="16"/>
            <c:invertIfNegative val="0"/>
            <c:bubble3D val="0"/>
            <c:spPr>
              <a:solidFill>
                <a:srgbClr val="558ED5"/>
              </a:solidFill>
              <a:ln>
                <a:noFill/>
              </a:ln>
            </c:spPr>
            <c:extLst xmlns:c16r2="http://schemas.microsoft.com/office/drawing/2015/06/chart">
              <c:ext xmlns:c16="http://schemas.microsoft.com/office/drawing/2014/chart" uri="{C3380CC4-5D6E-409C-BE32-E72D297353CC}">
                <c16:uniqueId val="{00000013-F2A8-41B8-A219-8942ECA5537F}"/>
              </c:ext>
            </c:extLst>
          </c:dPt>
          <c:cat>
            <c:strRef>
              <c:f>DataF6a!$B$4:$B$20</c:f>
              <c:strCache>
                <c:ptCount val="17"/>
                <c:pt idx="0">
                  <c:v>Ireland</c:v>
                </c:pt>
                <c:pt idx="1">
                  <c:v>Bermuda &amp; Car.</c:v>
                </c:pt>
                <c:pt idx="2">
                  <c:v>Luxembourg</c:v>
                </c:pt>
                <c:pt idx="3">
                  <c:v>Switzerland</c:v>
                </c:pt>
                <c:pt idx="4">
                  <c:v>Singapore</c:v>
                </c:pt>
                <c:pt idx="5">
                  <c:v>Netherlands</c:v>
                </c:pt>
                <c:pt idx="6">
                  <c:v>China</c:v>
                </c:pt>
                <c:pt idx="7">
                  <c:v>Japan</c:v>
                </c:pt>
                <c:pt idx="8">
                  <c:v>Mexico</c:v>
                </c:pt>
                <c:pt idx="9">
                  <c:v>Belgium</c:v>
                </c:pt>
                <c:pt idx="10">
                  <c:v>Canada</c:v>
                </c:pt>
                <c:pt idx="11">
                  <c:v>India</c:v>
                </c:pt>
                <c:pt idx="12">
                  <c:v>United Kingdom</c:v>
                </c:pt>
                <c:pt idx="13">
                  <c:v>Italy</c:v>
                </c:pt>
                <c:pt idx="14">
                  <c:v>Germany</c:v>
                </c:pt>
                <c:pt idx="15">
                  <c:v>France</c:v>
                </c:pt>
                <c:pt idx="16">
                  <c:v>Brazil</c:v>
                </c:pt>
              </c:strCache>
            </c:strRef>
          </c:cat>
          <c:val>
            <c:numRef>
              <c:f>DataF6a!$E$4:$E$20</c:f>
              <c:numCache>
                <c:formatCode>0%</c:formatCode>
                <c:ptCount val="17"/>
                <c:pt idx="0">
                  <c:v>7.74279879621668</c:v>
                </c:pt>
                <c:pt idx="1">
                  <c:v>7.429739776951672</c:v>
                </c:pt>
                <c:pt idx="2">
                  <c:v>5.575059101654846</c:v>
                </c:pt>
                <c:pt idx="3">
                  <c:v>3.035083643122677</c:v>
                </c:pt>
                <c:pt idx="4">
                  <c:v>2.157350800582241</c:v>
                </c:pt>
                <c:pt idx="5">
                  <c:v>1.792429125471131</c:v>
                </c:pt>
                <c:pt idx="6">
                  <c:v>0.860414775504504</c:v>
                </c:pt>
                <c:pt idx="7">
                  <c:v>0.859621390291861</c:v>
                </c:pt>
                <c:pt idx="8">
                  <c:v>0.725042573756156</c:v>
                </c:pt>
                <c:pt idx="9">
                  <c:v>0.601108788512224</c:v>
                </c:pt>
                <c:pt idx="10">
                  <c:v>0.512659021119258</c:v>
                </c:pt>
                <c:pt idx="11">
                  <c:v>0.367402376910017</c:v>
                </c:pt>
                <c:pt idx="12">
                  <c:v>0.325419008207326</c:v>
                </c:pt>
                <c:pt idx="13">
                  <c:v>0.292300282116562</c:v>
                </c:pt>
                <c:pt idx="14">
                  <c:v>0.245054903730445</c:v>
                </c:pt>
                <c:pt idx="15">
                  <c:v>0.143995226018201</c:v>
                </c:pt>
                <c:pt idx="16">
                  <c:v>0.0625786027147751</c:v>
                </c:pt>
              </c:numCache>
            </c:numRef>
          </c:val>
          <c:extLst xmlns:c16r2="http://schemas.microsoft.com/office/drawing/2015/06/chart">
            <c:ext xmlns:c16="http://schemas.microsoft.com/office/drawing/2014/chart" uri="{C3380CC4-5D6E-409C-BE32-E72D297353CC}">
              <c16:uniqueId val="{00000002-0259-41A3-8DA7-2ED5745B5D40}"/>
            </c:ext>
          </c:extLst>
        </c:ser>
        <c:dLbls>
          <c:showLegendKey val="0"/>
          <c:showVal val="0"/>
          <c:showCatName val="0"/>
          <c:showSerName val="0"/>
          <c:showPercent val="0"/>
          <c:showBubbleSize val="0"/>
        </c:dLbls>
        <c:gapWidth val="150"/>
        <c:overlap val="100"/>
        <c:axId val="-2096571672"/>
        <c:axId val="-2096568776"/>
      </c:barChart>
      <c:lineChart>
        <c:grouping val="standard"/>
        <c:varyColors val="0"/>
        <c:ser>
          <c:idx val="1"/>
          <c:order val="1"/>
          <c:spPr>
            <a:ln>
              <a:solidFill>
                <a:schemeClr val="tx2">
                  <a:lumMod val="60000"/>
                  <a:lumOff val="40000"/>
                </a:schemeClr>
              </a:solidFill>
            </a:ln>
          </c:spPr>
          <c:marker>
            <c:symbol val="none"/>
          </c:marker>
          <c:val>
            <c:numRef>
              <c:f>DataF6a!$Q$4:$Q$20</c:f>
              <c:numCache>
                <c:formatCode>0%</c:formatCode>
                <c:ptCount val="17"/>
                <c:pt idx="0">
                  <c:v>0.487392653191706</c:v>
                </c:pt>
                <c:pt idx="1">
                  <c:v>0.487392653191706</c:v>
                </c:pt>
                <c:pt idx="2">
                  <c:v>0.487392653191706</c:v>
                </c:pt>
                <c:pt idx="3">
                  <c:v>0.487392653191706</c:v>
                </c:pt>
                <c:pt idx="4">
                  <c:v>0.487392653191706</c:v>
                </c:pt>
                <c:pt idx="5">
                  <c:v>0.487392653191706</c:v>
                </c:pt>
                <c:pt idx="6">
                  <c:v>0.487392653191706</c:v>
                </c:pt>
                <c:pt idx="7">
                  <c:v>0.487392653191706</c:v>
                </c:pt>
                <c:pt idx="8">
                  <c:v>0.487392653191706</c:v>
                </c:pt>
                <c:pt idx="9">
                  <c:v>0.487392653191706</c:v>
                </c:pt>
                <c:pt idx="10">
                  <c:v>0.487392653191706</c:v>
                </c:pt>
                <c:pt idx="11">
                  <c:v>0.487392653191706</c:v>
                </c:pt>
                <c:pt idx="12">
                  <c:v>0.487392653191706</c:v>
                </c:pt>
                <c:pt idx="13">
                  <c:v>0.487392653191706</c:v>
                </c:pt>
                <c:pt idx="14">
                  <c:v>0.487392653191706</c:v>
                </c:pt>
                <c:pt idx="15">
                  <c:v>0.487392653191706</c:v>
                </c:pt>
                <c:pt idx="16">
                  <c:v>0.487392653191706</c:v>
                </c:pt>
              </c:numCache>
            </c:numRef>
          </c:val>
          <c:smooth val="0"/>
          <c:extLst xmlns:c16r2="http://schemas.microsoft.com/office/drawing/2015/06/chart">
            <c:ext xmlns:c16="http://schemas.microsoft.com/office/drawing/2014/chart" uri="{C3380CC4-5D6E-409C-BE32-E72D297353CC}">
              <c16:uniqueId val="{00000003-0259-41A3-8DA7-2ED5745B5D40}"/>
            </c:ext>
          </c:extLst>
        </c:ser>
        <c:dLbls>
          <c:showLegendKey val="0"/>
          <c:showVal val="0"/>
          <c:showCatName val="0"/>
          <c:showSerName val="0"/>
          <c:showPercent val="0"/>
          <c:showBubbleSize val="0"/>
        </c:dLbls>
        <c:marker val="1"/>
        <c:smooth val="0"/>
        <c:axId val="-2096571672"/>
        <c:axId val="-2096568776"/>
      </c:lineChart>
      <c:catAx>
        <c:axId val="-2096571672"/>
        <c:scaling>
          <c:orientation val="minMax"/>
        </c:scaling>
        <c:delete val="0"/>
        <c:axPos val="b"/>
        <c:numFmt formatCode="General" sourceLinked="1"/>
        <c:majorTickMark val="none"/>
        <c:minorTickMark val="none"/>
        <c:tickLblPos val="nextTo"/>
        <c:txPr>
          <a:bodyPr rot="-2700000" vert="horz"/>
          <a:lstStyle/>
          <a:p>
            <a:pPr>
              <a:defRPr sz="1600"/>
            </a:pPr>
            <a:endParaRPr lang="en-US"/>
          </a:p>
        </c:txPr>
        <c:crossAx val="-2096568776"/>
        <c:crosses val="autoZero"/>
        <c:auto val="1"/>
        <c:lblAlgn val="ctr"/>
        <c:lblOffset val="100"/>
        <c:noMultiLvlLbl val="0"/>
      </c:catAx>
      <c:valAx>
        <c:axId val="-2096568776"/>
        <c:scaling>
          <c:orientation val="minMax"/>
          <c:max val="8.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096571672"/>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200">
                <a:latin typeface="Garamond"/>
                <a:cs typeface="Garamond"/>
              </a:rPr>
              <a:t>Decomposing the taxable profits</a:t>
            </a:r>
            <a:r>
              <a:rPr lang="en-US" sz="2200" baseline="0">
                <a:latin typeface="Garamond"/>
                <a:cs typeface="Garamond"/>
              </a:rPr>
              <a:t> / compensation ratio</a:t>
            </a:r>
          </a:p>
          <a:p>
            <a:pPr>
              <a:defRPr/>
            </a:pPr>
            <a:r>
              <a:rPr lang="en-US" sz="2200" b="0" baseline="0">
                <a:latin typeface="Garamond"/>
                <a:cs typeface="Garamond"/>
              </a:rPr>
              <a:t>(Majority-owned affiliates of U.S. multinationals)</a:t>
            </a:r>
            <a:endParaRPr lang="en-US" sz="2200" b="0">
              <a:latin typeface="Garamond"/>
              <a:cs typeface="Garamond"/>
            </a:endParaRPr>
          </a:p>
        </c:rich>
      </c:tx>
      <c:layout>
        <c:manualLayout>
          <c:xMode val="edge"/>
          <c:yMode val="edge"/>
          <c:x val="0.156988688611128"/>
          <c:y val="0.00217199218481092"/>
        </c:manualLayout>
      </c:layout>
      <c:overlay val="0"/>
    </c:title>
    <c:autoTitleDeleted val="0"/>
    <c:plotArea>
      <c:layout>
        <c:manualLayout>
          <c:layoutTarget val="inner"/>
          <c:xMode val="edge"/>
          <c:yMode val="edge"/>
          <c:x val="0.0813217410323709"/>
          <c:y val="0.0601851851851852"/>
          <c:w val="0.893743273873235"/>
          <c:h val="0.852736286123404"/>
        </c:manualLayout>
      </c:layout>
      <c:barChart>
        <c:barDir val="col"/>
        <c:grouping val="clustered"/>
        <c:varyColors val="0"/>
        <c:ser>
          <c:idx val="0"/>
          <c:order val="0"/>
          <c:tx>
            <c:v>Haven / non-haven ratio</c:v>
          </c:tx>
          <c:spPr>
            <a:solidFill>
              <a:schemeClr val="bg1">
                <a:lumMod val="75000"/>
              </a:schemeClr>
            </a:solidFill>
            <a:effectLst/>
          </c:spPr>
          <c:invertIfNegative val="0"/>
          <c:cat>
            <c:strRef>
              <c:f>DataF6b!$B$4:$B$8</c:f>
              <c:strCache>
                <c:ptCount val="5"/>
                <c:pt idx="0">
                  <c:v>K/wL</c:v>
                </c:pt>
                <c:pt idx="1">
                  <c:v>r</c:v>
                </c:pt>
                <c:pt idx="2">
                  <c:v>α/(1-α)</c:v>
                </c:pt>
                <c:pt idx="3">
                  <c:v>1-p</c:v>
                </c:pt>
                <c:pt idx="4">
                  <c:v>π</c:v>
                </c:pt>
              </c:strCache>
            </c:strRef>
          </c:cat>
          <c:val>
            <c:numRef>
              <c:f>DataF6b!$C$4:$C$8</c:f>
              <c:numCache>
                <c:formatCode>0%</c:formatCode>
                <c:ptCount val="5"/>
                <c:pt idx="0">
                  <c:v>1.429978457773379</c:v>
                </c:pt>
                <c:pt idx="1">
                  <c:v>4.552758190858814</c:v>
                </c:pt>
                <c:pt idx="2">
                  <c:v>6.510346136379407</c:v>
                </c:pt>
                <c:pt idx="3">
                  <c:v>1.119472366929177</c:v>
                </c:pt>
                <c:pt idx="4">
                  <c:v>7.28815259882088</c:v>
                </c:pt>
              </c:numCache>
            </c:numRef>
          </c:val>
          <c:extLst xmlns:c16r2="http://schemas.microsoft.com/office/drawing/2015/06/chart">
            <c:ext xmlns:c16="http://schemas.microsoft.com/office/drawing/2014/chart" uri="{C3380CC4-5D6E-409C-BE32-E72D297353CC}">
              <c16:uniqueId val="{00000000-3623-4195-8F91-DC9E1032314F}"/>
            </c:ext>
          </c:extLst>
        </c:ser>
        <c:dLbls>
          <c:showLegendKey val="0"/>
          <c:showVal val="0"/>
          <c:showCatName val="0"/>
          <c:showSerName val="0"/>
          <c:showPercent val="0"/>
          <c:showBubbleSize val="0"/>
        </c:dLbls>
        <c:gapWidth val="150"/>
        <c:axId val="-2096518104"/>
        <c:axId val="-2096515000"/>
      </c:barChart>
      <c:catAx>
        <c:axId val="-2096518104"/>
        <c:scaling>
          <c:orientation val="minMax"/>
        </c:scaling>
        <c:delete val="0"/>
        <c:axPos val="b"/>
        <c:numFmt formatCode="General" sourceLinked="1"/>
        <c:majorTickMark val="out"/>
        <c:minorTickMark val="none"/>
        <c:tickLblPos val="nextTo"/>
        <c:txPr>
          <a:bodyPr/>
          <a:lstStyle/>
          <a:p>
            <a:pPr>
              <a:defRPr sz="1800" b="0" i="1">
                <a:latin typeface="Garamond"/>
                <a:cs typeface="Garamond"/>
              </a:defRPr>
            </a:pPr>
            <a:endParaRPr lang="en-US"/>
          </a:p>
        </c:txPr>
        <c:crossAx val="-2096515000"/>
        <c:crosses val="autoZero"/>
        <c:auto val="1"/>
        <c:lblAlgn val="ctr"/>
        <c:lblOffset val="100"/>
        <c:noMultiLvlLbl val="0"/>
      </c:catAx>
      <c:valAx>
        <c:axId val="-2096515000"/>
        <c:scaling>
          <c:orientation val="minMax"/>
        </c:scaling>
        <c:delete val="0"/>
        <c:axPos val="l"/>
        <c:numFmt formatCode="0%" sourceLinked="0"/>
        <c:majorTickMark val="none"/>
        <c:minorTickMark val="none"/>
        <c:tickLblPos val="nextTo"/>
        <c:txPr>
          <a:bodyPr/>
          <a:lstStyle/>
          <a:p>
            <a:pPr>
              <a:defRPr sz="1800">
                <a:latin typeface="Garamond"/>
                <a:cs typeface="Garamond"/>
              </a:defRPr>
            </a:pPr>
            <a:endParaRPr lang="en-US"/>
          </a:p>
        </c:txPr>
        <c:crossAx val="-2096518104"/>
        <c:crosses val="autoZero"/>
        <c:crossBetween val="between"/>
      </c:valAx>
    </c:plotArea>
    <c:legend>
      <c:legendPos val="r"/>
      <c:layout>
        <c:manualLayout>
          <c:xMode val="edge"/>
          <c:yMode val="edge"/>
          <c:x val="0.104049978834693"/>
          <c:y val="0.179362228794965"/>
          <c:w val="0.350325558331985"/>
          <c:h val="0.138013735590147"/>
        </c:manualLayout>
      </c:layout>
      <c:overlay val="0"/>
      <c:txPr>
        <a:bodyPr/>
        <a:lstStyle/>
        <a:p>
          <a:pPr>
            <a:defRPr sz="1800">
              <a:latin typeface="Garamond"/>
              <a:cs typeface="Garamond"/>
            </a:defRPr>
          </a:pPr>
          <a:endParaRPr lang="en-US"/>
        </a:p>
      </c:txPr>
    </c:legend>
    <c:plotVisOnly val="1"/>
    <c:dispBlanksAs val="gap"/>
    <c:showDLblsOverMax val="0"/>
  </c:chart>
  <c:spPr>
    <a:noFill/>
    <a:ln>
      <a:noFill/>
    </a:ln>
  </c:sp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mr-IN" sz="2200"/>
              <a:t>Taxable corporate profits</a:t>
            </a:r>
            <a:r>
              <a:rPr lang="fr-FR" sz="2200"/>
              <a:t>, 2015</a:t>
            </a:r>
            <a:r>
              <a:rPr lang="mr-IN" sz="2200"/>
              <a:t>                                                           </a:t>
            </a:r>
            <a:r>
              <a:rPr lang="mr-IN" sz="2200" b="0"/>
              <a:t>(% of compensation of employees)</a:t>
            </a:r>
          </a:p>
        </c:rich>
      </c:tx>
      <c:layout>
        <c:manualLayout>
          <c:xMode val="edge"/>
          <c:yMode val="edge"/>
          <c:x val="0.326650776584764"/>
          <c:y val="0.0"/>
        </c:manualLayout>
      </c:layout>
      <c:overlay val="0"/>
    </c:title>
    <c:autoTitleDeleted val="0"/>
    <c:plotArea>
      <c:layout>
        <c:manualLayout>
          <c:layoutTarget val="inner"/>
          <c:xMode val="edge"/>
          <c:yMode val="edge"/>
          <c:x val="0.0925142868347302"/>
          <c:y val="0.127821811359175"/>
          <c:w val="0.903038948985694"/>
          <c:h val="0.746610460015623"/>
        </c:manualLayout>
      </c:layout>
      <c:barChart>
        <c:barDir val="col"/>
        <c:grouping val="clustered"/>
        <c:varyColors val="0"/>
        <c:ser>
          <c:idx val="1"/>
          <c:order val="0"/>
          <c:tx>
            <c:v>Tax havens</c:v>
          </c:tx>
          <c:spPr>
            <a:solidFill>
              <a:schemeClr val="accent2">
                <a:lumMod val="60000"/>
                <a:lumOff val="40000"/>
              </a:schemeClr>
            </a:solidFill>
            <a:effectLst/>
          </c:spPr>
          <c:invertIfNegative val="0"/>
          <c:cat>
            <c:strRef>
              <c:f>DataF6a!$F$3:$L$3</c:f>
              <c:strCache>
                <c:ptCount val="7"/>
                <c:pt idx="0">
                  <c:v>Chemical</c:v>
                </c:pt>
                <c:pt idx="1">
                  <c:v>Computers</c:v>
                </c:pt>
                <c:pt idx="2">
                  <c:v>Wholesale trade</c:v>
                </c:pt>
                <c:pt idx="3">
                  <c:v>Information</c:v>
                </c:pt>
                <c:pt idx="4">
                  <c:v>Finance</c:v>
                </c:pt>
                <c:pt idx="5">
                  <c:v>Professional services</c:v>
                </c:pt>
                <c:pt idx="6">
                  <c:v>Other</c:v>
                </c:pt>
              </c:strCache>
            </c:strRef>
          </c:cat>
          <c:val>
            <c:numRef>
              <c:f>DataF6a!$F$23:$L$23</c:f>
              <c:numCache>
                <c:formatCode>0%</c:formatCode>
                <c:ptCount val="7"/>
                <c:pt idx="0">
                  <c:v>4.542601653450312</c:v>
                </c:pt>
                <c:pt idx="1">
                  <c:v>5.345692968573366</c:v>
                </c:pt>
                <c:pt idx="2">
                  <c:v>3.711599511599512</c:v>
                </c:pt>
                <c:pt idx="3">
                  <c:v>2.641645244215938</c:v>
                </c:pt>
                <c:pt idx="4">
                  <c:v>7.257199044809664</c:v>
                </c:pt>
                <c:pt idx="5">
                  <c:v>1.078434358818154</c:v>
                </c:pt>
                <c:pt idx="6">
                  <c:v>2.643456452348381</c:v>
                </c:pt>
              </c:numCache>
            </c:numRef>
          </c:val>
          <c:extLst xmlns:c16r2="http://schemas.microsoft.com/office/drawing/2015/06/chart">
            <c:ext xmlns:c16="http://schemas.microsoft.com/office/drawing/2014/chart" uri="{C3380CC4-5D6E-409C-BE32-E72D297353CC}">
              <c16:uniqueId val="{00000000-21BA-4E71-A0E0-7149EE5548C2}"/>
            </c:ext>
          </c:extLst>
        </c:ser>
        <c:ser>
          <c:idx val="0"/>
          <c:order val="1"/>
          <c:tx>
            <c:v>Non havens</c:v>
          </c:tx>
          <c:spPr>
            <a:solidFill>
              <a:schemeClr val="tx2">
                <a:lumMod val="40000"/>
                <a:lumOff val="60000"/>
              </a:schemeClr>
            </a:solidFill>
            <a:effectLst/>
          </c:spPr>
          <c:invertIfNegative val="0"/>
          <c:cat>
            <c:strRef>
              <c:f>DataF6a!$F$3:$L$3</c:f>
              <c:strCache>
                <c:ptCount val="7"/>
                <c:pt idx="0">
                  <c:v>Chemical</c:v>
                </c:pt>
                <c:pt idx="1">
                  <c:v>Computers</c:v>
                </c:pt>
                <c:pt idx="2">
                  <c:v>Wholesale trade</c:v>
                </c:pt>
                <c:pt idx="3">
                  <c:v>Information</c:v>
                </c:pt>
                <c:pt idx="4">
                  <c:v>Finance</c:v>
                </c:pt>
                <c:pt idx="5">
                  <c:v>Professional services</c:v>
                </c:pt>
                <c:pt idx="6">
                  <c:v>Other</c:v>
                </c:pt>
              </c:strCache>
            </c:strRef>
          </c:cat>
          <c:val>
            <c:numRef>
              <c:f>DataF6a!$F$22:$L$22</c:f>
              <c:numCache>
                <c:formatCode>0%</c:formatCode>
                <c:ptCount val="7"/>
                <c:pt idx="0">
                  <c:v>0.809011380351475</c:v>
                </c:pt>
                <c:pt idx="1">
                  <c:v>0.649510489510489</c:v>
                </c:pt>
                <c:pt idx="2">
                  <c:v>0.600822587816807</c:v>
                </c:pt>
                <c:pt idx="3">
                  <c:v>0.250016107209587</c:v>
                </c:pt>
                <c:pt idx="4">
                  <c:v>0.760436934630483</c:v>
                </c:pt>
                <c:pt idx="5">
                  <c:v>0.421666209207922</c:v>
                </c:pt>
                <c:pt idx="6">
                  <c:v>0.298214451564967</c:v>
                </c:pt>
              </c:numCache>
            </c:numRef>
          </c:val>
          <c:extLst xmlns:c16r2="http://schemas.microsoft.com/office/drawing/2015/06/chart">
            <c:ext xmlns:c16="http://schemas.microsoft.com/office/drawing/2014/chart" uri="{C3380CC4-5D6E-409C-BE32-E72D297353CC}">
              <c16:uniqueId val="{00000001-21BA-4E71-A0E0-7149EE5548C2}"/>
            </c:ext>
          </c:extLst>
        </c:ser>
        <c:dLbls>
          <c:showLegendKey val="0"/>
          <c:showVal val="0"/>
          <c:showCatName val="0"/>
          <c:showSerName val="0"/>
          <c:showPercent val="0"/>
          <c:showBubbleSize val="0"/>
        </c:dLbls>
        <c:gapWidth val="150"/>
        <c:axId val="-2096469608"/>
        <c:axId val="-2096466600"/>
      </c:barChart>
      <c:catAx>
        <c:axId val="-2096469608"/>
        <c:scaling>
          <c:orientation val="minMax"/>
        </c:scaling>
        <c:delete val="0"/>
        <c:axPos val="b"/>
        <c:numFmt formatCode="General" sourceLinked="0"/>
        <c:majorTickMark val="out"/>
        <c:minorTickMark val="none"/>
        <c:tickLblPos val="nextTo"/>
        <c:txPr>
          <a:bodyPr/>
          <a:lstStyle/>
          <a:p>
            <a:pPr>
              <a:defRPr sz="1700"/>
            </a:pPr>
            <a:endParaRPr lang="en-US"/>
          </a:p>
        </c:txPr>
        <c:crossAx val="-2096466600"/>
        <c:crosses val="autoZero"/>
        <c:auto val="1"/>
        <c:lblAlgn val="ctr"/>
        <c:lblOffset val="100"/>
        <c:noMultiLvlLbl val="0"/>
      </c:catAx>
      <c:valAx>
        <c:axId val="-2096466600"/>
        <c:scaling>
          <c:orientation val="minMax"/>
        </c:scaling>
        <c:delete val="0"/>
        <c:axPos val="l"/>
        <c:numFmt formatCode="0%" sourceLinked="1"/>
        <c:majorTickMark val="none"/>
        <c:minorTickMark val="none"/>
        <c:tickLblPos val="nextTo"/>
        <c:txPr>
          <a:bodyPr/>
          <a:lstStyle/>
          <a:p>
            <a:pPr>
              <a:defRPr sz="1800"/>
            </a:pPr>
            <a:endParaRPr lang="en-US"/>
          </a:p>
        </c:txPr>
        <c:crossAx val="-2096469608"/>
        <c:crosses val="autoZero"/>
        <c:crossBetween val="between"/>
      </c:valAx>
    </c:plotArea>
    <c:legend>
      <c:legendPos val="r"/>
      <c:layout>
        <c:manualLayout>
          <c:xMode val="edge"/>
          <c:yMode val="edge"/>
          <c:x val="0.817385400701305"/>
          <c:y val="0.207204030555496"/>
          <c:w val="0.163891504556241"/>
          <c:h val="0.122336029393074"/>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a:cs typeface="Garamond"/>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latin typeface="Garamond"/>
                <a:cs typeface="Garamond"/>
              </a:rPr>
              <a:t>The profitability</a:t>
            </a:r>
            <a:r>
              <a:rPr lang="en-US" sz="2200" b="1" baseline="0">
                <a:latin typeface="Garamond"/>
                <a:cs typeface="Garamond"/>
              </a:rPr>
              <a:t> of the affiliates of US multinationals</a:t>
            </a:r>
          </a:p>
          <a:p>
            <a:pPr>
              <a:defRPr sz="2200" b="1"/>
            </a:pPr>
            <a:r>
              <a:rPr lang="en-US" sz="2200" b="1" baseline="0"/>
              <a:t> </a:t>
            </a:r>
            <a:r>
              <a:rPr lang="en-US" sz="2200" b="0"/>
              <a:t>(ratio of Haven affiliates</a:t>
            </a:r>
            <a:r>
              <a:rPr lang="en-US" sz="2200" b="0" baseline="0"/>
              <a:t> / Non-haven affiliates</a:t>
            </a:r>
            <a:r>
              <a:rPr lang="en-US" sz="2200" b="0"/>
              <a:t>)</a:t>
            </a:r>
          </a:p>
        </c:rich>
      </c:tx>
      <c:layout>
        <c:manualLayout>
          <c:xMode val="edge"/>
          <c:yMode val="edge"/>
          <c:x val="0.189120499592723"/>
          <c:y val="0.00222414223108989"/>
        </c:manualLayout>
      </c:layout>
      <c:overlay val="0"/>
    </c:title>
    <c:autoTitleDeleted val="0"/>
    <c:plotArea>
      <c:layout>
        <c:manualLayout>
          <c:layoutTarget val="inner"/>
          <c:xMode val="edge"/>
          <c:yMode val="edge"/>
          <c:x val="0.0791925061091501"/>
          <c:y val="0.0250030284675954"/>
          <c:w val="0.896301058919359"/>
          <c:h val="0.864833434282253"/>
        </c:manualLayout>
      </c:layout>
      <c:lineChart>
        <c:grouping val="standard"/>
        <c:varyColors val="0"/>
        <c:ser>
          <c:idx val="0"/>
          <c:order val="0"/>
          <c:spPr>
            <a:ln w="12700">
              <a:solidFill>
                <a:sysClr val="windowText" lastClr="000000"/>
              </a:solidFill>
            </a:ln>
            <a:effectLst/>
          </c:spPr>
          <c:marker>
            <c:symbol val="circle"/>
            <c:size val="10"/>
            <c:spPr>
              <a:solidFill>
                <a:srgbClr val="17375E"/>
              </a:solidFill>
              <a:ln>
                <a:solidFill>
                  <a:sysClr val="windowText" lastClr="000000"/>
                </a:solidFill>
              </a:ln>
              <a:effectLst/>
            </c:spPr>
          </c:marker>
          <c:cat>
            <c:numRef>
              <c:f>DataF6d!$A$3:$A$53</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DataF6d!$C$3:$C$53</c:f>
              <c:numCache>
                <c:formatCode>0%</c:formatCode>
                <c:ptCount val="51"/>
                <c:pt idx="0">
                  <c:v>0.73942345259072</c:v>
                </c:pt>
                <c:pt idx="1">
                  <c:v>0.822539011659236</c:v>
                </c:pt>
                <c:pt idx="2">
                  <c:v>0.78096736876872</c:v>
                </c:pt>
                <c:pt idx="3">
                  <c:v>0.81496380199561</c:v>
                </c:pt>
                <c:pt idx="4">
                  <c:v>1.139017559330375</c:v>
                </c:pt>
                <c:pt idx="5">
                  <c:v>1.121168582560796</c:v>
                </c:pt>
                <c:pt idx="6">
                  <c:v>1.038240945583143</c:v>
                </c:pt>
                <c:pt idx="7">
                  <c:v>1.169420729223918</c:v>
                </c:pt>
                <c:pt idx="8">
                  <c:v>0.936139874972866</c:v>
                </c:pt>
                <c:pt idx="9">
                  <c:v>0.826910318634114</c:v>
                </c:pt>
                <c:pt idx="10">
                  <c:v>0.648605669746471</c:v>
                </c:pt>
                <c:pt idx="11">
                  <c:v>0.736207844478726</c:v>
                </c:pt>
                <c:pt idx="12">
                  <c:v>0.957270079563666</c:v>
                </c:pt>
                <c:pt idx="13">
                  <c:v>1.160689765334891</c:v>
                </c:pt>
                <c:pt idx="14">
                  <c:v>1.576710353944148</c:v>
                </c:pt>
                <c:pt idx="15">
                  <c:v>1.324307325508162</c:v>
                </c:pt>
                <c:pt idx="16">
                  <c:v>1.424533741002472</c:v>
                </c:pt>
                <c:pt idx="17">
                  <c:v>1.260568176252125</c:v>
                </c:pt>
                <c:pt idx="18">
                  <c:v>1.232997521862609</c:v>
                </c:pt>
                <c:pt idx="19">
                  <c:v>1.315085631394444</c:v>
                </c:pt>
                <c:pt idx="20">
                  <c:v>1.202882189960793</c:v>
                </c:pt>
                <c:pt idx="21">
                  <c:v>1.772636261187582</c:v>
                </c:pt>
                <c:pt idx="22">
                  <c:v>1.455018935888383</c:v>
                </c:pt>
                <c:pt idx="23">
                  <c:v>1.984357236181508</c:v>
                </c:pt>
                <c:pt idx="24">
                  <c:v>2.425927442703158</c:v>
                </c:pt>
                <c:pt idx="25">
                  <c:v>2.60172077695619</c:v>
                </c:pt>
                <c:pt idx="26">
                  <c:v>2.177232038236987</c:v>
                </c:pt>
                <c:pt idx="27">
                  <c:v>2.139744727757924</c:v>
                </c:pt>
                <c:pt idx="28">
                  <c:v>2.252803488514147</c:v>
                </c:pt>
                <c:pt idx="29">
                  <c:v>2.427398346310998</c:v>
                </c:pt>
                <c:pt idx="30">
                  <c:v>2.328888128667693</c:v>
                </c:pt>
                <c:pt idx="31">
                  <c:v>2.77911786751614</c:v>
                </c:pt>
                <c:pt idx="32">
                  <c:v>3.537297726983364</c:v>
                </c:pt>
                <c:pt idx="33">
                  <c:v>2.764465650005603</c:v>
                </c:pt>
                <c:pt idx="34">
                  <c:v>3.073476646199738</c:v>
                </c:pt>
                <c:pt idx="35">
                  <c:v>3.149452280244816</c:v>
                </c:pt>
                <c:pt idx="36">
                  <c:v>3.212866005323246</c:v>
                </c:pt>
                <c:pt idx="37">
                  <c:v>3.219954478128548</c:v>
                </c:pt>
                <c:pt idx="38">
                  <c:v>3.661274588654613</c:v>
                </c:pt>
                <c:pt idx="39">
                  <c:v>2.629357412313723</c:v>
                </c:pt>
                <c:pt idx="40">
                  <c:v>3.015899971931736</c:v>
                </c:pt>
                <c:pt idx="41">
                  <c:v>2.97822281852688</c:v>
                </c:pt>
                <c:pt idx="42">
                  <c:v>2.11583396361231</c:v>
                </c:pt>
                <c:pt idx="43">
                  <c:v>3.000319466375766</c:v>
                </c:pt>
                <c:pt idx="44">
                  <c:v>2.632853339910192</c:v>
                </c:pt>
                <c:pt idx="45">
                  <c:v>2.5819730843617</c:v>
                </c:pt>
                <c:pt idx="46">
                  <c:v>2.924870504367082</c:v>
                </c:pt>
                <c:pt idx="47">
                  <c:v>2.909012064792274</c:v>
                </c:pt>
                <c:pt idx="48">
                  <c:v>3.061936420969351</c:v>
                </c:pt>
                <c:pt idx="49">
                  <c:v>4.552758190858814</c:v>
                </c:pt>
              </c:numCache>
            </c:numRef>
          </c:val>
          <c:smooth val="0"/>
          <c:extLst xmlns:c16r2="http://schemas.microsoft.com/office/drawing/2015/06/char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DataF6d!$A$3:$A$53</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DataF6d!$B$3:$B$53</c:f>
              <c:numCache>
                <c:formatCode>0%</c:formatCode>
                <c:ptCount val="51"/>
                <c:pt idx="0">
                  <c:v>1.075512801283905</c:v>
                </c:pt>
                <c:pt idx="1">
                  <c:v>1.075771251032449</c:v>
                </c:pt>
                <c:pt idx="2">
                  <c:v>1.076027222716969</c:v>
                </c:pt>
                <c:pt idx="3">
                  <c:v>1.075976060450029</c:v>
                </c:pt>
                <c:pt idx="4">
                  <c:v>1.075443824788507</c:v>
                </c:pt>
                <c:pt idx="5">
                  <c:v>1.07434564743157</c:v>
                </c:pt>
                <c:pt idx="6">
                  <c:v>1.07706349977517</c:v>
                </c:pt>
                <c:pt idx="7">
                  <c:v>1.077307081139568</c:v>
                </c:pt>
                <c:pt idx="8">
                  <c:v>1.075720249115333</c:v>
                </c:pt>
                <c:pt idx="9">
                  <c:v>1.072782646480894</c:v>
                </c:pt>
                <c:pt idx="10">
                  <c:v>1.068854760646887</c:v>
                </c:pt>
                <c:pt idx="11">
                  <c:v>1.09065276149317</c:v>
                </c:pt>
                <c:pt idx="12">
                  <c:v>1.078524987961556</c:v>
                </c:pt>
                <c:pt idx="13">
                  <c:v>1.067786088994155</c:v>
                </c:pt>
                <c:pt idx="14">
                  <c:v>1.0580946333087</c:v>
                </c:pt>
                <c:pt idx="15">
                  <c:v>1.049215331476854</c:v>
                </c:pt>
                <c:pt idx="16">
                  <c:v>1.040980712116836</c:v>
                </c:pt>
                <c:pt idx="17">
                  <c:v>1.033807858734837</c:v>
                </c:pt>
                <c:pt idx="18">
                  <c:v>1.038316560061908</c:v>
                </c:pt>
                <c:pt idx="19">
                  <c:v>1.100114406764403</c:v>
                </c:pt>
                <c:pt idx="20">
                  <c:v>1.130919241231368</c:v>
                </c:pt>
                <c:pt idx="21">
                  <c:v>1.07778953102171</c:v>
                </c:pt>
                <c:pt idx="22">
                  <c:v>1.012483121922837</c:v>
                </c:pt>
                <c:pt idx="23">
                  <c:v>0.99243558617268</c:v>
                </c:pt>
                <c:pt idx="24">
                  <c:v>1.035647768915462</c:v>
                </c:pt>
                <c:pt idx="25">
                  <c:v>0.999930385057688</c:v>
                </c:pt>
                <c:pt idx="26">
                  <c:v>1.109907136283778</c:v>
                </c:pt>
                <c:pt idx="27">
                  <c:v>1.071695288438709</c:v>
                </c:pt>
                <c:pt idx="28">
                  <c:v>1.001555323265049</c:v>
                </c:pt>
                <c:pt idx="29">
                  <c:v>1.012349102423066</c:v>
                </c:pt>
                <c:pt idx="30">
                  <c:v>0.965997575981256</c:v>
                </c:pt>
                <c:pt idx="31">
                  <c:v>0.986495782352019</c:v>
                </c:pt>
                <c:pt idx="32">
                  <c:v>0.980752452196372</c:v>
                </c:pt>
                <c:pt idx="33">
                  <c:v>1.109454321746264</c:v>
                </c:pt>
                <c:pt idx="34">
                  <c:v>1.211894615664786</c:v>
                </c:pt>
                <c:pt idx="35">
                  <c:v>1.310396649953406</c:v>
                </c:pt>
                <c:pt idx="36">
                  <c:v>1.344576412235064</c:v>
                </c:pt>
                <c:pt idx="37">
                  <c:v>1.242189861402213</c:v>
                </c:pt>
                <c:pt idx="38">
                  <c:v>1.105055628331092</c:v>
                </c:pt>
                <c:pt idx="39">
                  <c:v>1.211215793206026</c:v>
                </c:pt>
                <c:pt idx="40">
                  <c:v>1.209188666317347</c:v>
                </c:pt>
                <c:pt idx="41">
                  <c:v>1.158120505297929</c:v>
                </c:pt>
                <c:pt idx="42">
                  <c:v>1.256054998670141</c:v>
                </c:pt>
                <c:pt idx="43">
                  <c:v>1.276772395236935</c:v>
                </c:pt>
                <c:pt idx="44">
                  <c:v>1.301853050908872</c:v>
                </c:pt>
                <c:pt idx="45">
                  <c:v>1.327561252497459</c:v>
                </c:pt>
                <c:pt idx="46">
                  <c:v>1.302207992755873</c:v>
                </c:pt>
                <c:pt idx="47">
                  <c:v>1.257940401339607</c:v>
                </c:pt>
                <c:pt idx="48">
                  <c:v>1.3420195485011</c:v>
                </c:pt>
                <c:pt idx="49">
                  <c:v>1.429978457773379</c:v>
                </c:pt>
              </c:numCache>
            </c:numRef>
          </c:val>
          <c:smooth val="0"/>
          <c:extLst xmlns:c16r2="http://schemas.microsoft.com/office/drawing/2015/06/chart">
            <c:ext xmlns:c16="http://schemas.microsoft.com/office/drawing/2014/chart" uri="{C3380CC4-5D6E-409C-BE32-E72D297353CC}">
              <c16:uniqueId val="{00000001-031C-4692-A13B-43C6E9AFA7F4}"/>
            </c:ext>
          </c:extLst>
        </c:ser>
        <c:ser>
          <c:idx val="2"/>
          <c:order val="2"/>
          <c:spPr>
            <a:ln w="12700">
              <a:solidFill>
                <a:schemeClr val="tx1"/>
              </a:solidFill>
            </a:ln>
            <a:effectLst/>
          </c:spPr>
          <c:marker>
            <c:symbol val="circle"/>
            <c:size val="9"/>
            <c:spPr>
              <a:solidFill>
                <a:schemeClr val="accent6">
                  <a:lumMod val="60000"/>
                  <a:lumOff val="40000"/>
                </a:schemeClr>
              </a:solidFill>
              <a:ln>
                <a:solidFill>
                  <a:schemeClr val="tx1"/>
                </a:solidFill>
              </a:ln>
              <a:effectLst/>
            </c:spPr>
          </c:marker>
          <c:cat>
            <c:numRef>
              <c:f>DataF6d!$A$3:$A$53</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DataF6d!$F$3:$F$53</c:f>
              <c:numCache>
                <c:formatCode>0%</c:formatCode>
                <c:ptCount val="51"/>
                <c:pt idx="0">
                  <c:v>1.043036002695064</c:v>
                </c:pt>
                <c:pt idx="1">
                  <c:v>1.032623848720634</c:v>
                </c:pt>
                <c:pt idx="2">
                  <c:v>1.069088653992855</c:v>
                </c:pt>
                <c:pt idx="3">
                  <c:v>1.07327004893474</c:v>
                </c:pt>
                <c:pt idx="4">
                  <c:v>1.001497009743776</c:v>
                </c:pt>
                <c:pt idx="5">
                  <c:v>1.019351698863562</c:v>
                </c:pt>
                <c:pt idx="6">
                  <c:v>1.045789285033848</c:v>
                </c:pt>
                <c:pt idx="7">
                  <c:v>1.093768217092365</c:v>
                </c:pt>
                <c:pt idx="8">
                  <c:v>1.088871201259999</c:v>
                </c:pt>
                <c:pt idx="9">
                  <c:v>1.133532584905762</c:v>
                </c:pt>
                <c:pt idx="10">
                  <c:v>1.148646024114408</c:v>
                </c:pt>
                <c:pt idx="11">
                  <c:v>1.173225872144255</c:v>
                </c:pt>
                <c:pt idx="12">
                  <c:v>1.269633615213691</c:v>
                </c:pt>
                <c:pt idx="13">
                  <c:v>1.24391588393491</c:v>
                </c:pt>
                <c:pt idx="14">
                  <c:v>1.376677323471733</c:v>
                </c:pt>
                <c:pt idx="15">
                  <c:v>1.604264867448182</c:v>
                </c:pt>
                <c:pt idx="16">
                  <c:v>1.829165217549385</c:v>
                </c:pt>
                <c:pt idx="17">
                  <c:v>1.817783085234138</c:v>
                </c:pt>
                <c:pt idx="18">
                  <c:v>1.754708590092609</c:v>
                </c:pt>
                <c:pt idx="19">
                  <c:v>1.74527340198836</c:v>
                </c:pt>
                <c:pt idx="20">
                  <c:v>1.848611888802782</c:v>
                </c:pt>
                <c:pt idx="21">
                  <c:v>1.484517485111639</c:v>
                </c:pt>
                <c:pt idx="22">
                  <c:v>1.534935769933124</c:v>
                </c:pt>
                <c:pt idx="23">
                  <c:v>1.386035358017321</c:v>
                </c:pt>
                <c:pt idx="24">
                  <c:v>1.298949094393928</c:v>
                </c:pt>
                <c:pt idx="25">
                  <c:v>1.303567558655833</c:v>
                </c:pt>
                <c:pt idx="26">
                  <c:v>1.32459870835746</c:v>
                </c:pt>
                <c:pt idx="27">
                  <c:v>1.273590869776068</c:v>
                </c:pt>
                <c:pt idx="28">
                  <c:v>1.209762025764224</c:v>
                </c:pt>
                <c:pt idx="29">
                  <c:v>1.210005955153423</c:v>
                </c:pt>
                <c:pt idx="30">
                  <c:v>1.22033885914351</c:v>
                </c:pt>
                <c:pt idx="31">
                  <c:v>1.22242640497238</c:v>
                </c:pt>
                <c:pt idx="32">
                  <c:v>1.200122106735318</c:v>
                </c:pt>
                <c:pt idx="33">
                  <c:v>1.22329376779131</c:v>
                </c:pt>
                <c:pt idx="34">
                  <c:v>1.039701195808181</c:v>
                </c:pt>
                <c:pt idx="35">
                  <c:v>1.077611355038621</c:v>
                </c:pt>
                <c:pt idx="36">
                  <c:v>1.017406109125883</c:v>
                </c:pt>
                <c:pt idx="37">
                  <c:v>1.02218004617952</c:v>
                </c:pt>
                <c:pt idx="38">
                  <c:v>1.078070303309809</c:v>
                </c:pt>
                <c:pt idx="39">
                  <c:v>1.118977970093559</c:v>
                </c:pt>
                <c:pt idx="40">
                  <c:v>1.045532729876944</c:v>
                </c:pt>
                <c:pt idx="41">
                  <c:v>1.11985763129596</c:v>
                </c:pt>
                <c:pt idx="42">
                  <c:v>1.135265078963326</c:v>
                </c:pt>
                <c:pt idx="43">
                  <c:v>1.149591842714547</c:v>
                </c:pt>
                <c:pt idx="44">
                  <c:v>1.073093580810545</c:v>
                </c:pt>
                <c:pt idx="45">
                  <c:v>1.130277096643118</c:v>
                </c:pt>
                <c:pt idx="46">
                  <c:v>1.137620151041354</c:v>
                </c:pt>
                <c:pt idx="47">
                  <c:v>1.124515051864926</c:v>
                </c:pt>
                <c:pt idx="48">
                  <c:v>1.159825055512372</c:v>
                </c:pt>
                <c:pt idx="49">
                  <c:v>1.119472366929177</c:v>
                </c:pt>
              </c:numCache>
            </c:numRef>
          </c:val>
          <c:smooth val="0"/>
          <c:extLst xmlns:c16r2="http://schemas.microsoft.com/office/drawing/2015/06/chart">
            <c:ext xmlns:c16="http://schemas.microsoft.com/office/drawing/2014/chart" uri="{C3380CC4-5D6E-409C-BE32-E72D297353CC}">
              <c16:uniqueId val="{00000000-78B2-4675-B9A3-7BD0BBE196EA}"/>
            </c:ext>
          </c:extLst>
        </c:ser>
        <c:dLbls>
          <c:showLegendKey val="0"/>
          <c:showVal val="0"/>
          <c:showCatName val="0"/>
          <c:showSerName val="0"/>
          <c:showPercent val="0"/>
          <c:showBubbleSize val="0"/>
        </c:dLbls>
        <c:marker val="1"/>
        <c:smooth val="0"/>
        <c:axId val="-2115684584"/>
        <c:axId val="-2115678744"/>
      </c:lineChart>
      <c:catAx>
        <c:axId val="-2115684584"/>
        <c:scaling>
          <c:orientation val="minMax"/>
        </c:scaling>
        <c:delete val="0"/>
        <c:axPos val="b"/>
        <c:numFmt formatCode="General" sourceLinked="1"/>
        <c:majorTickMark val="none"/>
        <c:minorTickMark val="none"/>
        <c:tickLblPos val="nextTo"/>
        <c:txPr>
          <a:bodyPr/>
          <a:lstStyle/>
          <a:p>
            <a:pPr>
              <a:defRPr sz="1800"/>
            </a:pPr>
            <a:endParaRPr lang="en-US"/>
          </a:p>
        </c:txPr>
        <c:crossAx val="-2115678744"/>
        <c:crosses val="autoZero"/>
        <c:auto val="1"/>
        <c:lblAlgn val="ctr"/>
        <c:lblOffset val="100"/>
        <c:tickLblSkip val="5"/>
        <c:noMultiLvlLbl val="0"/>
      </c:catAx>
      <c:valAx>
        <c:axId val="-2115678744"/>
        <c:scaling>
          <c:orientation val="minMax"/>
          <c:max val="5.5"/>
          <c:min val="0.0"/>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15684584"/>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latin typeface="Garamond"/>
                <a:cs typeface="Garamond"/>
              </a:rPr>
              <a:t>The profitability </a:t>
            </a:r>
            <a:r>
              <a:rPr lang="en-US" sz="2200" b="1">
                <a:latin typeface="Garamond"/>
                <a:ea typeface="Lucida Grande"/>
                <a:cs typeface="Garamond"/>
              </a:rPr>
              <a:t>π</a:t>
            </a:r>
            <a:r>
              <a:rPr lang="en-US" sz="2200" b="1" baseline="0">
                <a:latin typeface="Garamond"/>
                <a:cs typeface="Garamond"/>
              </a:rPr>
              <a:t> of the affiliates of US multinationals</a:t>
            </a:r>
          </a:p>
          <a:p>
            <a:pPr>
              <a:defRPr sz="2200" b="1"/>
            </a:pPr>
            <a:r>
              <a:rPr lang="en-US" sz="2200" b="1" baseline="0"/>
              <a:t> </a:t>
            </a:r>
            <a:r>
              <a:rPr lang="en-US" sz="2200" b="0"/>
              <a:t>(ratio of Haven affiliates</a:t>
            </a:r>
            <a:r>
              <a:rPr lang="en-US" sz="2200" b="0" baseline="0"/>
              <a:t> / Non-haven affiliates</a:t>
            </a:r>
            <a:r>
              <a:rPr lang="en-US" sz="2200" b="0"/>
              <a:t>)</a:t>
            </a:r>
          </a:p>
        </c:rich>
      </c:tx>
      <c:layout>
        <c:manualLayout>
          <c:xMode val="edge"/>
          <c:yMode val="edge"/>
          <c:x val="0.189120499592723"/>
          <c:y val="0.00222414223108989"/>
        </c:manualLayout>
      </c:layout>
      <c:overlay val="0"/>
    </c:title>
    <c:autoTitleDeleted val="0"/>
    <c:plotArea>
      <c:layout>
        <c:manualLayout>
          <c:layoutTarget val="inner"/>
          <c:xMode val="edge"/>
          <c:yMode val="edge"/>
          <c:x val="0.0791925061091501"/>
          <c:y val="0.0250030284675954"/>
          <c:w val="0.896301058919359"/>
          <c:h val="0.864833434282253"/>
        </c:manualLayout>
      </c:layout>
      <c:lineChart>
        <c:grouping val="standard"/>
        <c:varyColors val="0"/>
        <c:ser>
          <c:idx val="0"/>
          <c:order val="0"/>
          <c:spPr>
            <a:ln w="12700">
              <a:solidFill>
                <a:sysClr val="windowText" lastClr="000000"/>
              </a:solidFill>
            </a:ln>
            <a:effectLst/>
          </c:spPr>
          <c:marker>
            <c:symbol val="circle"/>
            <c:size val="10"/>
            <c:spPr>
              <a:solidFill>
                <a:srgbClr val="17375E"/>
              </a:solidFill>
              <a:ln>
                <a:solidFill>
                  <a:sysClr val="windowText" lastClr="000000"/>
                </a:solidFill>
              </a:ln>
              <a:effectLst/>
            </c:spPr>
          </c:marker>
          <c:cat>
            <c:numRef>
              <c:f>DataF6d!$A$3:$A$53</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DataF6d!$C$3:$C$53</c:f>
              <c:numCache>
                <c:formatCode>0%</c:formatCode>
                <c:ptCount val="51"/>
                <c:pt idx="0">
                  <c:v>0.73942345259072</c:v>
                </c:pt>
                <c:pt idx="1">
                  <c:v>0.822539011659236</c:v>
                </c:pt>
                <c:pt idx="2">
                  <c:v>0.78096736876872</c:v>
                </c:pt>
                <c:pt idx="3">
                  <c:v>0.81496380199561</c:v>
                </c:pt>
                <c:pt idx="4">
                  <c:v>1.139017559330375</c:v>
                </c:pt>
                <c:pt idx="5">
                  <c:v>1.121168582560796</c:v>
                </c:pt>
                <c:pt idx="6">
                  <c:v>1.038240945583143</c:v>
                </c:pt>
                <c:pt idx="7">
                  <c:v>1.169420729223918</c:v>
                </c:pt>
                <c:pt idx="8">
                  <c:v>0.936139874972866</c:v>
                </c:pt>
                <c:pt idx="9">
                  <c:v>0.826910318634114</c:v>
                </c:pt>
                <c:pt idx="10">
                  <c:v>0.648605669746471</c:v>
                </c:pt>
                <c:pt idx="11">
                  <c:v>0.736207844478726</c:v>
                </c:pt>
                <c:pt idx="12">
                  <c:v>0.957270079563666</c:v>
                </c:pt>
                <c:pt idx="13">
                  <c:v>1.160689765334891</c:v>
                </c:pt>
                <c:pt idx="14">
                  <c:v>1.576710353944148</c:v>
                </c:pt>
                <c:pt idx="15">
                  <c:v>1.324307325508162</c:v>
                </c:pt>
                <c:pt idx="16">
                  <c:v>1.424533741002472</c:v>
                </c:pt>
                <c:pt idx="17">
                  <c:v>1.260568176252125</c:v>
                </c:pt>
                <c:pt idx="18">
                  <c:v>1.232997521862609</c:v>
                </c:pt>
                <c:pt idx="19">
                  <c:v>1.315085631394444</c:v>
                </c:pt>
                <c:pt idx="20">
                  <c:v>1.202882189960793</c:v>
                </c:pt>
                <c:pt idx="21">
                  <c:v>1.772636261187582</c:v>
                </c:pt>
                <c:pt idx="22">
                  <c:v>1.455018935888383</c:v>
                </c:pt>
                <c:pt idx="23">
                  <c:v>1.984357236181508</c:v>
                </c:pt>
                <c:pt idx="24">
                  <c:v>2.425927442703158</c:v>
                </c:pt>
                <c:pt idx="25">
                  <c:v>2.60172077695619</c:v>
                </c:pt>
                <c:pt idx="26">
                  <c:v>2.177232038236987</c:v>
                </c:pt>
                <c:pt idx="27">
                  <c:v>2.139744727757924</c:v>
                </c:pt>
                <c:pt idx="28">
                  <c:v>2.252803488514147</c:v>
                </c:pt>
                <c:pt idx="29">
                  <c:v>2.427398346310998</c:v>
                </c:pt>
                <c:pt idx="30">
                  <c:v>2.328888128667693</c:v>
                </c:pt>
                <c:pt idx="31">
                  <c:v>2.77911786751614</c:v>
                </c:pt>
                <c:pt idx="32">
                  <c:v>3.537297726983364</c:v>
                </c:pt>
                <c:pt idx="33">
                  <c:v>2.764465650005603</c:v>
                </c:pt>
                <c:pt idx="34">
                  <c:v>3.073476646199738</c:v>
                </c:pt>
                <c:pt idx="35">
                  <c:v>3.149452280244816</c:v>
                </c:pt>
                <c:pt idx="36">
                  <c:v>3.212866005323246</c:v>
                </c:pt>
                <c:pt idx="37">
                  <c:v>3.219954478128548</c:v>
                </c:pt>
                <c:pt idx="38">
                  <c:v>3.661274588654613</c:v>
                </c:pt>
                <c:pt idx="39">
                  <c:v>2.629357412313723</c:v>
                </c:pt>
                <c:pt idx="40">
                  <c:v>3.015899971931736</c:v>
                </c:pt>
                <c:pt idx="41">
                  <c:v>2.97822281852688</c:v>
                </c:pt>
                <c:pt idx="42">
                  <c:v>2.11583396361231</c:v>
                </c:pt>
                <c:pt idx="43">
                  <c:v>3.000319466375766</c:v>
                </c:pt>
                <c:pt idx="44">
                  <c:v>2.632853339910192</c:v>
                </c:pt>
                <c:pt idx="45">
                  <c:v>2.5819730843617</c:v>
                </c:pt>
                <c:pt idx="46">
                  <c:v>2.924870504367082</c:v>
                </c:pt>
                <c:pt idx="47">
                  <c:v>2.909012064792274</c:v>
                </c:pt>
                <c:pt idx="48">
                  <c:v>3.061936420969351</c:v>
                </c:pt>
                <c:pt idx="49">
                  <c:v>4.552758190858814</c:v>
                </c:pt>
              </c:numCache>
            </c:numRef>
          </c:val>
          <c:smooth val="0"/>
          <c:extLst xmlns:c16r2="http://schemas.microsoft.com/office/drawing/2015/06/char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DataF6d!$A$3:$A$53</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DataF6d!$B$3:$B$53</c:f>
              <c:numCache>
                <c:formatCode>0%</c:formatCode>
                <c:ptCount val="51"/>
                <c:pt idx="0">
                  <c:v>1.075512801283905</c:v>
                </c:pt>
                <c:pt idx="1">
                  <c:v>1.075771251032449</c:v>
                </c:pt>
                <c:pt idx="2">
                  <c:v>1.076027222716969</c:v>
                </c:pt>
                <c:pt idx="3">
                  <c:v>1.075976060450029</c:v>
                </c:pt>
                <c:pt idx="4">
                  <c:v>1.075443824788507</c:v>
                </c:pt>
                <c:pt idx="5">
                  <c:v>1.07434564743157</c:v>
                </c:pt>
                <c:pt idx="6">
                  <c:v>1.07706349977517</c:v>
                </c:pt>
                <c:pt idx="7">
                  <c:v>1.077307081139568</c:v>
                </c:pt>
                <c:pt idx="8">
                  <c:v>1.075720249115333</c:v>
                </c:pt>
                <c:pt idx="9">
                  <c:v>1.072782646480894</c:v>
                </c:pt>
                <c:pt idx="10">
                  <c:v>1.068854760646887</c:v>
                </c:pt>
                <c:pt idx="11">
                  <c:v>1.09065276149317</c:v>
                </c:pt>
                <c:pt idx="12">
                  <c:v>1.078524987961556</c:v>
                </c:pt>
                <c:pt idx="13">
                  <c:v>1.067786088994155</c:v>
                </c:pt>
                <c:pt idx="14">
                  <c:v>1.0580946333087</c:v>
                </c:pt>
                <c:pt idx="15">
                  <c:v>1.049215331476854</c:v>
                </c:pt>
                <c:pt idx="16">
                  <c:v>1.040980712116836</c:v>
                </c:pt>
                <c:pt idx="17">
                  <c:v>1.033807858734837</c:v>
                </c:pt>
                <c:pt idx="18">
                  <c:v>1.038316560061908</c:v>
                </c:pt>
                <c:pt idx="19">
                  <c:v>1.100114406764403</c:v>
                </c:pt>
                <c:pt idx="20">
                  <c:v>1.130919241231368</c:v>
                </c:pt>
                <c:pt idx="21">
                  <c:v>1.07778953102171</c:v>
                </c:pt>
                <c:pt idx="22">
                  <c:v>1.012483121922837</c:v>
                </c:pt>
                <c:pt idx="23">
                  <c:v>0.99243558617268</c:v>
                </c:pt>
                <c:pt idx="24">
                  <c:v>1.035647768915462</c:v>
                </c:pt>
                <c:pt idx="25">
                  <c:v>0.999930385057688</c:v>
                </c:pt>
                <c:pt idx="26">
                  <c:v>1.109907136283778</c:v>
                </c:pt>
                <c:pt idx="27">
                  <c:v>1.071695288438709</c:v>
                </c:pt>
                <c:pt idx="28">
                  <c:v>1.001555323265049</c:v>
                </c:pt>
                <c:pt idx="29">
                  <c:v>1.012349102423066</c:v>
                </c:pt>
                <c:pt idx="30">
                  <c:v>0.965997575981256</c:v>
                </c:pt>
                <c:pt idx="31">
                  <c:v>0.986495782352019</c:v>
                </c:pt>
                <c:pt idx="32">
                  <c:v>0.980752452196372</c:v>
                </c:pt>
                <c:pt idx="33">
                  <c:v>1.109454321746264</c:v>
                </c:pt>
                <c:pt idx="34">
                  <c:v>1.211894615664786</c:v>
                </c:pt>
                <c:pt idx="35">
                  <c:v>1.310396649953406</c:v>
                </c:pt>
                <c:pt idx="36">
                  <c:v>1.344576412235064</c:v>
                </c:pt>
                <c:pt idx="37">
                  <c:v>1.242189861402213</c:v>
                </c:pt>
                <c:pt idx="38">
                  <c:v>1.105055628331092</c:v>
                </c:pt>
                <c:pt idx="39">
                  <c:v>1.211215793206026</c:v>
                </c:pt>
                <c:pt idx="40">
                  <c:v>1.209188666317347</c:v>
                </c:pt>
                <c:pt idx="41">
                  <c:v>1.158120505297929</c:v>
                </c:pt>
                <c:pt idx="42">
                  <c:v>1.256054998670141</c:v>
                </c:pt>
                <c:pt idx="43">
                  <c:v>1.276772395236935</c:v>
                </c:pt>
                <c:pt idx="44">
                  <c:v>1.301853050908872</c:v>
                </c:pt>
                <c:pt idx="45">
                  <c:v>1.327561252497459</c:v>
                </c:pt>
                <c:pt idx="46">
                  <c:v>1.302207992755873</c:v>
                </c:pt>
                <c:pt idx="47">
                  <c:v>1.257940401339607</c:v>
                </c:pt>
                <c:pt idx="48">
                  <c:v>1.3420195485011</c:v>
                </c:pt>
                <c:pt idx="49">
                  <c:v>1.429978457773379</c:v>
                </c:pt>
              </c:numCache>
            </c:numRef>
          </c:val>
          <c:smooth val="0"/>
          <c:extLst xmlns:c16r2="http://schemas.microsoft.com/office/drawing/2015/06/chart">
            <c:ext xmlns:c16="http://schemas.microsoft.com/office/drawing/2014/chart" uri="{C3380CC4-5D6E-409C-BE32-E72D297353CC}">
              <c16:uniqueId val="{00000001-031C-4692-A13B-43C6E9AFA7F4}"/>
            </c:ext>
          </c:extLst>
        </c:ser>
        <c:ser>
          <c:idx val="2"/>
          <c:order val="2"/>
          <c:spPr>
            <a:ln w="12700">
              <a:solidFill>
                <a:schemeClr val="tx1"/>
              </a:solidFill>
            </a:ln>
            <a:effectLst/>
          </c:spPr>
          <c:marker>
            <c:symbol val="circle"/>
            <c:size val="9"/>
            <c:spPr>
              <a:solidFill>
                <a:schemeClr val="accent6">
                  <a:lumMod val="60000"/>
                  <a:lumOff val="40000"/>
                </a:schemeClr>
              </a:solidFill>
              <a:ln>
                <a:solidFill>
                  <a:schemeClr val="tx1"/>
                </a:solidFill>
              </a:ln>
              <a:effectLst/>
            </c:spPr>
          </c:marker>
          <c:cat>
            <c:numRef>
              <c:f>DataF6d!$A$3:$A$53</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DataF6d!$F$3:$F$53</c:f>
              <c:numCache>
                <c:formatCode>0%</c:formatCode>
                <c:ptCount val="51"/>
                <c:pt idx="0">
                  <c:v>1.043036002695064</c:v>
                </c:pt>
                <c:pt idx="1">
                  <c:v>1.032623848720634</c:v>
                </c:pt>
                <c:pt idx="2">
                  <c:v>1.069088653992855</c:v>
                </c:pt>
                <c:pt idx="3">
                  <c:v>1.07327004893474</c:v>
                </c:pt>
                <c:pt idx="4">
                  <c:v>1.001497009743776</c:v>
                </c:pt>
                <c:pt idx="5">
                  <c:v>1.019351698863562</c:v>
                </c:pt>
                <c:pt idx="6">
                  <c:v>1.045789285033848</c:v>
                </c:pt>
                <c:pt idx="7">
                  <c:v>1.093768217092365</c:v>
                </c:pt>
                <c:pt idx="8">
                  <c:v>1.088871201259999</c:v>
                </c:pt>
                <c:pt idx="9">
                  <c:v>1.133532584905762</c:v>
                </c:pt>
                <c:pt idx="10">
                  <c:v>1.148646024114408</c:v>
                </c:pt>
                <c:pt idx="11">
                  <c:v>1.173225872144255</c:v>
                </c:pt>
                <c:pt idx="12">
                  <c:v>1.269633615213691</c:v>
                </c:pt>
                <c:pt idx="13">
                  <c:v>1.24391588393491</c:v>
                </c:pt>
                <c:pt idx="14">
                  <c:v>1.376677323471733</c:v>
                </c:pt>
                <c:pt idx="15">
                  <c:v>1.604264867448182</c:v>
                </c:pt>
                <c:pt idx="16">
                  <c:v>1.829165217549385</c:v>
                </c:pt>
                <c:pt idx="17">
                  <c:v>1.817783085234138</c:v>
                </c:pt>
                <c:pt idx="18">
                  <c:v>1.754708590092609</c:v>
                </c:pt>
                <c:pt idx="19">
                  <c:v>1.74527340198836</c:v>
                </c:pt>
                <c:pt idx="20">
                  <c:v>1.848611888802782</c:v>
                </c:pt>
                <c:pt idx="21">
                  <c:v>1.484517485111639</c:v>
                </c:pt>
                <c:pt idx="22">
                  <c:v>1.534935769933124</c:v>
                </c:pt>
                <c:pt idx="23">
                  <c:v>1.386035358017321</c:v>
                </c:pt>
                <c:pt idx="24">
                  <c:v>1.298949094393928</c:v>
                </c:pt>
                <c:pt idx="25">
                  <c:v>1.303567558655833</c:v>
                </c:pt>
                <c:pt idx="26">
                  <c:v>1.32459870835746</c:v>
                </c:pt>
                <c:pt idx="27">
                  <c:v>1.273590869776068</c:v>
                </c:pt>
                <c:pt idx="28">
                  <c:v>1.209762025764224</c:v>
                </c:pt>
                <c:pt idx="29">
                  <c:v>1.210005955153423</c:v>
                </c:pt>
                <c:pt idx="30">
                  <c:v>1.22033885914351</c:v>
                </c:pt>
                <c:pt idx="31">
                  <c:v>1.22242640497238</c:v>
                </c:pt>
                <c:pt idx="32">
                  <c:v>1.200122106735318</c:v>
                </c:pt>
                <c:pt idx="33">
                  <c:v>1.22329376779131</c:v>
                </c:pt>
                <c:pt idx="34">
                  <c:v>1.039701195808181</c:v>
                </c:pt>
                <c:pt idx="35">
                  <c:v>1.077611355038621</c:v>
                </c:pt>
                <c:pt idx="36">
                  <c:v>1.017406109125883</c:v>
                </c:pt>
                <c:pt idx="37">
                  <c:v>1.02218004617952</c:v>
                </c:pt>
                <c:pt idx="38">
                  <c:v>1.078070303309809</c:v>
                </c:pt>
                <c:pt idx="39">
                  <c:v>1.118977970093559</c:v>
                </c:pt>
                <c:pt idx="40">
                  <c:v>1.045532729876944</c:v>
                </c:pt>
                <c:pt idx="41">
                  <c:v>1.11985763129596</c:v>
                </c:pt>
                <c:pt idx="42">
                  <c:v>1.135265078963326</c:v>
                </c:pt>
                <c:pt idx="43">
                  <c:v>1.149591842714547</c:v>
                </c:pt>
                <c:pt idx="44">
                  <c:v>1.073093580810545</c:v>
                </c:pt>
                <c:pt idx="45">
                  <c:v>1.130277096643118</c:v>
                </c:pt>
                <c:pt idx="46">
                  <c:v>1.137620151041354</c:v>
                </c:pt>
                <c:pt idx="47">
                  <c:v>1.124515051864926</c:v>
                </c:pt>
                <c:pt idx="48">
                  <c:v>1.159825055512372</c:v>
                </c:pt>
                <c:pt idx="49">
                  <c:v>1.119472366929177</c:v>
                </c:pt>
              </c:numCache>
            </c:numRef>
          </c:val>
          <c:smooth val="0"/>
          <c:extLst xmlns:c16r2="http://schemas.microsoft.com/office/drawing/2015/06/chart">
            <c:ext xmlns:c16="http://schemas.microsoft.com/office/drawing/2014/chart" uri="{C3380CC4-5D6E-409C-BE32-E72D297353CC}">
              <c16:uniqueId val="{00000000-78B2-4675-B9A3-7BD0BBE196EA}"/>
            </c:ext>
          </c:extLst>
        </c:ser>
        <c:dLbls>
          <c:showLegendKey val="0"/>
          <c:showVal val="0"/>
          <c:showCatName val="0"/>
          <c:showSerName val="0"/>
          <c:showPercent val="0"/>
          <c:showBubbleSize val="0"/>
        </c:dLbls>
        <c:marker val="1"/>
        <c:smooth val="0"/>
        <c:axId val="-2115598584"/>
        <c:axId val="-2115592728"/>
      </c:lineChart>
      <c:catAx>
        <c:axId val="-2115598584"/>
        <c:scaling>
          <c:orientation val="minMax"/>
        </c:scaling>
        <c:delete val="0"/>
        <c:axPos val="b"/>
        <c:numFmt formatCode="General" sourceLinked="1"/>
        <c:majorTickMark val="none"/>
        <c:minorTickMark val="none"/>
        <c:tickLblPos val="nextTo"/>
        <c:txPr>
          <a:bodyPr/>
          <a:lstStyle/>
          <a:p>
            <a:pPr>
              <a:defRPr sz="1800"/>
            </a:pPr>
            <a:endParaRPr lang="en-US"/>
          </a:p>
        </c:txPr>
        <c:crossAx val="-2115592728"/>
        <c:crosses val="autoZero"/>
        <c:auto val="1"/>
        <c:lblAlgn val="ctr"/>
        <c:lblOffset val="100"/>
        <c:tickLblSkip val="5"/>
        <c:noMultiLvlLbl val="0"/>
      </c:catAx>
      <c:valAx>
        <c:axId val="-2115592728"/>
        <c:scaling>
          <c:orientation val="minMax"/>
          <c:max val="5.5"/>
          <c:min val="0.0"/>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15598584"/>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US" sz="2200" b="1"/>
              <a:t>Allocating</a:t>
            </a:r>
            <a:r>
              <a:rPr lang="en-US" sz="2200" b="1" baseline="0"/>
              <a:t> the profits shifted to tax havens</a:t>
            </a:r>
            <a:endParaRPr lang="en-US" sz="2200" b="1"/>
          </a:p>
        </c:rich>
      </c:tx>
      <c:layout>
        <c:manualLayout>
          <c:xMode val="edge"/>
          <c:yMode val="edge"/>
          <c:x val="0.297539262510219"/>
          <c:y val="0.0104907257931671"/>
        </c:manualLayout>
      </c:layout>
      <c:overlay val="1"/>
    </c:title>
    <c:autoTitleDeleted val="0"/>
    <c:plotArea>
      <c:layout>
        <c:manualLayout>
          <c:layoutTarget val="inner"/>
          <c:xMode val="edge"/>
          <c:yMode val="edge"/>
          <c:x val="0.123268701928075"/>
          <c:y val="0.115410812171172"/>
          <c:w val="0.87599290298803"/>
          <c:h val="0.748775244621619"/>
        </c:manualLayout>
      </c:layout>
      <c:barChart>
        <c:barDir val="col"/>
        <c:grouping val="clustered"/>
        <c:varyColors val="0"/>
        <c:ser>
          <c:idx val="0"/>
          <c:order val="0"/>
          <c:tx>
            <c:strRef>
              <c:f>DataF7!$C$2</c:f>
              <c:strCache>
                <c:ptCount val="1"/>
                <c:pt idx="0">
                  <c:v>Where the shifted profits come from</c:v>
                </c:pt>
              </c:strCache>
            </c:strRef>
          </c:tx>
          <c:spPr>
            <a:solidFill>
              <a:schemeClr val="accent2">
                <a:lumMod val="60000"/>
                <a:lumOff val="40000"/>
              </a:schemeClr>
            </a:solidFill>
          </c:spPr>
          <c:invertIfNegative val="0"/>
          <c:cat>
            <c:strRef>
              <c:f>DataF7!$B$3:$B$6</c:f>
              <c:strCache>
                <c:ptCount val="4"/>
                <c:pt idx="0">
                  <c:v>EU</c:v>
                </c:pt>
                <c:pt idx="1">
                  <c:v>US</c:v>
                </c:pt>
                <c:pt idx="2">
                  <c:v>Developing countries</c:v>
                </c:pt>
                <c:pt idx="3">
                  <c:v>Rest of OECD</c:v>
                </c:pt>
              </c:strCache>
            </c:strRef>
          </c:cat>
          <c:val>
            <c:numRef>
              <c:f>DataF7!$C$3:$C$6</c:f>
              <c:numCache>
                <c:formatCode>0%</c:formatCode>
                <c:ptCount val="4"/>
                <c:pt idx="0">
                  <c:v>0.350380882063918</c:v>
                </c:pt>
                <c:pt idx="1">
                  <c:v>0.230420116437548</c:v>
                </c:pt>
                <c:pt idx="2">
                  <c:v>0.272176962962906</c:v>
                </c:pt>
                <c:pt idx="3">
                  <c:v>0.147022038535628</c:v>
                </c:pt>
              </c:numCache>
            </c:numRef>
          </c:val>
          <c:extLst xmlns:c16r2="http://schemas.microsoft.com/office/drawing/2015/06/chart">
            <c:ext xmlns:c16="http://schemas.microsoft.com/office/drawing/2014/chart" uri="{C3380CC4-5D6E-409C-BE32-E72D297353CC}">
              <c16:uniqueId val="{00000000-9F4E-4DBA-A8C3-50BB71E91B97}"/>
            </c:ext>
          </c:extLst>
        </c:ser>
        <c:ser>
          <c:idx val="1"/>
          <c:order val="1"/>
          <c:tx>
            <c:strRef>
              <c:f>DataF7!$D$2</c:f>
              <c:strCache>
                <c:ptCount val="1"/>
                <c:pt idx="0">
                  <c:v>To whom the shifted profits accrue</c:v>
                </c:pt>
              </c:strCache>
            </c:strRef>
          </c:tx>
          <c:spPr>
            <a:solidFill>
              <a:schemeClr val="accent1">
                <a:lumMod val="60000"/>
                <a:lumOff val="40000"/>
              </a:schemeClr>
            </a:solidFill>
          </c:spPr>
          <c:invertIfNegative val="0"/>
          <c:cat>
            <c:strRef>
              <c:f>DataF7!$B$3:$B$6</c:f>
              <c:strCache>
                <c:ptCount val="4"/>
                <c:pt idx="0">
                  <c:v>EU</c:v>
                </c:pt>
                <c:pt idx="1">
                  <c:v>US</c:v>
                </c:pt>
                <c:pt idx="2">
                  <c:v>Developing countries</c:v>
                </c:pt>
                <c:pt idx="3">
                  <c:v>Rest of OECD</c:v>
                </c:pt>
              </c:strCache>
            </c:strRef>
          </c:cat>
          <c:val>
            <c:numRef>
              <c:f>DataF7!$D$3:$D$6</c:f>
              <c:numCache>
                <c:formatCode>0%</c:formatCode>
                <c:ptCount val="4"/>
                <c:pt idx="0">
                  <c:v>0.289031175574683</c:v>
                </c:pt>
                <c:pt idx="1">
                  <c:v>0.495431633531316</c:v>
                </c:pt>
                <c:pt idx="2">
                  <c:v>0.134942256275623</c:v>
                </c:pt>
                <c:pt idx="3">
                  <c:v>0.0805949346183781</c:v>
                </c:pt>
              </c:numCache>
            </c:numRef>
          </c:val>
          <c:extLst xmlns:c16r2="http://schemas.microsoft.com/office/drawing/2015/06/chart">
            <c:ext xmlns:c16="http://schemas.microsoft.com/office/drawing/2014/chart" uri="{C3380CC4-5D6E-409C-BE32-E72D297353CC}">
              <c16:uniqueId val="{00000001-9F4E-4DBA-A8C3-50BB71E91B97}"/>
            </c:ext>
          </c:extLst>
        </c:ser>
        <c:dLbls>
          <c:showLegendKey val="0"/>
          <c:showVal val="0"/>
          <c:showCatName val="0"/>
          <c:showSerName val="0"/>
          <c:showPercent val="0"/>
          <c:showBubbleSize val="0"/>
        </c:dLbls>
        <c:gapWidth val="150"/>
        <c:axId val="-2115520360"/>
        <c:axId val="-2115517432"/>
      </c:barChart>
      <c:catAx>
        <c:axId val="-2115520360"/>
        <c:scaling>
          <c:orientation val="minMax"/>
        </c:scaling>
        <c:delete val="0"/>
        <c:axPos val="b"/>
        <c:numFmt formatCode="General" sourceLinked="0"/>
        <c:majorTickMark val="none"/>
        <c:minorTickMark val="none"/>
        <c:tickLblPos val="nextTo"/>
        <c:txPr>
          <a:bodyPr/>
          <a:lstStyle/>
          <a:p>
            <a:pPr>
              <a:defRPr sz="1800"/>
            </a:pPr>
            <a:endParaRPr lang="en-US"/>
          </a:p>
        </c:txPr>
        <c:crossAx val="-2115517432"/>
        <c:crosses val="autoZero"/>
        <c:auto val="1"/>
        <c:lblAlgn val="ctr"/>
        <c:lblOffset val="100"/>
        <c:noMultiLvlLbl val="0"/>
      </c:catAx>
      <c:valAx>
        <c:axId val="-2115517432"/>
        <c:scaling>
          <c:orientation val="minMax"/>
          <c:max val="0.52"/>
          <c:min val="0.0"/>
        </c:scaling>
        <c:delete val="0"/>
        <c:axPos val="l"/>
        <c:majorGridlines>
          <c:spPr>
            <a:ln>
              <a:noFill/>
            </a:ln>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Garamond" panose="02020404030301010803" pitchFamily="18" charset="0"/>
                    <a:ea typeface="+mn-ea"/>
                    <a:cs typeface="+mn-cs"/>
                  </a:defRPr>
                </a:pPr>
                <a:r>
                  <a:rPr lang="en-US" sz="1800" b="0" i="0" baseline="0">
                    <a:effectLst/>
                  </a:rPr>
                  <a:t>% of total profits shifted to tax havens</a:t>
                </a:r>
                <a:endParaRPr lang="en-GB">
                  <a:effectLst/>
                </a:endParaRPr>
              </a:p>
            </c:rich>
          </c:tx>
          <c:layout>
            <c:manualLayout>
              <c:xMode val="edge"/>
              <c:yMode val="edge"/>
              <c:x val="0.00632556688610645"/>
              <c:y val="0.169852897571904"/>
            </c:manualLayout>
          </c:layout>
          <c:overlay val="0"/>
        </c:title>
        <c:numFmt formatCode="0%" sourceLinked="1"/>
        <c:majorTickMark val="none"/>
        <c:minorTickMark val="none"/>
        <c:tickLblPos val="nextTo"/>
        <c:txPr>
          <a:bodyPr/>
          <a:lstStyle/>
          <a:p>
            <a:pPr>
              <a:defRPr sz="1800"/>
            </a:pPr>
            <a:endParaRPr lang="en-US"/>
          </a:p>
        </c:txPr>
        <c:crossAx val="-2115520360"/>
        <c:crosses val="autoZero"/>
        <c:crossBetween val="between"/>
      </c:valAx>
    </c:plotArea>
    <c:legend>
      <c:legendPos val="r"/>
      <c:layout>
        <c:manualLayout>
          <c:xMode val="edge"/>
          <c:yMode val="edge"/>
          <c:x val="0.590149197538832"/>
          <c:y val="0.183515303264916"/>
          <c:w val="0.382866270814509"/>
          <c:h val="0.219841860771588"/>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US" sz="2200" b="1"/>
              <a:t>Where do the shifted profits come from?</a:t>
            </a:r>
          </a:p>
        </c:rich>
      </c:tx>
      <c:layout>
        <c:manualLayout>
          <c:xMode val="edge"/>
          <c:yMode val="edge"/>
          <c:x val="0.274315218794372"/>
          <c:y val="0.00839867558396204"/>
        </c:manualLayout>
      </c:layout>
      <c:overlay val="1"/>
    </c:title>
    <c:autoTitleDeleted val="0"/>
    <c:plotArea>
      <c:layout>
        <c:manualLayout>
          <c:layoutTarget val="inner"/>
          <c:xMode val="edge"/>
          <c:yMode val="edge"/>
          <c:x val="0.123268701928075"/>
          <c:y val="0.115410812171172"/>
          <c:w val="0.87599290298803"/>
          <c:h val="0.763419596086054"/>
        </c:manualLayout>
      </c:layout>
      <c:barChart>
        <c:barDir val="col"/>
        <c:grouping val="clustered"/>
        <c:varyColors val="0"/>
        <c:ser>
          <c:idx val="0"/>
          <c:order val="0"/>
          <c:tx>
            <c:strRef>
              <c:f>DataF7!$C$2</c:f>
              <c:strCache>
                <c:ptCount val="1"/>
                <c:pt idx="0">
                  <c:v>Where the shifted profits come from</c:v>
                </c:pt>
              </c:strCache>
            </c:strRef>
          </c:tx>
          <c:spPr>
            <a:solidFill>
              <a:schemeClr val="accent2">
                <a:lumMod val="60000"/>
                <a:lumOff val="40000"/>
              </a:schemeClr>
            </a:solidFill>
          </c:spPr>
          <c:invertIfNegative val="0"/>
          <c:cat>
            <c:strRef>
              <c:f>DataF7!$B$3:$B$6</c:f>
              <c:strCache>
                <c:ptCount val="4"/>
                <c:pt idx="0">
                  <c:v>EU</c:v>
                </c:pt>
                <c:pt idx="1">
                  <c:v>US</c:v>
                </c:pt>
                <c:pt idx="2">
                  <c:v>Developing countries</c:v>
                </c:pt>
                <c:pt idx="3">
                  <c:v>Rest of OECD</c:v>
                </c:pt>
              </c:strCache>
            </c:strRef>
          </c:cat>
          <c:val>
            <c:numRef>
              <c:f>DataF7!$C$3:$C$6</c:f>
              <c:numCache>
                <c:formatCode>0%</c:formatCode>
                <c:ptCount val="4"/>
                <c:pt idx="0">
                  <c:v>0.350380882063918</c:v>
                </c:pt>
                <c:pt idx="1">
                  <c:v>0.230420116437548</c:v>
                </c:pt>
                <c:pt idx="2">
                  <c:v>0.272176962962906</c:v>
                </c:pt>
                <c:pt idx="3">
                  <c:v>0.147022038535628</c:v>
                </c:pt>
              </c:numCache>
            </c:numRef>
          </c:val>
          <c:extLst xmlns:c16r2="http://schemas.microsoft.com/office/drawing/2015/06/chart">
            <c:ext xmlns:c16="http://schemas.microsoft.com/office/drawing/2014/chart" uri="{C3380CC4-5D6E-409C-BE32-E72D297353CC}">
              <c16:uniqueId val="{00000000-9F4E-4DBA-A8C3-50BB71E91B97}"/>
            </c:ext>
          </c:extLst>
        </c:ser>
        <c:dLbls>
          <c:showLegendKey val="0"/>
          <c:showVal val="0"/>
          <c:showCatName val="0"/>
          <c:showSerName val="0"/>
          <c:showPercent val="0"/>
          <c:showBubbleSize val="0"/>
        </c:dLbls>
        <c:gapWidth val="150"/>
        <c:axId val="-2115474456"/>
        <c:axId val="-2115471368"/>
      </c:barChart>
      <c:catAx>
        <c:axId val="-2115474456"/>
        <c:scaling>
          <c:orientation val="minMax"/>
        </c:scaling>
        <c:delete val="0"/>
        <c:axPos val="b"/>
        <c:numFmt formatCode="General" sourceLinked="0"/>
        <c:majorTickMark val="none"/>
        <c:minorTickMark val="none"/>
        <c:tickLblPos val="nextTo"/>
        <c:txPr>
          <a:bodyPr/>
          <a:lstStyle/>
          <a:p>
            <a:pPr>
              <a:defRPr sz="1800"/>
            </a:pPr>
            <a:endParaRPr lang="en-US"/>
          </a:p>
        </c:txPr>
        <c:crossAx val="-2115471368"/>
        <c:crosses val="autoZero"/>
        <c:auto val="1"/>
        <c:lblAlgn val="ctr"/>
        <c:lblOffset val="100"/>
        <c:noMultiLvlLbl val="0"/>
      </c:catAx>
      <c:valAx>
        <c:axId val="-2115471368"/>
        <c:scaling>
          <c:orientation val="minMax"/>
        </c:scaling>
        <c:delete val="0"/>
        <c:axPos val="l"/>
        <c:majorGridlines>
          <c:spPr>
            <a:ln>
              <a:noFill/>
            </a:ln>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Garamond" panose="02020404030301010803" pitchFamily="18" charset="0"/>
                    <a:ea typeface="+mn-ea"/>
                    <a:cs typeface="+mn-cs"/>
                  </a:defRPr>
                </a:pPr>
                <a:r>
                  <a:rPr lang="en-US" sz="1800" b="0" i="0" baseline="0">
                    <a:effectLst/>
                  </a:rPr>
                  <a:t>% of total profits shifted to tax havens</a:t>
                </a:r>
                <a:endParaRPr lang="en-GB">
                  <a:effectLst/>
                </a:endParaRPr>
              </a:p>
            </c:rich>
          </c:tx>
          <c:layout>
            <c:manualLayout>
              <c:xMode val="edge"/>
              <c:yMode val="edge"/>
              <c:x val="0.00495944666752721"/>
              <c:y val="0.180313148617929"/>
            </c:manualLayout>
          </c:layout>
          <c:overlay val="0"/>
        </c:title>
        <c:numFmt formatCode="0%" sourceLinked="1"/>
        <c:majorTickMark val="none"/>
        <c:minorTickMark val="none"/>
        <c:tickLblPos val="nextTo"/>
        <c:txPr>
          <a:bodyPr/>
          <a:lstStyle/>
          <a:p>
            <a:pPr>
              <a:defRPr sz="1800"/>
            </a:pPr>
            <a:endParaRPr lang="en-US"/>
          </a:p>
        </c:txPr>
        <c:crossAx val="-2115474456"/>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US" sz="2200" b="1"/>
              <a:t>Tax revenue lost due</a:t>
            </a:r>
            <a:r>
              <a:rPr lang="en-US" sz="2200" b="1" baseline="0"/>
              <a:t> to profit shifting</a:t>
            </a:r>
            <a:r>
              <a:rPr lang="en-US" sz="2200" b="1"/>
              <a:t> </a:t>
            </a:r>
          </a:p>
          <a:p>
            <a:pPr>
              <a:defRPr sz="2200" b="1"/>
            </a:pPr>
            <a:r>
              <a:rPr lang="en-US" sz="2200" b="0"/>
              <a:t>(% of corporate tax revenue collected)</a:t>
            </a:r>
            <a:r>
              <a:rPr lang="en-US" sz="2200" b="0" baseline="0"/>
              <a:t> </a:t>
            </a:r>
            <a:endParaRPr lang="en-US" sz="2200" b="0"/>
          </a:p>
        </c:rich>
      </c:tx>
      <c:layout>
        <c:manualLayout>
          <c:xMode val="edge"/>
          <c:yMode val="edge"/>
          <c:x val="0.300271502947377"/>
          <c:y val="3.04747471419631E-5"/>
        </c:manualLayout>
      </c:layout>
      <c:overlay val="1"/>
    </c:title>
    <c:autoTitleDeleted val="0"/>
    <c:plotArea>
      <c:layout>
        <c:manualLayout>
          <c:layoutTarget val="inner"/>
          <c:xMode val="edge"/>
          <c:yMode val="edge"/>
          <c:x val="0.0754838432081236"/>
          <c:y val="0.115410812171172"/>
          <c:w val="0.923777698894196"/>
          <c:h val="0.765511646295259"/>
        </c:manualLayout>
      </c:layout>
      <c:barChart>
        <c:barDir val="col"/>
        <c:grouping val="clustered"/>
        <c:varyColors val="0"/>
        <c:ser>
          <c:idx val="0"/>
          <c:order val="0"/>
          <c:tx>
            <c:strRef>
              <c:f>DataF7!$E$2</c:f>
              <c:strCache>
                <c:ptCount val="1"/>
                <c:pt idx="0">
                  <c:v>Benchmark scenario: transactions with tax havens</c:v>
                </c:pt>
              </c:strCache>
            </c:strRef>
          </c:tx>
          <c:spPr>
            <a:solidFill>
              <a:schemeClr val="accent2">
                <a:lumMod val="60000"/>
                <a:lumOff val="40000"/>
              </a:schemeClr>
            </a:solidFill>
          </c:spPr>
          <c:invertIfNegative val="0"/>
          <c:cat>
            <c:strRef>
              <c:f>DataF7!$B$3:$B$7</c:f>
              <c:strCache>
                <c:ptCount val="5"/>
                <c:pt idx="0">
                  <c:v>EU</c:v>
                </c:pt>
                <c:pt idx="1">
                  <c:v>US</c:v>
                </c:pt>
                <c:pt idx="2">
                  <c:v>Developing countries</c:v>
                </c:pt>
                <c:pt idx="3">
                  <c:v>Rest of OECD</c:v>
                </c:pt>
                <c:pt idx="4">
                  <c:v>World</c:v>
                </c:pt>
              </c:strCache>
            </c:strRef>
          </c:cat>
          <c:val>
            <c:numRef>
              <c:f>DataF7!$E$3:$E$6</c:f>
              <c:numCache>
                <c:formatCode>0%</c:formatCode>
                <c:ptCount val="4"/>
                <c:pt idx="0">
                  <c:v>0.181910218279729</c:v>
                </c:pt>
                <c:pt idx="1">
                  <c:v>0.140294377884416</c:v>
                </c:pt>
                <c:pt idx="2">
                  <c:v>0.0699981398441913</c:v>
                </c:pt>
                <c:pt idx="3">
                  <c:v>0.064483253094603</c:v>
                </c:pt>
              </c:numCache>
            </c:numRef>
          </c:val>
          <c:extLst xmlns:c16r2="http://schemas.microsoft.com/office/drawing/2015/06/chart">
            <c:ext xmlns:c16="http://schemas.microsoft.com/office/drawing/2014/chart" uri="{C3380CC4-5D6E-409C-BE32-E72D297353CC}">
              <c16:uniqueId val="{00000000-1428-4467-BF01-042C8B4FC459}"/>
            </c:ext>
          </c:extLst>
        </c:ser>
        <c:dLbls>
          <c:showLegendKey val="0"/>
          <c:showVal val="0"/>
          <c:showCatName val="0"/>
          <c:showSerName val="0"/>
          <c:showPercent val="0"/>
          <c:showBubbleSize val="0"/>
        </c:dLbls>
        <c:gapWidth val="150"/>
        <c:axId val="-2096408456"/>
        <c:axId val="-2096405416"/>
      </c:barChart>
      <c:catAx>
        <c:axId val="-2096408456"/>
        <c:scaling>
          <c:orientation val="minMax"/>
        </c:scaling>
        <c:delete val="0"/>
        <c:axPos val="b"/>
        <c:numFmt formatCode="General" sourceLinked="0"/>
        <c:majorTickMark val="none"/>
        <c:minorTickMark val="none"/>
        <c:tickLblPos val="nextTo"/>
        <c:txPr>
          <a:bodyPr/>
          <a:lstStyle/>
          <a:p>
            <a:pPr>
              <a:defRPr sz="1800"/>
            </a:pPr>
            <a:endParaRPr lang="en-US"/>
          </a:p>
        </c:txPr>
        <c:crossAx val="-2096405416"/>
        <c:crosses val="autoZero"/>
        <c:auto val="1"/>
        <c:lblAlgn val="ctr"/>
        <c:lblOffset val="100"/>
        <c:noMultiLvlLbl val="0"/>
      </c:catAx>
      <c:valAx>
        <c:axId val="-2096405416"/>
        <c:scaling>
          <c:orientation val="minMax"/>
          <c:max val="0.2"/>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096408456"/>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US" sz="2200" b="1"/>
              <a:t>Tax revenue lost due</a:t>
            </a:r>
            <a:r>
              <a:rPr lang="en-US" sz="2200" b="1" baseline="0"/>
              <a:t> to profit shifting: </a:t>
            </a:r>
          </a:p>
          <a:p>
            <a:pPr>
              <a:defRPr sz="2200" b="1"/>
            </a:pPr>
            <a:r>
              <a:rPr lang="en-US" sz="2200" b="1" baseline="0"/>
              <a:t>more open countries lose more</a:t>
            </a:r>
            <a:r>
              <a:rPr lang="en-US" sz="2200" b="1"/>
              <a:t> </a:t>
            </a:r>
          </a:p>
        </c:rich>
      </c:tx>
      <c:layout>
        <c:manualLayout>
          <c:xMode val="edge"/>
          <c:yMode val="edge"/>
          <c:x val="0.300271502947377"/>
          <c:y val="3.04747471419631E-5"/>
        </c:manualLayout>
      </c:layout>
      <c:overlay val="1"/>
    </c:title>
    <c:autoTitleDeleted val="0"/>
    <c:plotArea>
      <c:layout>
        <c:manualLayout>
          <c:layoutTarget val="inner"/>
          <c:xMode val="edge"/>
          <c:yMode val="edge"/>
          <c:x val="0.0754838432081236"/>
          <c:y val="0.115410812171172"/>
          <c:w val="0.923777698894196"/>
          <c:h val="0.765511646295259"/>
        </c:manualLayout>
      </c:layout>
      <c:barChart>
        <c:barDir val="col"/>
        <c:grouping val="clustered"/>
        <c:varyColors val="0"/>
        <c:ser>
          <c:idx val="0"/>
          <c:order val="0"/>
          <c:tx>
            <c:v>Lost revenue, % revenue collected</c:v>
          </c:tx>
          <c:spPr>
            <a:solidFill>
              <a:schemeClr val="accent2">
                <a:lumMod val="60000"/>
                <a:lumOff val="40000"/>
              </a:schemeClr>
            </a:solidFill>
          </c:spPr>
          <c:invertIfNegative val="0"/>
          <c:cat>
            <c:strRef>
              <c:f>DataF7!$B$3:$B$7</c:f>
              <c:strCache>
                <c:ptCount val="5"/>
                <c:pt idx="0">
                  <c:v>EU</c:v>
                </c:pt>
                <c:pt idx="1">
                  <c:v>US</c:v>
                </c:pt>
                <c:pt idx="2">
                  <c:v>Developing countries</c:v>
                </c:pt>
                <c:pt idx="3">
                  <c:v>Rest of OECD</c:v>
                </c:pt>
                <c:pt idx="4">
                  <c:v>World</c:v>
                </c:pt>
              </c:strCache>
            </c:strRef>
          </c:cat>
          <c:val>
            <c:numRef>
              <c:f>DataF7!$E$3:$E$6</c:f>
              <c:numCache>
                <c:formatCode>0%</c:formatCode>
                <c:ptCount val="4"/>
                <c:pt idx="0">
                  <c:v>0.181910218279729</c:v>
                </c:pt>
                <c:pt idx="1">
                  <c:v>0.140294377884416</c:v>
                </c:pt>
                <c:pt idx="2">
                  <c:v>0.0699981398441913</c:v>
                </c:pt>
                <c:pt idx="3">
                  <c:v>0.064483253094603</c:v>
                </c:pt>
              </c:numCache>
            </c:numRef>
          </c:val>
          <c:extLst xmlns:c16r2="http://schemas.microsoft.com/office/drawing/2015/06/chart">
            <c:ext xmlns:c16="http://schemas.microsoft.com/office/drawing/2014/chart" uri="{C3380CC4-5D6E-409C-BE32-E72D297353CC}">
              <c16:uniqueId val="{00000000-1428-4467-BF01-042C8B4FC459}"/>
            </c:ext>
          </c:extLst>
        </c:ser>
        <c:ser>
          <c:idx val="1"/>
          <c:order val="1"/>
          <c:tx>
            <c:v>Compensation paid in foreign-controlled firms, % total compensation paid</c:v>
          </c:tx>
          <c:invertIfNegative val="0"/>
          <c:cat>
            <c:strRef>
              <c:f>DataF7!$B$3:$B$7</c:f>
              <c:strCache>
                <c:ptCount val="5"/>
                <c:pt idx="0">
                  <c:v>EU</c:v>
                </c:pt>
                <c:pt idx="1">
                  <c:v>US</c:v>
                </c:pt>
                <c:pt idx="2">
                  <c:v>Developing countries</c:v>
                </c:pt>
                <c:pt idx="3">
                  <c:v>Rest of OECD</c:v>
                </c:pt>
                <c:pt idx="4">
                  <c:v>World</c:v>
                </c:pt>
              </c:strCache>
            </c:strRef>
          </c:cat>
          <c:val>
            <c:numRef>
              <c:f>DataF7!$G$3:$G$6</c:f>
              <c:numCache>
                <c:formatCode>0%</c:formatCode>
                <c:ptCount val="4"/>
                <c:pt idx="0">
                  <c:v>0.222810209113827</c:v>
                </c:pt>
                <c:pt idx="1">
                  <c:v>0.0893133618955622</c:v>
                </c:pt>
                <c:pt idx="2">
                  <c:v>0.0905545864398479</c:v>
                </c:pt>
                <c:pt idx="3">
                  <c:v>0.128829122132217</c:v>
                </c:pt>
              </c:numCache>
            </c:numRef>
          </c:val>
          <c:extLst xmlns:c16r2="http://schemas.microsoft.com/office/drawing/2015/06/chart">
            <c:ext xmlns:c16="http://schemas.microsoft.com/office/drawing/2014/chart" uri="{C3380CC4-5D6E-409C-BE32-E72D297353CC}">
              <c16:uniqueId val="{00000000-4C51-41BF-A5BE-8D8C1D1F18BD}"/>
            </c:ext>
          </c:extLst>
        </c:ser>
        <c:dLbls>
          <c:showLegendKey val="0"/>
          <c:showVal val="0"/>
          <c:showCatName val="0"/>
          <c:showSerName val="0"/>
          <c:showPercent val="0"/>
          <c:showBubbleSize val="0"/>
        </c:dLbls>
        <c:gapWidth val="150"/>
        <c:axId val="-2115425224"/>
        <c:axId val="-2115422136"/>
      </c:barChart>
      <c:catAx>
        <c:axId val="-2115425224"/>
        <c:scaling>
          <c:orientation val="minMax"/>
        </c:scaling>
        <c:delete val="0"/>
        <c:axPos val="b"/>
        <c:numFmt formatCode="General" sourceLinked="0"/>
        <c:majorTickMark val="none"/>
        <c:minorTickMark val="none"/>
        <c:tickLblPos val="nextTo"/>
        <c:txPr>
          <a:bodyPr/>
          <a:lstStyle/>
          <a:p>
            <a:pPr>
              <a:defRPr sz="1800"/>
            </a:pPr>
            <a:endParaRPr lang="en-US"/>
          </a:p>
        </c:txPr>
        <c:crossAx val="-2115422136"/>
        <c:crosses val="autoZero"/>
        <c:auto val="1"/>
        <c:lblAlgn val="ctr"/>
        <c:lblOffset val="100"/>
        <c:noMultiLvlLbl val="0"/>
      </c:catAx>
      <c:valAx>
        <c:axId val="-2115422136"/>
        <c:scaling>
          <c:orientation val="minMax"/>
          <c:max val="0.2"/>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15425224"/>
        <c:crosses val="autoZero"/>
        <c:crossBetween val="between"/>
      </c:valAx>
    </c:plotArea>
    <c:legend>
      <c:legendPos val="r"/>
      <c:layout>
        <c:manualLayout>
          <c:xMode val="edge"/>
          <c:yMode val="edge"/>
          <c:x val="0.512047781937094"/>
          <c:y val="0.187730043158831"/>
          <c:w val="0.470192655221376"/>
          <c:h val="0.156674134352453"/>
        </c:manualLayout>
      </c:layout>
      <c:overlay val="0"/>
      <c:txPr>
        <a:bodyPr/>
        <a:lstStyle/>
        <a:p>
          <a:pPr>
            <a:defRPr sz="16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r>
              <a:rPr lang="en-US" sz="2200" b="0"/>
              <a:t> )</a:t>
            </a:r>
          </a:p>
        </c:rich>
      </c:tx>
      <c:layout>
        <c:manualLayout>
          <c:xMode val="edge"/>
          <c:yMode val="edge"/>
          <c:x val="0.317662748716126"/>
          <c:y val="0.00833275914606321"/>
        </c:manualLayout>
      </c:layout>
      <c:overlay val="1"/>
    </c:title>
    <c:autoTitleDeleted val="0"/>
    <c:plotArea>
      <c:layout>
        <c:manualLayout>
          <c:layoutTarget val="inner"/>
          <c:xMode val="edge"/>
          <c:yMode val="edge"/>
          <c:x val="0.0784352007228605"/>
          <c:y val="0.090193426222898"/>
          <c:w val="0.921564799277139"/>
          <c:h val="0.656719002397444"/>
        </c:manualLayout>
      </c:layout>
      <c:barChart>
        <c:barDir val="col"/>
        <c:grouping val="stacked"/>
        <c:varyColors val="0"/>
        <c:ser>
          <c:idx val="0"/>
          <c:order val="0"/>
          <c:tx>
            <c:v>As reported in the national accounts</c:v>
          </c:tx>
          <c:spPr>
            <a:solidFill>
              <a:schemeClr val="tx2">
                <a:lumMod val="60000"/>
                <a:lumOff val="40000"/>
              </a:schemeClr>
            </a:solidFill>
            <a:ln>
              <a:noFill/>
            </a:ln>
            <a:effectLst/>
          </c:spPr>
          <c:invertIfNegative val="0"/>
          <c:cat>
            <c:strRef>
              <c:f>DataF3!$A$2:$A$18</c:f>
              <c:strCache>
                <c:ptCount val="17"/>
                <c:pt idx="0">
                  <c:v>Luxembourg</c:v>
                </c:pt>
                <c:pt idx="1">
                  <c:v>Ireland</c:v>
                </c:pt>
                <c:pt idx="2">
                  <c:v>Puerto Rico</c:v>
                </c:pt>
                <c:pt idx="3">
                  <c:v>Singapore</c:v>
                </c:pt>
                <c:pt idx="4">
                  <c:v>Hong Kong</c:v>
                </c:pt>
                <c:pt idx="5">
                  <c:v>Netherlands</c:v>
                </c:pt>
                <c:pt idx="6">
                  <c:v>Belgium</c:v>
                </c:pt>
                <c:pt idx="7">
                  <c:v>Germany</c:v>
                </c:pt>
                <c:pt idx="8">
                  <c:v>Italy</c:v>
                </c:pt>
                <c:pt idx="9">
                  <c:v>United Kingdom</c:v>
                </c:pt>
                <c:pt idx="10">
                  <c:v>Japan</c:v>
                </c:pt>
                <c:pt idx="11">
                  <c:v>Spain</c:v>
                </c:pt>
                <c:pt idx="12">
                  <c:v>Australia</c:v>
                </c:pt>
                <c:pt idx="13">
                  <c:v>United States</c:v>
                </c:pt>
                <c:pt idx="14">
                  <c:v>Switzerland</c:v>
                </c:pt>
                <c:pt idx="15">
                  <c:v>Canada</c:v>
                </c:pt>
                <c:pt idx="16">
                  <c:v>France</c:v>
                </c:pt>
              </c:strCache>
            </c:strRef>
          </c:cat>
          <c:val>
            <c:numRef>
              <c:f>DataF3!$C$2:$C$18</c:f>
              <c:numCache>
                <c:formatCode>0%</c:formatCode>
                <c:ptCount val="17"/>
                <c:pt idx="0">
                  <c:v>1.102879924663456</c:v>
                </c:pt>
                <c:pt idx="1">
                  <c:v>1.6221937040391</c:v>
                </c:pt>
                <c:pt idx="2">
                  <c:v>2.285299986639992</c:v>
                </c:pt>
                <c:pt idx="3">
                  <c:v>0.623879233388519</c:v>
                </c:pt>
                <c:pt idx="4">
                  <c:v>0.631505592532609</c:v>
                </c:pt>
                <c:pt idx="5">
                  <c:v>0.489555372921279</c:v>
                </c:pt>
                <c:pt idx="6">
                  <c:v>0.460428957137586</c:v>
                </c:pt>
                <c:pt idx="7">
                  <c:v>0.452204745473754</c:v>
                </c:pt>
                <c:pt idx="8">
                  <c:v>0.430945795156474</c:v>
                </c:pt>
                <c:pt idx="9">
                  <c:v>0.419774824524874</c:v>
                </c:pt>
                <c:pt idx="10">
                  <c:v>0.418842607708529</c:v>
                </c:pt>
                <c:pt idx="11">
                  <c:v>0.404285387876685</c:v>
                </c:pt>
                <c:pt idx="12">
                  <c:v>0.359865112937984</c:v>
                </c:pt>
                <c:pt idx="13">
                  <c:v>0.313015811565564</c:v>
                </c:pt>
                <c:pt idx="14">
                  <c:v>0.295463513802057</c:v>
                </c:pt>
                <c:pt idx="15">
                  <c:v>0.233058888996234</c:v>
                </c:pt>
                <c:pt idx="16">
                  <c:v>0.215357750150187</c:v>
                </c:pt>
              </c:numCache>
            </c:numRef>
          </c:val>
          <c:extLst xmlns:c16r2="http://schemas.microsoft.com/office/drawing/2015/06/chart">
            <c:ext xmlns:c16="http://schemas.microsoft.com/office/drawing/2014/chart" uri="{C3380CC4-5D6E-409C-BE32-E72D297353CC}">
              <c16:uniqueId val="{00000000-295F-45AC-B6C8-8A0426A687D6}"/>
            </c:ext>
          </c:extLst>
        </c:ser>
        <c:ser>
          <c:idx val="2"/>
          <c:order val="2"/>
          <c:tx>
            <c:strRef>
              <c:f>DataF3!$D$1</c:f>
              <c:strCache>
                <c:ptCount val="1"/>
                <c:pt idx="0">
                  <c:v>Missing profits of U.S. multinationals</c:v>
                </c:pt>
              </c:strCache>
            </c:strRef>
          </c:tx>
          <c:spPr>
            <a:solidFill>
              <a:schemeClr val="accent2"/>
            </a:solidFill>
            <a:ln>
              <a:noFill/>
            </a:ln>
          </c:spPr>
          <c:invertIfNegative val="0"/>
          <c:cat>
            <c:strRef>
              <c:f>DataF3!$A$2:$A$18</c:f>
              <c:strCache>
                <c:ptCount val="17"/>
                <c:pt idx="0">
                  <c:v>Luxembourg</c:v>
                </c:pt>
                <c:pt idx="1">
                  <c:v>Ireland</c:v>
                </c:pt>
                <c:pt idx="2">
                  <c:v>Puerto Rico</c:v>
                </c:pt>
                <c:pt idx="3">
                  <c:v>Singapore</c:v>
                </c:pt>
                <c:pt idx="4">
                  <c:v>Hong Kong</c:v>
                </c:pt>
                <c:pt idx="5">
                  <c:v>Netherlands</c:v>
                </c:pt>
                <c:pt idx="6">
                  <c:v>Belgium</c:v>
                </c:pt>
                <c:pt idx="7">
                  <c:v>Germany</c:v>
                </c:pt>
                <c:pt idx="8">
                  <c:v>Italy</c:v>
                </c:pt>
                <c:pt idx="9">
                  <c:v>United Kingdom</c:v>
                </c:pt>
                <c:pt idx="10">
                  <c:v>Japan</c:v>
                </c:pt>
                <c:pt idx="11">
                  <c:v>Spain</c:v>
                </c:pt>
                <c:pt idx="12">
                  <c:v>Australia</c:v>
                </c:pt>
                <c:pt idx="13">
                  <c:v>United States</c:v>
                </c:pt>
                <c:pt idx="14">
                  <c:v>Switzerland</c:v>
                </c:pt>
                <c:pt idx="15">
                  <c:v>Canada</c:v>
                </c:pt>
                <c:pt idx="16">
                  <c:v>France</c:v>
                </c:pt>
              </c:strCache>
            </c:strRef>
          </c:cat>
          <c:val>
            <c:numRef>
              <c:f>DataF3!$D$2:$D$18</c:f>
              <c:numCache>
                <c:formatCode>0%</c:formatCode>
                <c:ptCount val="17"/>
                <c:pt idx="0">
                  <c:v>1.168408144452415</c:v>
                </c:pt>
                <c:pt idx="1">
                  <c:v>0.794811601280282</c:v>
                </c:pt>
                <c:pt idx="2">
                  <c:v>0.0</c:v>
                </c:pt>
                <c:pt idx="3">
                  <c:v>0.156434599651132</c:v>
                </c:pt>
                <c:pt idx="4">
                  <c:v>0.0</c:v>
                </c:pt>
                <c:pt idx="5">
                  <c:v>0.0879826673597881</c:v>
                </c:pt>
                <c:pt idx="6">
                  <c:v>0.0214273579227887</c:v>
                </c:pt>
                <c:pt idx="7">
                  <c:v>0.0</c:v>
                </c:pt>
                <c:pt idx="8">
                  <c:v>0.0</c:v>
                </c:pt>
                <c:pt idx="9">
                  <c:v>0.0</c:v>
                </c:pt>
                <c:pt idx="10">
                  <c:v>0.0</c:v>
                </c:pt>
                <c:pt idx="11">
                  <c:v>0.0</c:v>
                </c:pt>
                <c:pt idx="12">
                  <c:v>0.0</c:v>
                </c:pt>
                <c:pt idx="13">
                  <c:v>0.0</c:v>
                </c:pt>
                <c:pt idx="14">
                  <c:v>0.0</c:v>
                </c:pt>
                <c:pt idx="15">
                  <c:v>0.0</c:v>
                </c:pt>
                <c:pt idx="16">
                  <c:v>0.0</c:v>
                </c:pt>
              </c:numCache>
            </c:numRef>
          </c:val>
          <c:extLst xmlns:c16r2="http://schemas.microsoft.com/office/drawing/2015/06/chart">
            <c:ext xmlns:c16="http://schemas.microsoft.com/office/drawing/2014/chart" uri="{C3380CC4-5D6E-409C-BE32-E72D297353CC}">
              <c16:uniqueId val="{00000001-295F-45AC-B6C8-8A0426A687D6}"/>
            </c:ext>
          </c:extLst>
        </c:ser>
        <c:ser>
          <c:idx val="3"/>
          <c:order val="3"/>
          <c:tx>
            <c:strRef>
              <c:f>DataF3!$E$1</c:f>
              <c:strCache>
                <c:ptCount val="1"/>
                <c:pt idx="0">
                  <c:v>Missing profits of other multinationals</c:v>
                </c:pt>
              </c:strCache>
            </c:strRef>
          </c:tx>
          <c:spPr>
            <a:solidFill>
              <a:schemeClr val="accent2">
                <a:lumMod val="50000"/>
              </a:schemeClr>
            </a:solidFill>
            <a:ln>
              <a:noFill/>
            </a:ln>
            <a:effectLst/>
          </c:spPr>
          <c:invertIfNegative val="0"/>
          <c:cat>
            <c:strRef>
              <c:f>DataF3!$A$2:$A$18</c:f>
              <c:strCache>
                <c:ptCount val="17"/>
                <c:pt idx="0">
                  <c:v>Luxembourg</c:v>
                </c:pt>
                <c:pt idx="1">
                  <c:v>Ireland</c:v>
                </c:pt>
                <c:pt idx="2">
                  <c:v>Puerto Rico</c:v>
                </c:pt>
                <c:pt idx="3">
                  <c:v>Singapore</c:v>
                </c:pt>
                <c:pt idx="4">
                  <c:v>Hong Kong</c:v>
                </c:pt>
                <c:pt idx="5">
                  <c:v>Netherlands</c:v>
                </c:pt>
                <c:pt idx="6">
                  <c:v>Belgium</c:v>
                </c:pt>
                <c:pt idx="7">
                  <c:v>Germany</c:v>
                </c:pt>
                <c:pt idx="8">
                  <c:v>Italy</c:v>
                </c:pt>
                <c:pt idx="9">
                  <c:v>United Kingdom</c:v>
                </c:pt>
                <c:pt idx="10">
                  <c:v>Japan</c:v>
                </c:pt>
                <c:pt idx="11">
                  <c:v>Spain</c:v>
                </c:pt>
                <c:pt idx="12">
                  <c:v>Australia</c:v>
                </c:pt>
                <c:pt idx="13">
                  <c:v>United States</c:v>
                </c:pt>
                <c:pt idx="14">
                  <c:v>Switzerland</c:v>
                </c:pt>
                <c:pt idx="15">
                  <c:v>Canada</c:v>
                </c:pt>
                <c:pt idx="16">
                  <c:v>France</c:v>
                </c:pt>
              </c:strCache>
            </c:strRef>
          </c:cat>
          <c:val>
            <c:numRef>
              <c:f>DataF3!$E$2:$E$18</c:f>
              <c:numCache>
                <c:formatCode>0%</c:formatCode>
                <c:ptCount val="17"/>
                <c:pt idx="0">
                  <c:v>0.304771385349007</c:v>
                </c:pt>
                <c:pt idx="1">
                  <c:v>0.0</c:v>
                </c:pt>
                <c:pt idx="2">
                  <c:v>0.0</c:v>
                </c:pt>
                <c:pt idx="3">
                  <c:v>0.194507437407452</c:v>
                </c:pt>
                <c:pt idx="4">
                  <c:v>0.26079690122761</c:v>
                </c:pt>
                <c:pt idx="5">
                  <c:v>0.0373483506791222</c:v>
                </c:pt>
                <c:pt idx="6">
                  <c:v>0.0</c:v>
                </c:pt>
                <c:pt idx="7">
                  <c:v>0.0</c:v>
                </c:pt>
                <c:pt idx="8">
                  <c:v>0.0</c:v>
                </c:pt>
                <c:pt idx="9">
                  <c:v>0.0</c:v>
                </c:pt>
                <c:pt idx="10">
                  <c:v>0.0</c:v>
                </c:pt>
                <c:pt idx="11">
                  <c:v>0.0</c:v>
                </c:pt>
                <c:pt idx="12">
                  <c:v>0.0</c:v>
                </c:pt>
                <c:pt idx="13">
                  <c:v>0.0</c:v>
                </c:pt>
                <c:pt idx="14">
                  <c:v>0.0</c:v>
                </c:pt>
                <c:pt idx="15">
                  <c:v>0.0</c:v>
                </c:pt>
                <c:pt idx="16">
                  <c:v>0.0</c:v>
                </c:pt>
              </c:numCache>
            </c:numRef>
          </c:val>
          <c:extLst xmlns:c16r2="http://schemas.microsoft.com/office/drawing/2015/06/chart">
            <c:ext xmlns:c16="http://schemas.microsoft.com/office/drawing/2014/chart" uri="{C3380CC4-5D6E-409C-BE32-E72D297353CC}">
              <c16:uniqueId val="{00000000-7743-4019-A549-AED01E91D469}"/>
            </c:ext>
          </c:extLst>
        </c:ser>
        <c:dLbls>
          <c:showLegendKey val="0"/>
          <c:showVal val="0"/>
          <c:showCatName val="0"/>
          <c:showSerName val="0"/>
          <c:showPercent val="0"/>
          <c:showBubbleSize val="0"/>
        </c:dLbls>
        <c:gapWidth val="150"/>
        <c:overlap val="100"/>
        <c:axId val="-2096967320"/>
        <c:axId val="-2096964168"/>
      </c:barChart>
      <c:lineChart>
        <c:grouping val="standard"/>
        <c:varyColors val="0"/>
        <c:ser>
          <c:idx val="1"/>
          <c:order val="1"/>
          <c:tx>
            <c:strRef>
              <c:f>DataF3!$F$1</c:f>
              <c:strCache>
                <c:ptCount val="1"/>
                <c:pt idx="0">
                  <c:v>Average among non-havens</c:v>
                </c:pt>
              </c:strCache>
            </c:strRef>
          </c:tx>
          <c:spPr>
            <a:effectLst/>
          </c:spPr>
          <c:marker>
            <c:symbol val="none"/>
          </c:marker>
          <c:cat>
            <c:strRef>
              <c:f>DataF3!$A$2:$A$17</c:f>
              <c:strCache>
                <c:ptCount val="16"/>
                <c:pt idx="0">
                  <c:v>Luxembourg</c:v>
                </c:pt>
                <c:pt idx="1">
                  <c:v>Ireland</c:v>
                </c:pt>
                <c:pt idx="2">
                  <c:v>Puerto Rico</c:v>
                </c:pt>
                <c:pt idx="3">
                  <c:v>Singapore</c:v>
                </c:pt>
                <c:pt idx="4">
                  <c:v>Hong Kong</c:v>
                </c:pt>
                <c:pt idx="5">
                  <c:v>Netherlands</c:v>
                </c:pt>
                <c:pt idx="6">
                  <c:v>Belgium</c:v>
                </c:pt>
                <c:pt idx="7">
                  <c:v>Germany</c:v>
                </c:pt>
                <c:pt idx="8">
                  <c:v>Italy</c:v>
                </c:pt>
                <c:pt idx="9">
                  <c:v>United Kingdom</c:v>
                </c:pt>
                <c:pt idx="10">
                  <c:v>Japan</c:v>
                </c:pt>
                <c:pt idx="11">
                  <c:v>Spain</c:v>
                </c:pt>
                <c:pt idx="12">
                  <c:v>Australia</c:v>
                </c:pt>
                <c:pt idx="13">
                  <c:v>United States</c:v>
                </c:pt>
                <c:pt idx="14">
                  <c:v>Switzerland</c:v>
                </c:pt>
                <c:pt idx="15">
                  <c:v>Canada</c:v>
                </c:pt>
              </c:strCache>
            </c:strRef>
          </c:cat>
          <c:val>
            <c:numRef>
              <c:f>DataF3!$F$2:$F$18</c:f>
              <c:numCache>
                <c:formatCode>0%</c:formatCode>
                <c:ptCount val="17"/>
                <c:pt idx="0">
                  <c:v>0.360816769376698</c:v>
                </c:pt>
                <c:pt idx="1">
                  <c:v>0.360816769376698</c:v>
                </c:pt>
                <c:pt idx="2">
                  <c:v>0.360816769376698</c:v>
                </c:pt>
                <c:pt idx="3">
                  <c:v>0.360816769376698</c:v>
                </c:pt>
                <c:pt idx="4">
                  <c:v>0.360816769376698</c:v>
                </c:pt>
                <c:pt idx="5">
                  <c:v>0.360816769376698</c:v>
                </c:pt>
                <c:pt idx="6">
                  <c:v>0.360816769376698</c:v>
                </c:pt>
                <c:pt idx="7">
                  <c:v>0.360816769376698</c:v>
                </c:pt>
                <c:pt idx="8">
                  <c:v>0.360816769376698</c:v>
                </c:pt>
                <c:pt idx="9">
                  <c:v>0.360816769376698</c:v>
                </c:pt>
                <c:pt idx="10">
                  <c:v>0.360816769376698</c:v>
                </c:pt>
                <c:pt idx="11">
                  <c:v>0.360816769376698</c:v>
                </c:pt>
                <c:pt idx="12">
                  <c:v>0.360816769376698</c:v>
                </c:pt>
                <c:pt idx="13">
                  <c:v>0.360816769376698</c:v>
                </c:pt>
                <c:pt idx="14">
                  <c:v>0.360816769376698</c:v>
                </c:pt>
                <c:pt idx="15">
                  <c:v>0.360816769376698</c:v>
                </c:pt>
                <c:pt idx="16">
                  <c:v>0.360816769376698</c:v>
                </c:pt>
              </c:numCache>
            </c:numRef>
          </c:val>
          <c:smooth val="0"/>
          <c:extLst xmlns:c16r2="http://schemas.microsoft.com/office/drawing/2015/06/chart">
            <c:ext xmlns:c16="http://schemas.microsoft.com/office/drawing/2014/chart" uri="{C3380CC4-5D6E-409C-BE32-E72D297353CC}">
              <c16:uniqueId val="{00000002-295F-45AC-B6C8-8A0426A687D6}"/>
            </c:ext>
          </c:extLst>
        </c:ser>
        <c:dLbls>
          <c:showLegendKey val="0"/>
          <c:showVal val="0"/>
          <c:showCatName val="0"/>
          <c:showSerName val="0"/>
          <c:showPercent val="0"/>
          <c:showBubbleSize val="0"/>
        </c:dLbls>
        <c:marker val="1"/>
        <c:smooth val="0"/>
        <c:axId val="-2096967320"/>
        <c:axId val="-2096964168"/>
      </c:lineChart>
      <c:catAx>
        <c:axId val="-2096967320"/>
        <c:scaling>
          <c:orientation val="minMax"/>
        </c:scaling>
        <c:delete val="0"/>
        <c:axPos val="b"/>
        <c:numFmt formatCode="General" sourceLinked="1"/>
        <c:majorTickMark val="none"/>
        <c:minorTickMark val="none"/>
        <c:tickLblPos val="nextTo"/>
        <c:txPr>
          <a:bodyPr rot="-2700000" vert="horz" anchor="ctr" anchorCtr="1"/>
          <a:lstStyle/>
          <a:p>
            <a:pPr>
              <a:defRPr sz="1800"/>
            </a:pPr>
            <a:endParaRPr lang="en-US"/>
          </a:p>
        </c:txPr>
        <c:crossAx val="-2096964168"/>
        <c:crosses val="autoZero"/>
        <c:auto val="1"/>
        <c:lblAlgn val="ctr"/>
        <c:lblOffset val="100"/>
        <c:noMultiLvlLbl val="0"/>
      </c:catAx>
      <c:valAx>
        <c:axId val="-2096964168"/>
        <c:scaling>
          <c:orientation val="minMax"/>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096967320"/>
        <c:crosses val="autoZero"/>
        <c:crossBetween val="between"/>
      </c:valAx>
    </c:plotArea>
    <c:legend>
      <c:legendPos val="r"/>
      <c:legendEntry>
        <c:idx val="3"/>
        <c:delete val="1"/>
      </c:legendEntry>
      <c:layout>
        <c:manualLayout>
          <c:xMode val="edge"/>
          <c:yMode val="edge"/>
          <c:x val="0.401245778605185"/>
          <c:y val="0.231335851304087"/>
          <c:w val="0.552869019900728"/>
          <c:h val="0.301269893944459"/>
        </c:manualLayout>
      </c:layout>
      <c:overlay val="0"/>
      <c:spPr>
        <a:solidFill>
          <a:schemeClr val="bg1"/>
        </a:solidFill>
      </c:spPr>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Corporate income tax revenue</a:t>
            </a:r>
          </a:p>
          <a:p>
            <a:pPr>
              <a:defRPr sz="2200" b="0"/>
            </a:pPr>
            <a:r>
              <a:rPr lang="en-US" sz="2200" b="0" baseline="0"/>
              <a:t>(% of national income</a:t>
            </a:r>
            <a:r>
              <a:rPr lang="en-US" sz="2200" b="0"/>
              <a:t>)</a:t>
            </a:r>
          </a:p>
        </c:rich>
      </c:tx>
      <c:layout>
        <c:manualLayout>
          <c:xMode val="edge"/>
          <c:yMode val="edge"/>
          <c:x val="0.358593727590692"/>
          <c:y val="0.00206740306252579"/>
        </c:manualLayout>
      </c:layout>
      <c:overlay val="1"/>
    </c:title>
    <c:autoTitleDeleted val="0"/>
    <c:plotArea>
      <c:layout>
        <c:manualLayout>
          <c:layoutTarget val="inner"/>
          <c:xMode val="edge"/>
          <c:yMode val="edge"/>
          <c:x val="0.0784352007228605"/>
          <c:y val="0.090193426222898"/>
          <c:w val="0.920301153168557"/>
          <c:h val="0.675515070648056"/>
        </c:manualLayout>
      </c:layout>
      <c:barChart>
        <c:barDir val="col"/>
        <c:grouping val="stacked"/>
        <c:varyColors val="0"/>
        <c:ser>
          <c:idx val="0"/>
          <c:order val="0"/>
          <c:spPr>
            <a:solidFill>
              <a:schemeClr val="tx2">
                <a:lumMod val="60000"/>
                <a:lumOff val="40000"/>
              </a:schemeClr>
            </a:solidFill>
            <a:ln>
              <a:noFill/>
            </a:ln>
          </c:spPr>
          <c:invertIfNegative val="0"/>
          <c:dPt>
            <c:idx val="0"/>
            <c:invertIfNegative val="0"/>
            <c:bubble3D val="0"/>
            <c:spPr>
              <a:solidFill>
                <a:schemeClr val="accent2">
                  <a:lumMod val="60000"/>
                  <a:lumOff val="40000"/>
                </a:schemeClr>
              </a:solidFill>
              <a:ln>
                <a:noFill/>
              </a:ln>
            </c:spPr>
            <c:extLst xmlns:c16r2="http://schemas.microsoft.com/office/drawing/2015/06/chart">
              <c:ext xmlns:c16="http://schemas.microsoft.com/office/drawing/2014/chart" uri="{C3380CC4-5D6E-409C-BE32-E72D297353CC}">
                <c16:uniqueId val="{00000001-5FC3-4DD7-BB96-A26FE04A4583}"/>
              </c:ext>
            </c:extLst>
          </c:dPt>
          <c:dPt>
            <c:idx val="1"/>
            <c:invertIfNegative val="0"/>
            <c:bubble3D val="0"/>
            <c:spPr>
              <a:solidFill>
                <a:srgbClr val="D99694"/>
              </a:solidFill>
              <a:ln>
                <a:noFill/>
              </a:ln>
            </c:spPr>
            <c:extLst xmlns:c16r2="http://schemas.microsoft.com/office/drawing/2015/06/chart">
              <c:ext xmlns:c16="http://schemas.microsoft.com/office/drawing/2014/chart" uri="{C3380CC4-5D6E-409C-BE32-E72D297353CC}">
                <c16:uniqueId val="{00000003-5FC3-4DD7-BB96-A26FE04A4583}"/>
              </c:ext>
            </c:extLst>
          </c:dPt>
          <c:dPt>
            <c:idx val="2"/>
            <c:invertIfNegative val="0"/>
            <c:bubble3D val="0"/>
            <c:spPr>
              <a:solidFill>
                <a:srgbClr val="D99694"/>
              </a:solidFill>
              <a:ln>
                <a:noFill/>
              </a:ln>
            </c:spPr>
            <c:extLst xmlns:c16r2="http://schemas.microsoft.com/office/drawing/2015/06/chart">
              <c:ext xmlns:c16="http://schemas.microsoft.com/office/drawing/2014/chart" uri="{C3380CC4-5D6E-409C-BE32-E72D297353CC}">
                <c16:uniqueId val="{00000005-5FC3-4DD7-BB96-A26FE04A4583}"/>
              </c:ext>
            </c:extLst>
          </c:dPt>
          <c:dPt>
            <c:idx val="3"/>
            <c:invertIfNegative val="0"/>
            <c:bubble3D val="0"/>
            <c:spPr>
              <a:solidFill>
                <a:srgbClr val="D99694"/>
              </a:solidFill>
              <a:ln>
                <a:noFill/>
              </a:ln>
            </c:spPr>
            <c:extLst xmlns:c16r2="http://schemas.microsoft.com/office/drawing/2015/06/chart">
              <c:ext xmlns:c16="http://schemas.microsoft.com/office/drawing/2014/chart" uri="{C3380CC4-5D6E-409C-BE32-E72D297353CC}">
                <c16:uniqueId val="{00000007-5FC3-4DD7-BB96-A26FE04A4583}"/>
              </c:ext>
            </c:extLst>
          </c:dPt>
          <c:dPt>
            <c:idx val="6"/>
            <c:invertIfNegative val="0"/>
            <c:bubble3D val="0"/>
            <c:spPr>
              <a:solidFill>
                <a:srgbClr val="D99694"/>
              </a:solidFill>
              <a:ln>
                <a:noFill/>
              </a:ln>
            </c:spPr>
            <c:extLst xmlns:c16r2="http://schemas.microsoft.com/office/drawing/2015/06/chart">
              <c:ext xmlns:c16="http://schemas.microsoft.com/office/drawing/2014/chart" uri="{C3380CC4-5D6E-409C-BE32-E72D297353CC}">
                <c16:uniqueId val="{00000009-5FC3-4DD7-BB96-A26FE04A4583}"/>
              </c:ext>
            </c:extLst>
          </c:dPt>
          <c:dPt>
            <c:idx val="7"/>
            <c:invertIfNegative val="0"/>
            <c:bubble3D val="0"/>
            <c:extLst xmlns:c16r2="http://schemas.microsoft.com/office/drawing/2015/06/chart">
              <c:ext xmlns:c16="http://schemas.microsoft.com/office/drawing/2014/chart" uri="{C3380CC4-5D6E-409C-BE32-E72D297353CC}">
                <c16:uniqueId val="{0000000B-5FC3-4DD7-BB96-A26FE04A4583}"/>
              </c:ext>
            </c:extLst>
          </c:dPt>
          <c:dPt>
            <c:idx val="8"/>
            <c:invertIfNegative val="0"/>
            <c:bubble3D val="0"/>
            <c:spPr>
              <a:solidFill>
                <a:schemeClr val="accent2">
                  <a:lumMod val="60000"/>
                  <a:lumOff val="40000"/>
                </a:schemeClr>
              </a:solidFill>
              <a:ln>
                <a:noFill/>
              </a:ln>
            </c:spPr>
            <c:extLst xmlns:c16r2="http://schemas.microsoft.com/office/drawing/2015/06/chart">
              <c:ext xmlns:c16="http://schemas.microsoft.com/office/drawing/2014/chart" uri="{C3380CC4-5D6E-409C-BE32-E72D297353CC}">
                <c16:uniqueId val="{0000000C-F8FB-4718-A3BA-C9D2F54C0A69}"/>
              </c:ext>
            </c:extLst>
          </c:dPt>
          <c:dPt>
            <c:idx val="9"/>
            <c:invertIfNegative val="0"/>
            <c:bubble3D val="0"/>
            <c:spPr>
              <a:solidFill>
                <a:schemeClr val="accent2">
                  <a:lumMod val="60000"/>
                  <a:lumOff val="40000"/>
                </a:schemeClr>
              </a:solidFill>
              <a:ln>
                <a:noFill/>
              </a:ln>
            </c:spPr>
            <c:extLst xmlns:c16r2="http://schemas.microsoft.com/office/drawing/2015/06/chart">
              <c:ext xmlns:c16="http://schemas.microsoft.com/office/drawing/2014/chart" uri="{C3380CC4-5D6E-409C-BE32-E72D297353CC}">
                <c16:uniqueId val="{0000000D-5FC3-4DD7-BB96-A26FE04A4583}"/>
              </c:ext>
            </c:extLst>
          </c:dPt>
          <c:dPt>
            <c:idx val="11"/>
            <c:invertIfNegative val="0"/>
            <c:bubble3D val="0"/>
            <c:spPr>
              <a:solidFill>
                <a:schemeClr val="accent2">
                  <a:lumMod val="60000"/>
                  <a:lumOff val="40000"/>
                </a:schemeClr>
              </a:solidFill>
              <a:ln>
                <a:noFill/>
              </a:ln>
            </c:spPr>
            <c:extLst xmlns:c16r2="http://schemas.microsoft.com/office/drawing/2015/06/chart">
              <c:ext xmlns:c16="http://schemas.microsoft.com/office/drawing/2014/chart" uri="{C3380CC4-5D6E-409C-BE32-E72D297353CC}">
                <c16:uniqueId val="{0000000F-5FC3-4DD7-BB96-A26FE04A4583}"/>
              </c:ext>
            </c:extLst>
          </c:dPt>
          <c:dPt>
            <c:idx val="14"/>
            <c:invertIfNegative val="0"/>
            <c:bubble3D val="0"/>
            <c:spPr>
              <a:solidFill>
                <a:schemeClr val="accent2">
                  <a:lumMod val="60000"/>
                  <a:lumOff val="40000"/>
                </a:schemeClr>
              </a:solidFill>
              <a:ln>
                <a:noFill/>
              </a:ln>
            </c:spPr>
            <c:extLst xmlns:c16r2="http://schemas.microsoft.com/office/drawing/2015/06/chart">
              <c:ext xmlns:c16="http://schemas.microsoft.com/office/drawing/2014/chart" uri="{C3380CC4-5D6E-409C-BE32-E72D297353CC}">
                <c16:uniqueId val="{00000011-5FC3-4DD7-BB96-A26FE04A4583}"/>
              </c:ext>
            </c:extLst>
          </c:dPt>
          <c:dPt>
            <c:idx val="16"/>
            <c:invertIfNegative val="0"/>
            <c:bubble3D val="0"/>
            <c:spPr>
              <a:solidFill>
                <a:schemeClr val="accent2">
                  <a:lumMod val="60000"/>
                  <a:lumOff val="40000"/>
                </a:schemeClr>
              </a:solidFill>
              <a:ln>
                <a:noFill/>
              </a:ln>
            </c:spPr>
            <c:extLst xmlns:c16r2="http://schemas.microsoft.com/office/drawing/2015/06/chart">
              <c:ext xmlns:c16="http://schemas.microsoft.com/office/drawing/2014/chart" uri="{C3380CC4-5D6E-409C-BE32-E72D297353CC}">
                <c16:uniqueId val="{00000013-5FC3-4DD7-BB96-A26FE04A4583}"/>
              </c:ext>
            </c:extLst>
          </c:dPt>
          <c:cat>
            <c:strRef>
              <c:f>DataF8a!$A$2:$A$23</c:f>
              <c:strCache>
                <c:ptCount val="22"/>
                <c:pt idx="0">
                  <c:v>Malta</c:v>
                </c:pt>
                <c:pt idx="1">
                  <c:v>Luxembourg</c:v>
                </c:pt>
                <c:pt idx="2">
                  <c:v>Cyprus</c:v>
                </c:pt>
                <c:pt idx="3">
                  <c:v>Hong Kong</c:v>
                </c:pt>
                <c:pt idx="4">
                  <c:v>Japan</c:v>
                </c:pt>
                <c:pt idx="5">
                  <c:v>Australia</c:v>
                </c:pt>
                <c:pt idx="6">
                  <c:v>Ireland</c:v>
                </c:pt>
                <c:pt idx="7">
                  <c:v>Canada</c:v>
                </c:pt>
                <c:pt idx="8">
                  <c:v>Belgium</c:v>
                </c:pt>
                <c:pt idx="9">
                  <c:v>Switzerland</c:v>
                </c:pt>
                <c:pt idx="10">
                  <c:v>Korea</c:v>
                </c:pt>
                <c:pt idx="11">
                  <c:v>Singapore</c:v>
                </c:pt>
                <c:pt idx="12">
                  <c:v>Mexico</c:v>
                </c:pt>
                <c:pt idx="13">
                  <c:v>United Kingdom</c:v>
                </c:pt>
                <c:pt idx="14">
                  <c:v>Netherlands</c:v>
                </c:pt>
                <c:pt idx="15">
                  <c:v>France</c:v>
                </c:pt>
                <c:pt idx="16">
                  <c:v>Puerto Rico</c:v>
                </c:pt>
                <c:pt idx="17">
                  <c:v>Spain</c:v>
                </c:pt>
                <c:pt idx="18">
                  <c:v>Germany</c:v>
                </c:pt>
                <c:pt idx="19">
                  <c:v>United States</c:v>
                </c:pt>
                <c:pt idx="20">
                  <c:v>Italy</c:v>
                </c:pt>
                <c:pt idx="21">
                  <c:v>Poland</c:v>
                </c:pt>
              </c:strCache>
            </c:strRef>
          </c:cat>
          <c:val>
            <c:numRef>
              <c:f>DataF8a!$D$2:$D$23</c:f>
              <c:numCache>
                <c:formatCode>0.0%</c:formatCode>
                <c:ptCount val="22"/>
                <c:pt idx="0">
                  <c:v>0.0809469285545036</c:v>
                </c:pt>
                <c:pt idx="1">
                  <c:v>0.0722630743671201</c:v>
                </c:pt>
                <c:pt idx="2">
                  <c:v>0.0669794201323679</c:v>
                </c:pt>
                <c:pt idx="3">
                  <c:v>0.0610788661926973</c:v>
                </c:pt>
                <c:pt idx="4">
                  <c:v>0.0552210652477207</c:v>
                </c:pt>
                <c:pt idx="5">
                  <c:v>0.0537120283034194</c:v>
                </c:pt>
                <c:pt idx="6">
                  <c:v>0.0485556916735581</c:v>
                </c:pt>
                <c:pt idx="7">
                  <c:v>0.0420270899631572</c:v>
                </c:pt>
                <c:pt idx="8">
                  <c:v>0.0419214761439468</c:v>
                </c:pt>
                <c:pt idx="9">
                  <c:v>0.0415029757026638</c:v>
                </c:pt>
                <c:pt idx="10">
                  <c:v>0.0394580668349828</c:v>
                </c:pt>
                <c:pt idx="11">
                  <c:v>0.036642071014923</c:v>
                </c:pt>
                <c:pt idx="12">
                  <c:v>0.0351638953822986</c:v>
                </c:pt>
                <c:pt idx="13">
                  <c:v>0.0312151099339007</c:v>
                </c:pt>
                <c:pt idx="14">
                  <c:v>0.0296843580972409</c:v>
                </c:pt>
                <c:pt idx="15">
                  <c:v>0.0293676346815157</c:v>
                </c:pt>
                <c:pt idx="16">
                  <c:v>0.0287271012507487</c:v>
                </c:pt>
                <c:pt idx="17">
                  <c:v>0.028353292425257</c:v>
                </c:pt>
                <c:pt idx="18">
                  <c:v>0.0279497613034348</c:v>
                </c:pt>
                <c:pt idx="19">
                  <c:v>0.0256949026462387</c:v>
                </c:pt>
                <c:pt idx="20">
                  <c:v>0.0252158470599508</c:v>
                </c:pt>
                <c:pt idx="21">
                  <c:v>0.0248623627544021</c:v>
                </c:pt>
              </c:numCache>
            </c:numRef>
          </c:val>
          <c:extLst xmlns:c16r2="http://schemas.microsoft.com/office/drawing/2015/06/chart">
            <c:ext xmlns:c16="http://schemas.microsoft.com/office/drawing/2014/chart" uri="{C3380CC4-5D6E-409C-BE32-E72D297353CC}">
              <c16:uniqueId val="{00000000-295F-45AC-B6C8-8A0426A687D6}"/>
            </c:ext>
          </c:extLst>
        </c:ser>
        <c:dLbls>
          <c:showLegendKey val="0"/>
          <c:showVal val="0"/>
          <c:showCatName val="0"/>
          <c:showSerName val="0"/>
          <c:showPercent val="0"/>
          <c:showBubbleSize val="0"/>
        </c:dLbls>
        <c:gapWidth val="150"/>
        <c:overlap val="100"/>
        <c:axId val="-2096328408"/>
        <c:axId val="-2096325512"/>
      </c:barChart>
      <c:lineChart>
        <c:grouping val="standard"/>
        <c:varyColors val="0"/>
        <c:ser>
          <c:idx val="1"/>
          <c:order val="1"/>
          <c:spPr>
            <a:ln>
              <a:solidFill>
                <a:schemeClr val="tx2">
                  <a:lumMod val="60000"/>
                  <a:lumOff val="40000"/>
                </a:schemeClr>
              </a:solidFill>
            </a:ln>
          </c:spPr>
          <c:marker>
            <c:symbol val="none"/>
          </c:marker>
          <c:val>
            <c:numRef>
              <c:f>DataF8a!$G$2:$G$23</c:f>
              <c:numCache>
                <c:formatCode>0.0%</c:formatCode>
                <c:ptCount val="22"/>
                <c:pt idx="0">
                  <c:v>0.0348534213780232</c:v>
                </c:pt>
                <c:pt idx="1">
                  <c:v>0.0348534213780232</c:v>
                </c:pt>
                <c:pt idx="2">
                  <c:v>0.0348534213780232</c:v>
                </c:pt>
                <c:pt idx="3">
                  <c:v>0.0348534213780232</c:v>
                </c:pt>
                <c:pt idx="4">
                  <c:v>0.0348534213780232</c:v>
                </c:pt>
                <c:pt idx="5">
                  <c:v>0.0348534213780232</c:v>
                </c:pt>
                <c:pt idx="6">
                  <c:v>0.0348534213780232</c:v>
                </c:pt>
                <c:pt idx="7">
                  <c:v>0.0348534213780232</c:v>
                </c:pt>
                <c:pt idx="8">
                  <c:v>0.0348534213780232</c:v>
                </c:pt>
                <c:pt idx="9">
                  <c:v>0.0348534213780232</c:v>
                </c:pt>
                <c:pt idx="10">
                  <c:v>0.0348534213780232</c:v>
                </c:pt>
                <c:pt idx="11">
                  <c:v>0.0348534213780232</c:v>
                </c:pt>
                <c:pt idx="12">
                  <c:v>0.0348534213780232</c:v>
                </c:pt>
                <c:pt idx="13">
                  <c:v>0.0348534213780232</c:v>
                </c:pt>
                <c:pt idx="14">
                  <c:v>0.0348534213780232</c:v>
                </c:pt>
                <c:pt idx="15">
                  <c:v>0.0348534213780232</c:v>
                </c:pt>
                <c:pt idx="16">
                  <c:v>0.0348534213780232</c:v>
                </c:pt>
                <c:pt idx="17">
                  <c:v>0.0348534213780232</c:v>
                </c:pt>
                <c:pt idx="18">
                  <c:v>0.0348534213780232</c:v>
                </c:pt>
                <c:pt idx="19">
                  <c:v>0.0348534213780232</c:v>
                </c:pt>
                <c:pt idx="20">
                  <c:v>0.0348534213780232</c:v>
                </c:pt>
                <c:pt idx="21">
                  <c:v>0.0348534213780232</c:v>
                </c:pt>
              </c:numCache>
            </c:numRef>
          </c:val>
          <c:smooth val="0"/>
          <c:extLst xmlns:c16r2="http://schemas.microsoft.com/office/drawing/2015/06/chart">
            <c:ext xmlns:c16="http://schemas.microsoft.com/office/drawing/2014/chart" uri="{C3380CC4-5D6E-409C-BE32-E72D297353CC}">
              <c16:uniqueId val="{00000002-295F-45AC-B6C8-8A0426A687D6}"/>
            </c:ext>
          </c:extLst>
        </c:ser>
        <c:dLbls>
          <c:showLegendKey val="0"/>
          <c:showVal val="0"/>
          <c:showCatName val="0"/>
          <c:showSerName val="0"/>
          <c:showPercent val="0"/>
          <c:showBubbleSize val="0"/>
        </c:dLbls>
        <c:marker val="1"/>
        <c:smooth val="0"/>
        <c:axId val="-2096328408"/>
        <c:axId val="-2096325512"/>
      </c:lineChart>
      <c:catAx>
        <c:axId val="-2096328408"/>
        <c:scaling>
          <c:orientation val="minMax"/>
        </c:scaling>
        <c:delete val="0"/>
        <c:axPos val="b"/>
        <c:numFmt formatCode="General" sourceLinked="1"/>
        <c:majorTickMark val="none"/>
        <c:minorTickMark val="none"/>
        <c:tickLblPos val="nextTo"/>
        <c:txPr>
          <a:bodyPr rot="-2700000" vert="horz" anchor="ctr" anchorCtr="1"/>
          <a:lstStyle/>
          <a:p>
            <a:pPr>
              <a:defRPr sz="1800"/>
            </a:pPr>
            <a:endParaRPr lang="en-US"/>
          </a:p>
        </c:txPr>
        <c:crossAx val="-2096325512"/>
        <c:crosses val="autoZero"/>
        <c:auto val="1"/>
        <c:lblAlgn val="ctr"/>
        <c:lblOffset val="100"/>
        <c:noMultiLvlLbl val="0"/>
      </c:catAx>
      <c:valAx>
        <c:axId val="-2096325512"/>
        <c:scaling>
          <c:orientation val="minMax"/>
          <c:max val="0.08"/>
          <c:min val="0.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096328408"/>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200" b="1" i="0" u="none" strike="noStrike" kern="1200" baseline="0">
                <a:solidFill>
                  <a:sysClr val="windowText" lastClr="000000"/>
                </a:solidFill>
                <a:latin typeface="Garamond" panose="02020404030301010803" pitchFamily="18" charset="0"/>
                <a:ea typeface="+mn-ea"/>
                <a:cs typeface="+mn-cs"/>
              </a:defRPr>
            </a:pPr>
            <a:r>
              <a:rPr lang="en-US" sz="2200" b="1" i="0" baseline="0">
                <a:effectLst/>
              </a:rPr>
              <a:t>Corporate tax revenue collected &amp; tax rate on shifted profits</a:t>
            </a:r>
            <a:endParaRPr lang="en-US" sz="2200" b="1"/>
          </a:p>
        </c:rich>
      </c:tx>
      <c:layout>
        <c:manualLayout>
          <c:xMode val="edge"/>
          <c:yMode val="edge"/>
          <c:x val="0.175235359924272"/>
          <c:y val="0.0125335222218562"/>
        </c:manualLayout>
      </c:layout>
      <c:overlay val="1"/>
    </c:title>
    <c:autoTitleDeleted val="0"/>
    <c:plotArea>
      <c:layout>
        <c:manualLayout>
          <c:layoutTarget val="inner"/>
          <c:xMode val="edge"/>
          <c:yMode val="edge"/>
          <c:x val="0.0754167909154652"/>
          <c:y val="0.150709319642255"/>
          <c:w val="0.887417817649843"/>
          <c:h val="0.669381186285884"/>
        </c:manualLayout>
      </c:layout>
      <c:barChart>
        <c:barDir val="col"/>
        <c:grouping val="clustered"/>
        <c:varyColors val="0"/>
        <c:ser>
          <c:idx val="0"/>
          <c:order val="0"/>
          <c:tx>
            <c:strRef>
              <c:f>'Data F8b'!$H$2</c:f>
              <c:strCache>
                <c:ptCount val="1"/>
                <c:pt idx="0">
                  <c:v>Revenue collected on shifted profits, % of total revenue</c:v>
                </c:pt>
              </c:strCache>
            </c:strRef>
          </c:tx>
          <c:spPr>
            <a:solidFill>
              <a:schemeClr val="accent2">
                <a:lumMod val="60000"/>
                <a:lumOff val="40000"/>
              </a:schemeClr>
            </a:solidFill>
          </c:spPr>
          <c:invertIfNegative val="0"/>
          <c:cat>
            <c:strRef>
              <c:f>'Data F8b'!$A$3:$A$11</c:f>
              <c:strCache>
                <c:ptCount val="9"/>
                <c:pt idx="0">
                  <c:v>Malta</c:v>
                </c:pt>
                <c:pt idx="1">
                  <c:v>Puerto Rico</c:v>
                </c:pt>
                <c:pt idx="2">
                  <c:v>Ireland</c:v>
                </c:pt>
                <c:pt idx="3">
                  <c:v>Luxembourg</c:v>
                </c:pt>
                <c:pt idx="4">
                  <c:v>Cyprus</c:v>
                </c:pt>
                <c:pt idx="5">
                  <c:v>Singapore</c:v>
                </c:pt>
                <c:pt idx="6">
                  <c:v>Hong Kong</c:v>
                </c:pt>
                <c:pt idx="7">
                  <c:v>Netherlands</c:v>
                </c:pt>
                <c:pt idx="8">
                  <c:v>Switzerland</c:v>
                </c:pt>
              </c:strCache>
            </c:strRef>
          </c:cat>
          <c:val>
            <c:numRef>
              <c:f>'Data F8b'!$H$3:$H$11</c:f>
              <c:numCache>
                <c:formatCode>0%</c:formatCode>
                <c:ptCount val="9"/>
                <c:pt idx="0">
                  <c:v>0.903340151058896</c:v>
                </c:pt>
                <c:pt idx="1">
                  <c:v>0.789978081222279</c:v>
                </c:pt>
                <c:pt idx="2">
                  <c:v>0.577432480931389</c:v>
                </c:pt>
                <c:pt idx="3">
                  <c:v>0.504149942479107</c:v>
                </c:pt>
                <c:pt idx="4">
                  <c:v>0.454931485312985</c:v>
                </c:pt>
                <c:pt idx="5">
                  <c:v>0.408513199606971</c:v>
                </c:pt>
                <c:pt idx="6">
                  <c:v>0.330388542405829</c:v>
                </c:pt>
                <c:pt idx="7">
                  <c:v>0.317954429848086</c:v>
                </c:pt>
                <c:pt idx="8">
                  <c:v>0.201044196482799</c:v>
                </c:pt>
              </c:numCache>
            </c:numRef>
          </c:val>
          <c:extLst xmlns:c16r2="http://schemas.microsoft.com/office/drawing/2015/06/chart">
            <c:ext xmlns:c16="http://schemas.microsoft.com/office/drawing/2014/chart" uri="{C3380CC4-5D6E-409C-BE32-E72D297353CC}">
              <c16:uniqueId val="{00000000-5309-45C5-BA86-9B8DD1007DF5}"/>
            </c:ext>
          </c:extLst>
        </c:ser>
        <c:dLbls>
          <c:showLegendKey val="0"/>
          <c:showVal val="0"/>
          <c:showCatName val="0"/>
          <c:showSerName val="0"/>
          <c:showPercent val="0"/>
          <c:showBubbleSize val="0"/>
        </c:dLbls>
        <c:gapWidth val="150"/>
        <c:axId val="-2115360216"/>
        <c:axId val="-2115357128"/>
      </c:barChart>
      <c:lineChart>
        <c:grouping val="standard"/>
        <c:varyColors val="0"/>
        <c:ser>
          <c:idx val="1"/>
          <c:order val="1"/>
          <c:tx>
            <c:strRef>
              <c:f>'Data F8b'!$B$2</c:f>
              <c:strCache>
                <c:ptCount val="1"/>
                <c:pt idx="0">
                  <c:v>Tax rate on shifted profits</c:v>
                </c:pt>
              </c:strCache>
            </c:strRef>
          </c:tx>
          <c:spPr>
            <a:ln>
              <a:solidFill>
                <a:schemeClr val="tx1"/>
              </a:solidFill>
            </a:ln>
          </c:spPr>
          <c:marker>
            <c:symbol val="circle"/>
            <c:size val="10"/>
            <c:spPr>
              <a:solidFill>
                <a:schemeClr val="tx1"/>
              </a:solidFill>
              <a:ln>
                <a:solidFill>
                  <a:schemeClr val="tx1"/>
                </a:solidFill>
              </a:ln>
            </c:spPr>
          </c:marker>
          <c:dPt>
            <c:idx val="2"/>
            <c:marker>
              <c:spPr>
                <a:solidFill>
                  <a:srgbClr val="000000"/>
                </a:solidFill>
                <a:ln>
                  <a:solidFill>
                    <a:schemeClr val="tx1"/>
                  </a:solidFill>
                </a:ln>
              </c:spPr>
            </c:marker>
            <c:bubble3D val="0"/>
            <c:extLst xmlns:c16r2="http://schemas.microsoft.com/office/drawing/2015/06/chart">
              <c:ext xmlns:c16="http://schemas.microsoft.com/office/drawing/2014/chart" uri="{C3380CC4-5D6E-409C-BE32-E72D297353CC}">
                <c16:uniqueId val="{00000000-DFCD-42E0-ACDA-4126377AD274}"/>
              </c:ext>
            </c:extLst>
          </c:dPt>
          <c:val>
            <c:numRef>
              <c:f>'Data F8b'!$B$3:$B$11</c:f>
              <c:numCache>
                <c:formatCode>0.0%</c:formatCode>
                <c:ptCount val="9"/>
                <c:pt idx="0">
                  <c:v>0.0476492915715613</c:v>
                </c:pt>
                <c:pt idx="1">
                  <c:v>0.0329386043189248</c:v>
                </c:pt>
                <c:pt idx="2">
                  <c:v>0.0437309900373648</c:v>
                </c:pt>
                <c:pt idx="3">
                  <c:v>0.0279630257365918</c:v>
                </c:pt>
                <c:pt idx="4">
                  <c:v>0.125</c:v>
                </c:pt>
                <c:pt idx="5">
                  <c:v>0.0578233587477228</c:v>
                </c:pt>
                <c:pt idx="6">
                  <c:v>0.14233199310741</c:v>
                </c:pt>
                <c:pt idx="7">
                  <c:v>0.104849038432705</c:v>
                </c:pt>
                <c:pt idx="8">
                  <c:v>0.0797417642705861</c:v>
                </c:pt>
              </c:numCache>
            </c:numRef>
          </c:val>
          <c:smooth val="0"/>
          <c:extLst xmlns:c16r2="http://schemas.microsoft.com/office/drawing/2015/06/chart">
            <c:ext xmlns:c16="http://schemas.microsoft.com/office/drawing/2014/chart" uri="{C3380CC4-5D6E-409C-BE32-E72D297353CC}">
              <c16:uniqueId val="{00000001-5309-45C5-BA86-9B8DD1007DF5}"/>
            </c:ext>
          </c:extLst>
        </c:ser>
        <c:dLbls>
          <c:showLegendKey val="0"/>
          <c:showVal val="0"/>
          <c:showCatName val="0"/>
          <c:showSerName val="0"/>
          <c:showPercent val="0"/>
          <c:showBubbleSize val="0"/>
        </c:dLbls>
        <c:marker val="1"/>
        <c:smooth val="0"/>
        <c:axId val="-2115350648"/>
        <c:axId val="-2115353832"/>
      </c:lineChart>
      <c:catAx>
        <c:axId val="-2115360216"/>
        <c:scaling>
          <c:orientation val="minMax"/>
        </c:scaling>
        <c:delete val="0"/>
        <c:axPos val="b"/>
        <c:numFmt formatCode="General" sourceLinked="0"/>
        <c:majorTickMark val="none"/>
        <c:minorTickMark val="none"/>
        <c:tickLblPos val="nextTo"/>
        <c:txPr>
          <a:bodyPr/>
          <a:lstStyle/>
          <a:p>
            <a:pPr>
              <a:defRPr sz="1800"/>
            </a:pPr>
            <a:endParaRPr lang="en-US"/>
          </a:p>
        </c:txPr>
        <c:crossAx val="-2115357128"/>
        <c:crosses val="autoZero"/>
        <c:auto val="1"/>
        <c:lblAlgn val="ctr"/>
        <c:lblOffset val="100"/>
        <c:noMultiLvlLbl val="0"/>
      </c:catAx>
      <c:valAx>
        <c:axId val="-2115357128"/>
        <c:scaling>
          <c:orientation val="minMax"/>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15360216"/>
        <c:crosses val="autoZero"/>
        <c:crossBetween val="between"/>
        <c:majorUnit val="0.2"/>
      </c:valAx>
      <c:valAx>
        <c:axId val="-2115353832"/>
        <c:scaling>
          <c:orientation val="minMax"/>
          <c:max val="1.0"/>
        </c:scaling>
        <c:delete val="1"/>
        <c:axPos val="r"/>
        <c:numFmt formatCode="0%" sourceLinked="0"/>
        <c:majorTickMark val="none"/>
        <c:minorTickMark val="none"/>
        <c:tickLblPos val="nextTo"/>
        <c:crossAx val="-2115350648"/>
        <c:crosses val="max"/>
        <c:crossBetween val="between"/>
        <c:majorUnit val="0.05"/>
      </c:valAx>
      <c:catAx>
        <c:axId val="-2115350648"/>
        <c:scaling>
          <c:orientation val="minMax"/>
        </c:scaling>
        <c:delete val="1"/>
        <c:axPos val="b"/>
        <c:numFmt formatCode="General" sourceLinked="1"/>
        <c:majorTickMark val="out"/>
        <c:minorTickMark val="none"/>
        <c:tickLblPos val="nextTo"/>
        <c:crossAx val="-2115353832"/>
        <c:crosses val="autoZero"/>
        <c:auto val="1"/>
        <c:lblAlgn val="ctr"/>
        <c:lblOffset val="100"/>
        <c:noMultiLvlLbl val="0"/>
      </c:catAx>
    </c:plotArea>
    <c:legend>
      <c:legendPos val="r"/>
      <c:layout>
        <c:manualLayout>
          <c:xMode val="edge"/>
          <c:yMode val="edge"/>
          <c:x val="0.277297556043199"/>
          <c:y val="0.144373702764142"/>
          <c:w val="0.57308000946603"/>
          <c:h val="0.178234606134484"/>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200" b="1" i="0" u="none" strike="noStrike" kern="1200" baseline="0">
                <a:solidFill>
                  <a:sysClr val="windowText" lastClr="000000"/>
                </a:solidFill>
                <a:latin typeface="Garamond" panose="02020404030301010803" pitchFamily="18" charset="0"/>
                <a:ea typeface="+mn-ea"/>
                <a:cs typeface="+mn-cs"/>
              </a:defRPr>
            </a:pPr>
            <a:r>
              <a:rPr lang="en-US" sz="2200" b="0" i="0" baseline="0">
                <a:effectLst/>
              </a:rPr>
              <a:t>Corporate tax revenue collected &amp; tax rate on shifted profits</a:t>
            </a:r>
            <a:endParaRPr lang="en-US" sz="2200" b="0"/>
          </a:p>
        </c:rich>
      </c:tx>
      <c:layout>
        <c:manualLayout>
          <c:xMode val="edge"/>
          <c:yMode val="edge"/>
          <c:x val="0.198459403640119"/>
          <c:y val="0.00625737159424109"/>
        </c:manualLayout>
      </c:layout>
      <c:overlay val="1"/>
    </c:title>
    <c:autoTitleDeleted val="0"/>
    <c:plotArea>
      <c:layout>
        <c:manualLayout>
          <c:layoutTarget val="inner"/>
          <c:xMode val="edge"/>
          <c:yMode val="edge"/>
          <c:x val="0.0754167909154652"/>
          <c:y val="0.150709319642255"/>
          <c:w val="0.887417817649843"/>
          <c:h val="0.669381186285884"/>
        </c:manualLayout>
      </c:layout>
      <c:barChart>
        <c:barDir val="col"/>
        <c:grouping val="clustered"/>
        <c:varyColors val="0"/>
        <c:ser>
          <c:idx val="0"/>
          <c:order val="0"/>
          <c:tx>
            <c:strRef>
              <c:f>'Data F8c'!$I$2</c:f>
              <c:strCache>
                <c:ptCount val="1"/>
                <c:pt idx="0">
                  <c:v>Revenue collected on shifted profits, % of national income</c:v>
                </c:pt>
              </c:strCache>
            </c:strRef>
          </c:tx>
          <c:spPr>
            <a:solidFill>
              <a:schemeClr val="accent2">
                <a:lumMod val="60000"/>
                <a:lumOff val="40000"/>
              </a:schemeClr>
            </a:solidFill>
          </c:spPr>
          <c:invertIfNegative val="0"/>
          <c:cat>
            <c:strRef>
              <c:f>'Data F8c'!$A$3:$A$11</c:f>
              <c:strCache>
                <c:ptCount val="9"/>
                <c:pt idx="0">
                  <c:v>Malta</c:v>
                </c:pt>
                <c:pt idx="1">
                  <c:v>Luxembourg</c:v>
                </c:pt>
                <c:pt idx="2">
                  <c:v>Cyprus</c:v>
                </c:pt>
                <c:pt idx="3">
                  <c:v>Hong Kong</c:v>
                </c:pt>
                <c:pt idx="4">
                  <c:v>Ireland</c:v>
                </c:pt>
                <c:pt idx="5">
                  <c:v>Puerto Rico</c:v>
                </c:pt>
                <c:pt idx="6">
                  <c:v>Singapore</c:v>
                </c:pt>
                <c:pt idx="7">
                  <c:v>Netherlands</c:v>
                </c:pt>
                <c:pt idx="8">
                  <c:v>Switzerland</c:v>
                </c:pt>
              </c:strCache>
            </c:strRef>
          </c:cat>
          <c:val>
            <c:numRef>
              <c:f>'Data F8c'!$I$3:$I$11</c:f>
              <c:numCache>
                <c:formatCode>0%</c:formatCode>
                <c:ptCount val="9"/>
                <c:pt idx="0">
                  <c:v>0.073122610668179</c:v>
                </c:pt>
                <c:pt idx="1">
                  <c:v>0.036431424785547</c:v>
                </c:pt>
                <c:pt idx="2">
                  <c:v>0.0304710470862206</c:v>
                </c:pt>
                <c:pt idx="3">
                  <c:v>0.0201797575732059</c:v>
                </c:pt>
                <c:pt idx="4">
                  <c:v>0.0280376335064023</c:v>
                </c:pt>
                <c:pt idx="5">
                  <c:v>0.0226937803251446</c:v>
                </c:pt>
                <c:pt idx="6">
                  <c:v>0.0149687696705321</c:v>
                </c:pt>
                <c:pt idx="7">
                  <c:v>0.00943827315421465</c:v>
                </c:pt>
                <c:pt idx="8">
                  <c:v>0.00834393240178717</c:v>
                </c:pt>
              </c:numCache>
            </c:numRef>
          </c:val>
          <c:extLst xmlns:c16r2="http://schemas.microsoft.com/office/drawing/2015/06/chart">
            <c:ext xmlns:c16="http://schemas.microsoft.com/office/drawing/2014/chart" uri="{C3380CC4-5D6E-409C-BE32-E72D297353CC}">
              <c16:uniqueId val="{00000000-5309-45C5-BA86-9B8DD1007DF5}"/>
            </c:ext>
          </c:extLst>
        </c:ser>
        <c:dLbls>
          <c:showLegendKey val="0"/>
          <c:showVal val="0"/>
          <c:showCatName val="0"/>
          <c:showSerName val="0"/>
          <c:showPercent val="0"/>
          <c:showBubbleSize val="0"/>
        </c:dLbls>
        <c:gapWidth val="150"/>
        <c:axId val="-2115286392"/>
        <c:axId val="-2115283304"/>
      </c:barChart>
      <c:lineChart>
        <c:grouping val="standard"/>
        <c:varyColors val="0"/>
        <c:ser>
          <c:idx val="1"/>
          <c:order val="1"/>
          <c:tx>
            <c:strRef>
              <c:f>'Data F8c'!$B$2</c:f>
              <c:strCache>
                <c:ptCount val="1"/>
                <c:pt idx="0">
                  <c:v>Tax rate on shifted profits</c:v>
                </c:pt>
              </c:strCache>
            </c:strRef>
          </c:tx>
          <c:spPr>
            <a:ln>
              <a:solidFill>
                <a:schemeClr val="tx1"/>
              </a:solidFill>
            </a:ln>
          </c:spPr>
          <c:marker>
            <c:symbol val="circle"/>
            <c:size val="10"/>
            <c:spPr>
              <a:solidFill>
                <a:schemeClr val="tx1"/>
              </a:solidFill>
              <a:ln>
                <a:solidFill>
                  <a:schemeClr val="tx1"/>
                </a:solidFill>
              </a:ln>
            </c:spPr>
          </c:marker>
          <c:dPt>
            <c:idx val="2"/>
            <c:marker>
              <c:spPr>
                <a:solidFill>
                  <a:srgbClr val="000000"/>
                </a:solidFill>
                <a:ln>
                  <a:solidFill>
                    <a:schemeClr val="tx1"/>
                  </a:solidFill>
                </a:ln>
              </c:spPr>
            </c:marker>
            <c:bubble3D val="0"/>
            <c:extLst xmlns:c16r2="http://schemas.microsoft.com/office/drawing/2015/06/chart">
              <c:ext xmlns:c16="http://schemas.microsoft.com/office/drawing/2014/chart" uri="{C3380CC4-5D6E-409C-BE32-E72D297353CC}">
                <c16:uniqueId val="{00000000-698A-4157-BB5A-EDD737B03346}"/>
              </c:ext>
            </c:extLst>
          </c:dPt>
          <c:val>
            <c:numRef>
              <c:f>'Data F8c'!$B$3:$B$11</c:f>
              <c:numCache>
                <c:formatCode>0.0%</c:formatCode>
                <c:ptCount val="9"/>
                <c:pt idx="0">
                  <c:v>0.0476492915715613</c:v>
                </c:pt>
                <c:pt idx="1">
                  <c:v>0.0279630257365918</c:v>
                </c:pt>
                <c:pt idx="2">
                  <c:v>0.125</c:v>
                </c:pt>
                <c:pt idx="3">
                  <c:v>0.14233199310741</c:v>
                </c:pt>
                <c:pt idx="4">
                  <c:v>0.0437309900373648</c:v>
                </c:pt>
                <c:pt idx="5">
                  <c:v>0.0329386043189248</c:v>
                </c:pt>
                <c:pt idx="6">
                  <c:v>0.0578233587477228</c:v>
                </c:pt>
                <c:pt idx="7">
                  <c:v>0.104849038432705</c:v>
                </c:pt>
                <c:pt idx="8">
                  <c:v>0.0797417642705861</c:v>
                </c:pt>
              </c:numCache>
            </c:numRef>
          </c:val>
          <c:smooth val="0"/>
          <c:extLst xmlns:c16r2="http://schemas.microsoft.com/office/drawing/2015/06/chart">
            <c:ext xmlns:c16="http://schemas.microsoft.com/office/drawing/2014/chart" uri="{C3380CC4-5D6E-409C-BE32-E72D297353CC}">
              <c16:uniqueId val="{00000001-5309-45C5-BA86-9B8DD1007DF5}"/>
            </c:ext>
          </c:extLst>
        </c:ser>
        <c:dLbls>
          <c:showLegendKey val="0"/>
          <c:showVal val="0"/>
          <c:showCatName val="0"/>
          <c:showSerName val="0"/>
          <c:showPercent val="0"/>
          <c:showBubbleSize val="0"/>
        </c:dLbls>
        <c:marker val="1"/>
        <c:smooth val="0"/>
        <c:axId val="-2115276824"/>
        <c:axId val="-2115280008"/>
      </c:lineChart>
      <c:catAx>
        <c:axId val="-2115286392"/>
        <c:scaling>
          <c:orientation val="minMax"/>
        </c:scaling>
        <c:delete val="0"/>
        <c:axPos val="b"/>
        <c:numFmt formatCode="General" sourceLinked="0"/>
        <c:majorTickMark val="none"/>
        <c:minorTickMark val="none"/>
        <c:tickLblPos val="nextTo"/>
        <c:txPr>
          <a:bodyPr/>
          <a:lstStyle/>
          <a:p>
            <a:pPr>
              <a:defRPr sz="1800"/>
            </a:pPr>
            <a:endParaRPr lang="en-US"/>
          </a:p>
        </c:txPr>
        <c:crossAx val="-2115283304"/>
        <c:crosses val="autoZero"/>
        <c:auto val="1"/>
        <c:lblAlgn val="ctr"/>
        <c:lblOffset val="100"/>
        <c:noMultiLvlLbl val="0"/>
      </c:catAx>
      <c:valAx>
        <c:axId val="-2115283304"/>
        <c:scaling>
          <c:orientation val="minMax"/>
          <c:max val="0.08"/>
          <c:min val="0.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15286392"/>
        <c:crosses val="autoZero"/>
        <c:crossBetween val="between"/>
        <c:majorUnit val="0.01"/>
      </c:valAx>
      <c:valAx>
        <c:axId val="-2115280008"/>
        <c:scaling>
          <c:orientation val="minMax"/>
          <c:max val="0.24"/>
        </c:scaling>
        <c:delete val="0"/>
        <c:axPos val="r"/>
        <c:numFmt formatCode="0%" sourceLinked="0"/>
        <c:majorTickMark val="none"/>
        <c:minorTickMark val="none"/>
        <c:tickLblPos val="nextTo"/>
        <c:txPr>
          <a:bodyPr/>
          <a:lstStyle/>
          <a:p>
            <a:pPr>
              <a:defRPr sz="1800"/>
            </a:pPr>
            <a:endParaRPr lang="en-US"/>
          </a:p>
        </c:txPr>
        <c:crossAx val="-2115276824"/>
        <c:crosses val="max"/>
        <c:crossBetween val="between"/>
        <c:majorUnit val="0.04"/>
      </c:valAx>
      <c:catAx>
        <c:axId val="-2115276824"/>
        <c:scaling>
          <c:orientation val="minMax"/>
        </c:scaling>
        <c:delete val="1"/>
        <c:axPos val="b"/>
        <c:majorTickMark val="out"/>
        <c:minorTickMark val="none"/>
        <c:tickLblPos val="nextTo"/>
        <c:crossAx val="-2115280008"/>
        <c:crosses val="autoZero"/>
        <c:auto val="1"/>
        <c:lblAlgn val="ctr"/>
        <c:lblOffset val="100"/>
        <c:noMultiLvlLbl val="0"/>
      </c:catAx>
    </c:plotArea>
    <c:legend>
      <c:legendPos val="r"/>
      <c:layout>
        <c:manualLayout>
          <c:xMode val="edge"/>
          <c:yMode val="edge"/>
          <c:x val="0.277297556043199"/>
          <c:y val="0.144373702764142"/>
          <c:w val="0.605866894711931"/>
          <c:h val="0.178234606134484"/>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Corporate tax paid / net domestic corporate profits</a:t>
            </a:r>
          </a:p>
        </c:rich>
      </c:tx>
      <c:overlay val="0"/>
    </c:title>
    <c:autoTitleDeleted val="0"/>
    <c:plotArea>
      <c:layout/>
      <c:lineChart>
        <c:grouping val="standard"/>
        <c:varyColors val="0"/>
        <c:ser>
          <c:idx val="0"/>
          <c:order val="0"/>
          <c:marker>
            <c:symbol val="none"/>
          </c:marker>
          <c:cat>
            <c:numRef>
              <c:f>DataF9!$A$8:$A$50</c:f>
              <c:numCache>
                <c:formatCode>General</c:formatCode>
                <c:ptCount val="43"/>
                <c:pt idx="0">
                  <c:v>1973.0</c:v>
                </c:pt>
                <c:pt idx="1">
                  <c:v>1974.0</c:v>
                </c:pt>
                <c:pt idx="2">
                  <c:v>1975.0</c:v>
                </c:pt>
                <c:pt idx="3">
                  <c:v>1976.0</c:v>
                </c:pt>
                <c:pt idx="4">
                  <c:v>1977.0</c:v>
                </c:pt>
                <c:pt idx="5">
                  <c:v>1978.0</c:v>
                </c:pt>
                <c:pt idx="6">
                  <c:v>1979.0</c:v>
                </c:pt>
                <c:pt idx="7">
                  <c:v>1980.0</c:v>
                </c:pt>
                <c:pt idx="8">
                  <c:v>1981.0</c:v>
                </c:pt>
                <c:pt idx="9">
                  <c:v>1982.0</c:v>
                </c:pt>
                <c:pt idx="10">
                  <c:v>1983.0</c:v>
                </c:pt>
                <c:pt idx="11">
                  <c:v>1984.0</c:v>
                </c:pt>
                <c:pt idx="12">
                  <c:v>1985.0</c:v>
                </c:pt>
                <c:pt idx="13">
                  <c:v>1986.0</c:v>
                </c:pt>
                <c:pt idx="14">
                  <c:v>1987.0</c:v>
                </c:pt>
                <c:pt idx="15">
                  <c:v>1988.0</c:v>
                </c:pt>
                <c:pt idx="16">
                  <c:v>1989.0</c:v>
                </c:pt>
                <c:pt idx="17">
                  <c:v>1990.0</c:v>
                </c:pt>
                <c:pt idx="18">
                  <c:v>1991.0</c:v>
                </c:pt>
                <c:pt idx="19">
                  <c:v>1992.0</c:v>
                </c:pt>
                <c:pt idx="20">
                  <c:v>1993.0</c:v>
                </c:pt>
                <c:pt idx="21">
                  <c:v>1994.0</c:v>
                </c:pt>
                <c:pt idx="22">
                  <c:v>1995.0</c:v>
                </c:pt>
                <c:pt idx="23">
                  <c:v>1996.0</c:v>
                </c:pt>
                <c:pt idx="24">
                  <c:v>1997.0</c:v>
                </c:pt>
                <c:pt idx="25">
                  <c:v>1998.0</c:v>
                </c:pt>
                <c:pt idx="26">
                  <c:v>1999.0</c:v>
                </c:pt>
                <c:pt idx="27">
                  <c:v>2000.0</c:v>
                </c:pt>
                <c:pt idx="28">
                  <c:v>2001.0</c:v>
                </c:pt>
                <c:pt idx="29">
                  <c:v>2002.0</c:v>
                </c:pt>
                <c:pt idx="30">
                  <c:v>2003.0</c:v>
                </c:pt>
                <c:pt idx="31">
                  <c:v>2004.0</c:v>
                </c:pt>
                <c:pt idx="32">
                  <c:v>2005.0</c:v>
                </c:pt>
                <c:pt idx="33">
                  <c:v>2006.0</c:v>
                </c:pt>
                <c:pt idx="34">
                  <c:v>2007.0</c:v>
                </c:pt>
                <c:pt idx="35">
                  <c:v>2008.0</c:v>
                </c:pt>
                <c:pt idx="36">
                  <c:v>2009.0</c:v>
                </c:pt>
                <c:pt idx="37">
                  <c:v>2010.0</c:v>
                </c:pt>
                <c:pt idx="38">
                  <c:v>2011.0</c:v>
                </c:pt>
                <c:pt idx="39">
                  <c:v>2012.0</c:v>
                </c:pt>
                <c:pt idx="40">
                  <c:v>2013.0</c:v>
                </c:pt>
                <c:pt idx="41">
                  <c:v>2014.0</c:v>
                </c:pt>
                <c:pt idx="42">
                  <c:v>2015.0</c:v>
                </c:pt>
              </c:numCache>
            </c:numRef>
          </c:cat>
          <c:val>
            <c:numRef>
              <c:f>DataF9!$BD$8:$BD$50</c:f>
              <c:numCache>
                <c:formatCode>0.0%</c:formatCode>
                <c:ptCount val="43"/>
                <c:pt idx="0">
                  <c:v>0.151647293604209</c:v>
                </c:pt>
                <c:pt idx="1">
                  <c:v>0.177842606558972</c:v>
                </c:pt>
                <c:pt idx="2">
                  <c:v>0.147269477418846</c:v>
                </c:pt>
                <c:pt idx="3">
                  <c:v>0.12575634654021</c:v>
                </c:pt>
                <c:pt idx="4">
                  <c:v>0.0998359944702427</c:v>
                </c:pt>
                <c:pt idx="5">
                  <c:v>0.112408902000587</c:v>
                </c:pt>
                <c:pt idx="6">
                  <c:v>0.127385082421622</c:v>
                </c:pt>
                <c:pt idx="7">
                  <c:v>0.134785375017049</c:v>
                </c:pt>
                <c:pt idx="8">
                  <c:v>0.13219137571539</c:v>
                </c:pt>
                <c:pt idx="9">
                  <c:v>0.136979022820401</c:v>
                </c:pt>
                <c:pt idx="10">
                  <c:v>0.106587895024259</c:v>
                </c:pt>
                <c:pt idx="11">
                  <c:v>0.081634978625799</c:v>
                </c:pt>
                <c:pt idx="12">
                  <c:v>0.0706546797930119</c:v>
                </c:pt>
                <c:pt idx="13">
                  <c:v>0.0774918215029678</c:v>
                </c:pt>
                <c:pt idx="14">
                  <c:v>0.0684803556355677</c:v>
                </c:pt>
                <c:pt idx="15">
                  <c:v>0.0804678083209423</c:v>
                </c:pt>
                <c:pt idx="16">
                  <c:v>0.0623915777080916</c:v>
                </c:pt>
                <c:pt idx="17">
                  <c:v>0.093525464157008</c:v>
                </c:pt>
                <c:pt idx="18">
                  <c:v>0.112565690174843</c:v>
                </c:pt>
                <c:pt idx="19">
                  <c:v>0.128861156428917</c:v>
                </c:pt>
                <c:pt idx="20">
                  <c:v>0.139875742743847</c:v>
                </c:pt>
                <c:pt idx="21">
                  <c:v>0.159373344622514</c:v>
                </c:pt>
                <c:pt idx="22">
                  <c:v>0.119810935478833</c:v>
                </c:pt>
                <c:pt idx="23">
                  <c:v>0.146285544104161</c:v>
                </c:pt>
                <c:pt idx="24">
                  <c:v>0.131012999740808</c:v>
                </c:pt>
                <c:pt idx="25">
                  <c:v>0.125998683884865</c:v>
                </c:pt>
                <c:pt idx="26">
                  <c:v>0.133877868533644</c:v>
                </c:pt>
                <c:pt idx="27">
                  <c:v>0.127731092987455</c:v>
                </c:pt>
                <c:pt idx="28">
                  <c:v>0.11995793272701</c:v>
                </c:pt>
                <c:pt idx="29">
                  <c:v>0.116693313283694</c:v>
                </c:pt>
                <c:pt idx="30">
                  <c:v>0.121500400207166</c:v>
                </c:pt>
                <c:pt idx="31">
                  <c:v>0.122536693354133</c:v>
                </c:pt>
                <c:pt idx="32">
                  <c:v>0.121874994471717</c:v>
                </c:pt>
                <c:pt idx="33">
                  <c:v>0.143293638720459</c:v>
                </c:pt>
                <c:pt idx="34">
                  <c:v>0.132074416010905</c:v>
                </c:pt>
                <c:pt idx="35">
                  <c:v>0.132199624873004</c:v>
                </c:pt>
                <c:pt idx="36">
                  <c:v>0.10454402836727</c:v>
                </c:pt>
                <c:pt idx="37">
                  <c:v>0.0947793661853391</c:v>
                </c:pt>
                <c:pt idx="38">
                  <c:v>0.0791429505430771</c:v>
                </c:pt>
                <c:pt idx="39">
                  <c:v>0.0828721496499112</c:v>
                </c:pt>
                <c:pt idx="40">
                  <c:v>0.0869767569657867</c:v>
                </c:pt>
                <c:pt idx="41">
                  <c:v>0.0869240687409415</c:v>
                </c:pt>
                <c:pt idx="42">
                  <c:v>0.0905225814948963</c:v>
                </c:pt>
              </c:numCache>
            </c:numRef>
          </c:val>
          <c:smooth val="0"/>
          <c:extLst xmlns:c16r2="http://schemas.microsoft.com/office/drawing/2015/06/chart">
            <c:ext xmlns:c16="http://schemas.microsoft.com/office/drawing/2014/chart" uri="{C3380CC4-5D6E-409C-BE32-E72D297353CC}">
              <c16:uniqueId val="{00000000-CC54-4A31-8F18-2EDCDD08468C}"/>
            </c:ext>
          </c:extLst>
        </c:ser>
        <c:dLbls>
          <c:showLegendKey val="0"/>
          <c:showVal val="0"/>
          <c:showCatName val="0"/>
          <c:showSerName val="0"/>
          <c:showPercent val="0"/>
          <c:showBubbleSize val="0"/>
        </c:dLbls>
        <c:marker val="1"/>
        <c:smooth val="0"/>
        <c:axId val="-2115059336"/>
        <c:axId val="-2115056552"/>
      </c:lineChart>
      <c:catAx>
        <c:axId val="-2115059336"/>
        <c:scaling>
          <c:orientation val="minMax"/>
        </c:scaling>
        <c:delete val="0"/>
        <c:axPos val="b"/>
        <c:numFmt formatCode="General" sourceLinked="1"/>
        <c:majorTickMark val="out"/>
        <c:minorTickMark val="none"/>
        <c:tickLblPos val="nextTo"/>
        <c:crossAx val="-2115056552"/>
        <c:crosses val="autoZero"/>
        <c:auto val="1"/>
        <c:lblAlgn val="ctr"/>
        <c:lblOffset val="100"/>
        <c:noMultiLvlLbl val="0"/>
      </c:catAx>
      <c:valAx>
        <c:axId val="-2115056552"/>
        <c:scaling>
          <c:orientation val="minMax"/>
        </c:scaling>
        <c:delete val="0"/>
        <c:axPos val="l"/>
        <c:majorGridlines/>
        <c:numFmt formatCode="0.0%" sourceLinked="1"/>
        <c:majorTickMark val="out"/>
        <c:minorTickMark val="none"/>
        <c:tickLblPos val="nextTo"/>
        <c:crossAx val="-2115059336"/>
        <c:crosses val="autoZero"/>
        <c:crossBetween val="between"/>
      </c:valAx>
    </c:plotArea>
    <c:plotVisOnly val="1"/>
    <c:dispBlanksAs val="gap"/>
    <c:showDLblsOverMax val="0"/>
  </c:chart>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Corporate taxes as a %</a:t>
            </a:r>
            <a:r>
              <a:rPr lang="fr-FR" baseline="0"/>
              <a:t> of...</a:t>
            </a:r>
            <a:endParaRPr lang="fr-FR"/>
          </a:p>
        </c:rich>
      </c:tx>
      <c:overlay val="0"/>
    </c:title>
    <c:autoTitleDeleted val="0"/>
    <c:plotArea>
      <c:layout>
        <c:manualLayout>
          <c:layoutTarget val="inner"/>
          <c:xMode val="edge"/>
          <c:yMode val="edge"/>
          <c:x val="0.104082360394606"/>
          <c:y val="0.0509259259259259"/>
          <c:w val="0.850307742782152"/>
          <c:h val="0.799542505103529"/>
        </c:manualLayout>
      </c:layout>
      <c:lineChart>
        <c:grouping val="standard"/>
        <c:varyColors val="0"/>
        <c:ser>
          <c:idx val="0"/>
          <c:order val="0"/>
          <c:tx>
            <c:v>GDP</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DataF9!$BF$5:$BF$50</c:f>
              <c:numCache>
                <c:formatCode>0.0%</c:formatCode>
                <c:ptCount val="46"/>
                <c:pt idx="0">
                  <c:v>0.0238109078484562</c:v>
                </c:pt>
                <c:pt idx="1">
                  <c:v>0.0171731488809292</c:v>
                </c:pt>
                <c:pt idx="2">
                  <c:v>0.0150256931515975</c:v>
                </c:pt>
                <c:pt idx="3">
                  <c:v>0.01510559733661</c:v>
                </c:pt>
                <c:pt idx="4">
                  <c:v>0.0189140235762938</c:v>
                </c:pt>
                <c:pt idx="5">
                  <c:v>0.0132020755325834</c:v>
                </c:pt>
                <c:pt idx="6">
                  <c:v>0.0131687536547154</c:v>
                </c:pt>
                <c:pt idx="7">
                  <c:v>0.0118523720859634</c:v>
                </c:pt>
                <c:pt idx="8">
                  <c:v>0.0137111366888092</c:v>
                </c:pt>
                <c:pt idx="9">
                  <c:v>0.0152918686846947</c:v>
                </c:pt>
                <c:pt idx="10">
                  <c:v>0.0131200582474043</c:v>
                </c:pt>
                <c:pt idx="11">
                  <c:v>0.0149731489175826</c:v>
                </c:pt>
                <c:pt idx="12">
                  <c:v>0.0145692269895903</c:v>
                </c:pt>
                <c:pt idx="13">
                  <c:v>0.0122864905749166</c:v>
                </c:pt>
                <c:pt idx="14">
                  <c:v>0.0108557704136102</c:v>
                </c:pt>
                <c:pt idx="15">
                  <c:v>0.0104144836451159</c:v>
                </c:pt>
                <c:pt idx="16">
                  <c:v>0.0116397288880675</c:v>
                </c:pt>
                <c:pt idx="17">
                  <c:v>0.0108529402091345</c:v>
                </c:pt>
                <c:pt idx="18">
                  <c:v>0.0133119755056234</c:v>
                </c:pt>
                <c:pt idx="19">
                  <c:v>0.010972766454826</c:v>
                </c:pt>
                <c:pt idx="20">
                  <c:v>0.0157628671068725</c:v>
                </c:pt>
                <c:pt idx="21">
                  <c:v>0.0189447171497615</c:v>
                </c:pt>
                <c:pt idx="22">
                  <c:v>0.0221932656300759</c:v>
                </c:pt>
                <c:pt idx="23">
                  <c:v>0.0264166152875434</c:v>
                </c:pt>
                <c:pt idx="24">
                  <c:v>0.0294359417890609</c:v>
                </c:pt>
                <c:pt idx="25">
                  <c:v>0.0266023571050663</c:v>
                </c:pt>
                <c:pt idx="26">
                  <c:v>0.0301209181809122</c:v>
                </c:pt>
                <c:pt idx="27">
                  <c:v>0.031065463404789</c:v>
                </c:pt>
                <c:pt idx="28">
                  <c:v>0.0325349271340211</c:v>
                </c:pt>
                <c:pt idx="29">
                  <c:v>0.0371241209715691</c:v>
                </c:pt>
                <c:pt idx="30">
                  <c:v>0.0359812701253887</c:v>
                </c:pt>
                <c:pt idx="31">
                  <c:v>0.0340717478124667</c:v>
                </c:pt>
                <c:pt idx="32">
                  <c:v>0.0353905598340579</c:v>
                </c:pt>
                <c:pt idx="33">
                  <c:v>0.0354575458411481</c:v>
                </c:pt>
                <c:pt idx="34">
                  <c:v>0.0342087880418076</c:v>
                </c:pt>
                <c:pt idx="35">
                  <c:v>0.0323790419232034</c:v>
                </c:pt>
                <c:pt idx="36">
                  <c:v>0.036139132502256</c:v>
                </c:pt>
                <c:pt idx="37">
                  <c:v>0.0324119304790337</c:v>
                </c:pt>
                <c:pt idx="38">
                  <c:v>0.0270383510845184</c:v>
                </c:pt>
                <c:pt idx="39">
                  <c:v>0.0229326120774996</c:v>
                </c:pt>
                <c:pt idx="40">
                  <c:v>0.0236041023431703</c:v>
                </c:pt>
                <c:pt idx="41">
                  <c:v>0.0216823424048073</c:v>
                </c:pt>
                <c:pt idx="42">
                  <c:v>0.0225600441526224</c:v>
                </c:pt>
                <c:pt idx="43">
                  <c:v>0.0237137379376169</c:v>
                </c:pt>
                <c:pt idx="44">
                  <c:v>0.0239077189894388</c:v>
                </c:pt>
                <c:pt idx="45">
                  <c:v>0.0268667865449641</c:v>
                </c:pt>
              </c:numCache>
            </c:numRef>
          </c:val>
          <c:smooth val="0"/>
          <c:extLst xmlns:c16r2="http://schemas.microsoft.com/office/drawing/2015/06/chart">
            <c:ext xmlns:c16="http://schemas.microsoft.com/office/drawing/2014/chart" uri="{C3380CC4-5D6E-409C-BE32-E72D297353CC}">
              <c16:uniqueId val="{00000000-2FA1-4465-8A61-65CCBD8FD1D5}"/>
            </c:ext>
          </c:extLst>
        </c:ser>
        <c:ser>
          <c:idx val="1"/>
          <c:order val="1"/>
          <c:tx>
            <c:v>National income</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DataF9!$BH$5:$BH$50</c:f>
              <c:numCache>
                <c:formatCode>0.0%</c:formatCode>
                <c:ptCount val="46"/>
                <c:pt idx="0">
                  <c:v>0.0259051168297123</c:v>
                </c:pt>
                <c:pt idx="1">
                  <c:v>0.0187623322234628</c:v>
                </c:pt>
                <c:pt idx="2">
                  <c:v>0.0164146763217989</c:v>
                </c:pt>
                <c:pt idx="3">
                  <c:v>0.0164204106336825</c:v>
                </c:pt>
                <c:pt idx="4">
                  <c:v>0.0205132691740517</c:v>
                </c:pt>
                <c:pt idx="5">
                  <c:v>0.0142330869273797</c:v>
                </c:pt>
                <c:pt idx="6">
                  <c:v>0.0144566159154384</c:v>
                </c:pt>
                <c:pt idx="7">
                  <c:v>0.0129157083688016</c:v>
                </c:pt>
                <c:pt idx="8">
                  <c:v>0.0151563626063436</c:v>
                </c:pt>
                <c:pt idx="9">
                  <c:v>0.0170345768594503</c:v>
                </c:pt>
                <c:pt idx="10">
                  <c:v>0.0149478875860461</c:v>
                </c:pt>
                <c:pt idx="11">
                  <c:v>0.0172750962535587</c:v>
                </c:pt>
                <c:pt idx="12">
                  <c:v>0.017240313421112</c:v>
                </c:pt>
                <c:pt idx="13">
                  <c:v>0.0146867648993342</c:v>
                </c:pt>
                <c:pt idx="14">
                  <c:v>0.0130798940777867</c:v>
                </c:pt>
                <c:pt idx="15">
                  <c:v>0.0126117765080824</c:v>
                </c:pt>
                <c:pt idx="16">
                  <c:v>0.0139932014161852</c:v>
                </c:pt>
                <c:pt idx="17">
                  <c:v>0.0131744575851236</c:v>
                </c:pt>
                <c:pt idx="18">
                  <c:v>0.0162943215250585</c:v>
                </c:pt>
                <c:pt idx="19">
                  <c:v>0.01360176607438</c:v>
                </c:pt>
                <c:pt idx="20">
                  <c:v>0.0193094023609003</c:v>
                </c:pt>
                <c:pt idx="21">
                  <c:v>0.0232225226290563</c:v>
                </c:pt>
                <c:pt idx="22">
                  <c:v>0.0275492307395596</c:v>
                </c:pt>
                <c:pt idx="23">
                  <c:v>0.0325931908330831</c:v>
                </c:pt>
                <c:pt idx="24">
                  <c:v>0.0362761083605814</c:v>
                </c:pt>
                <c:pt idx="25">
                  <c:v>0.0332468758629727</c:v>
                </c:pt>
                <c:pt idx="26">
                  <c:v>0.0373552315256183</c:v>
                </c:pt>
                <c:pt idx="27">
                  <c:v>0.0390839395169422</c:v>
                </c:pt>
                <c:pt idx="28">
                  <c:v>0.0412328053691337</c:v>
                </c:pt>
                <c:pt idx="29">
                  <c:v>0.0489156694994742</c:v>
                </c:pt>
                <c:pt idx="30">
                  <c:v>0.047551645510968</c:v>
                </c:pt>
                <c:pt idx="31">
                  <c:v>0.0461571439680935</c:v>
                </c:pt>
                <c:pt idx="32">
                  <c:v>0.0490276962582538</c:v>
                </c:pt>
                <c:pt idx="33">
                  <c:v>0.0479548613692113</c:v>
                </c:pt>
                <c:pt idx="34">
                  <c:v>0.0465510218310166</c:v>
                </c:pt>
                <c:pt idx="35">
                  <c:v>0.0445066056171972</c:v>
                </c:pt>
                <c:pt idx="36">
                  <c:v>0.0497511232778885</c:v>
                </c:pt>
                <c:pt idx="37">
                  <c:v>0.0449700206753963</c:v>
                </c:pt>
                <c:pt idx="38">
                  <c:v>0.0374130756924529</c:v>
                </c:pt>
                <c:pt idx="39">
                  <c:v>0.033372115557766</c:v>
                </c:pt>
                <c:pt idx="40">
                  <c:v>0.0343520006966517</c:v>
                </c:pt>
                <c:pt idx="41">
                  <c:v>0.0325204132038027</c:v>
                </c:pt>
                <c:pt idx="42">
                  <c:v>0.0340064667741603</c:v>
                </c:pt>
                <c:pt idx="43">
                  <c:v>0.0342839756755022</c:v>
                </c:pt>
                <c:pt idx="44">
                  <c:v>0.034566239268258</c:v>
                </c:pt>
                <c:pt idx="45">
                  <c:v>0.0482886742078269</c:v>
                </c:pt>
              </c:numCache>
            </c:numRef>
          </c:val>
          <c:smooth val="0"/>
          <c:extLst xmlns:c16r2="http://schemas.microsoft.com/office/drawing/2015/06/chart">
            <c:ext xmlns:c16="http://schemas.microsoft.com/office/drawing/2014/chart" uri="{C3380CC4-5D6E-409C-BE32-E72D297353CC}">
              <c16:uniqueId val="{00000001-2FA1-4465-8A61-65CCBD8FD1D5}"/>
            </c:ext>
          </c:extLst>
        </c:ser>
        <c:dLbls>
          <c:showLegendKey val="0"/>
          <c:showVal val="0"/>
          <c:showCatName val="0"/>
          <c:showSerName val="0"/>
          <c:showPercent val="0"/>
          <c:showBubbleSize val="0"/>
        </c:dLbls>
        <c:marker val="1"/>
        <c:smooth val="0"/>
        <c:axId val="-2115022568"/>
        <c:axId val="-2115019528"/>
      </c:lineChart>
      <c:catAx>
        <c:axId val="-2115022568"/>
        <c:scaling>
          <c:orientation val="minMax"/>
        </c:scaling>
        <c:delete val="0"/>
        <c:axPos val="b"/>
        <c:numFmt formatCode="General" sourceLinked="1"/>
        <c:majorTickMark val="out"/>
        <c:minorTickMark val="none"/>
        <c:tickLblPos val="nextTo"/>
        <c:crossAx val="-2115019528"/>
        <c:crosses val="autoZero"/>
        <c:auto val="1"/>
        <c:lblAlgn val="ctr"/>
        <c:lblOffset val="100"/>
        <c:noMultiLvlLbl val="0"/>
      </c:catAx>
      <c:valAx>
        <c:axId val="-2115019528"/>
        <c:scaling>
          <c:orientation val="minMax"/>
        </c:scaling>
        <c:delete val="0"/>
        <c:axPos val="l"/>
        <c:majorGridlines/>
        <c:numFmt formatCode="0.0%" sourceLinked="1"/>
        <c:majorTickMark val="out"/>
        <c:minorTickMark val="none"/>
        <c:tickLblPos val="nextTo"/>
        <c:crossAx val="-2115022568"/>
        <c:crosses val="autoZero"/>
        <c:crossBetween val="between"/>
      </c:valAx>
    </c:plotArea>
    <c:legend>
      <c:legendPos val="r"/>
      <c:layout>
        <c:manualLayout>
          <c:xMode val="edge"/>
          <c:yMode val="edge"/>
          <c:x val="0.354957314546208"/>
          <c:y val="0.686220664022836"/>
          <c:w val="0.547862175122846"/>
          <c:h val="0.151889572197636"/>
        </c:manualLayout>
      </c:layout>
      <c:overlay val="0"/>
    </c:legend>
    <c:plotVisOnly val="1"/>
    <c:dispBlanksAs val="gap"/>
    <c:showDLblsOverMax val="0"/>
  </c:chart>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Corporate tax</a:t>
            </a:r>
            <a:r>
              <a:rPr lang="fr-FR" baseline="0"/>
              <a:t> revenue / GDP</a:t>
            </a:r>
            <a:endParaRPr lang="fr-FR"/>
          </a:p>
        </c:rich>
      </c:tx>
      <c:layout>
        <c:manualLayout>
          <c:xMode val="edge"/>
          <c:yMode val="edge"/>
          <c:x val="0.186005249343832"/>
          <c:y val="0.0"/>
        </c:manualLayout>
      </c:layout>
      <c:overlay val="0"/>
    </c:title>
    <c:autoTitleDeleted val="0"/>
    <c:plotArea>
      <c:layout>
        <c:manualLayout>
          <c:layoutTarget val="inner"/>
          <c:xMode val="edge"/>
          <c:yMode val="edge"/>
          <c:x val="0.109099518810149"/>
          <c:y val="0.104691236512103"/>
          <c:w val="0.843649606299213"/>
          <c:h val="0.762284193642461"/>
        </c:manualLayout>
      </c:layout>
      <c:lineChart>
        <c:grouping val="standard"/>
        <c:varyColors val="0"/>
        <c:ser>
          <c:idx val="0"/>
          <c:order val="0"/>
          <c:tx>
            <c:v>Ireland</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DataF9!$BF$5:$BF$50</c:f>
              <c:numCache>
                <c:formatCode>0.0%</c:formatCode>
                <c:ptCount val="46"/>
                <c:pt idx="0">
                  <c:v>0.0238109078484562</c:v>
                </c:pt>
                <c:pt idx="1">
                  <c:v>0.0171731488809292</c:v>
                </c:pt>
                <c:pt idx="2">
                  <c:v>0.0150256931515975</c:v>
                </c:pt>
                <c:pt idx="3">
                  <c:v>0.01510559733661</c:v>
                </c:pt>
                <c:pt idx="4">
                  <c:v>0.0189140235762938</c:v>
                </c:pt>
                <c:pt idx="5">
                  <c:v>0.0132020755325834</c:v>
                </c:pt>
                <c:pt idx="6">
                  <c:v>0.0131687536547154</c:v>
                </c:pt>
                <c:pt idx="7">
                  <c:v>0.0118523720859634</c:v>
                </c:pt>
                <c:pt idx="8">
                  <c:v>0.0137111366888092</c:v>
                </c:pt>
                <c:pt idx="9">
                  <c:v>0.0152918686846947</c:v>
                </c:pt>
                <c:pt idx="10">
                  <c:v>0.0131200582474043</c:v>
                </c:pt>
                <c:pt idx="11">
                  <c:v>0.0149731489175826</c:v>
                </c:pt>
                <c:pt idx="12">
                  <c:v>0.0145692269895903</c:v>
                </c:pt>
                <c:pt idx="13">
                  <c:v>0.0122864905749166</c:v>
                </c:pt>
                <c:pt idx="14">
                  <c:v>0.0108557704136102</c:v>
                </c:pt>
                <c:pt idx="15">
                  <c:v>0.0104144836451159</c:v>
                </c:pt>
                <c:pt idx="16">
                  <c:v>0.0116397288880675</c:v>
                </c:pt>
                <c:pt idx="17">
                  <c:v>0.0108529402091345</c:v>
                </c:pt>
                <c:pt idx="18">
                  <c:v>0.0133119755056234</c:v>
                </c:pt>
                <c:pt idx="19">
                  <c:v>0.010972766454826</c:v>
                </c:pt>
                <c:pt idx="20">
                  <c:v>0.0157628671068725</c:v>
                </c:pt>
                <c:pt idx="21">
                  <c:v>0.0189447171497615</c:v>
                </c:pt>
                <c:pt idx="22">
                  <c:v>0.0221932656300759</c:v>
                </c:pt>
                <c:pt idx="23">
                  <c:v>0.0264166152875434</c:v>
                </c:pt>
                <c:pt idx="24">
                  <c:v>0.0294359417890609</c:v>
                </c:pt>
                <c:pt idx="25">
                  <c:v>0.0266023571050663</c:v>
                </c:pt>
                <c:pt idx="26">
                  <c:v>0.0301209181809122</c:v>
                </c:pt>
                <c:pt idx="27">
                  <c:v>0.031065463404789</c:v>
                </c:pt>
                <c:pt idx="28">
                  <c:v>0.0325349271340211</c:v>
                </c:pt>
                <c:pt idx="29">
                  <c:v>0.0371241209715691</c:v>
                </c:pt>
                <c:pt idx="30">
                  <c:v>0.0359812701253887</c:v>
                </c:pt>
                <c:pt idx="31">
                  <c:v>0.0340717478124667</c:v>
                </c:pt>
                <c:pt idx="32">
                  <c:v>0.0353905598340579</c:v>
                </c:pt>
                <c:pt idx="33">
                  <c:v>0.0354575458411481</c:v>
                </c:pt>
                <c:pt idx="34">
                  <c:v>0.0342087880418076</c:v>
                </c:pt>
                <c:pt idx="35">
                  <c:v>0.0323790419232034</c:v>
                </c:pt>
                <c:pt idx="36">
                  <c:v>0.036139132502256</c:v>
                </c:pt>
                <c:pt idx="37">
                  <c:v>0.0324119304790337</c:v>
                </c:pt>
                <c:pt idx="38">
                  <c:v>0.0270383510845184</c:v>
                </c:pt>
                <c:pt idx="39">
                  <c:v>0.0229326120774996</c:v>
                </c:pt>
                <c:pt idx="40">
                  <c:v>0.0236041023431703</c:v>
                </c:pt>
                <c:pt idx="41">
                  <c:v>0.0216823424048073</c:v>
                </c:pt>
                <c:pt idx="42">
                  <c:v>0.0225600441526224</c:v>
                </c:pt>
                <c:pt idx="43">
                  <c:v>0.0237137379376169</c:v>
                </c:pt>
                <c:pt idx="44">
                  <c:v>0.0239077189894388</c:v>
                </c:pt>
                <c:pt idx="45">
                  <c:v>0.0268667865449641</c:v>
                </c:pt>
              </c:numCache>
            </c:numRef>
          </c:val>
          <c:smooth val="0"/>
          <c:extLst xmlns:c16r2="http://schemas.microsoft.com/office/drawing/2015/06/chart">
            <c:ext xmlns:c16="http://schemas.microsoft.com/office/drawing/2014/chart" uri="{C3380CC4-5D6E-409C-BE32-E72D297353CC}">
              <c16:uniqueId val="{00000000-6251-44AD-8FCC-0B7F866CC4E9}"/>
            </c:ext>
          </c:extLst>
        </c:ser>
        <c:ser>
          <c:idx val="1"/>
          <c:order val="1"/>
          <c:tx>
            <c:v>US</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DataF9!$BG$5:$BG$50</c:f>
              <c:numCache>
                <c:formatCode>0.0%</c:formatCode>
                <c:ptCount val="46"/>
                <c:pt idx="0">
                  <c:v>0.0341575917902961</c:v>
                </c:pt>
                <c:pt idx="1">
                  <c:v>0.0261057423307798</c:v>
                </c:pt>
                <c:pt idx="2">
                  <c:v>0.0287275749592272</c:v>
                </c:pt>
                <c:pt idx="3">
                  <c:v>0.0292849906601584</c:v>
                </c:pt>
                <c:pt idx="4">
                  <c:v>0.0289991670969567</c:v>
                </c:pt>
                <c:pt idx="5">
                  <c:v>0.0282257968253514</c:v>
                </c:pt>
                <c:pt idx="6">
                  <c:v>0.0262472336049022</c:v>
                </c:pt>
                <c:pt idx="7">
                  <c:v>0.031035862491394</c:v>
                </c:pt>
                <c:pt idx="8">
                  <c:v>0.0303340681644422</c:v>
                </c:pt>
                <c:pt idx="9">
                  <c:v>0.0303343237619385</c:v>
                </c:pt>
                <c:pt idx="10">
                  <c:v>0.0278949073274157</c:v>
                </c:pt>
                <c:pt idx="11">
                  <c:v>0.0239349821344525</c:v>
                </c:pt>
                <c:pt idx="12">
                  <c:v>0.0192546939232802</c:v>
                </c:pt>
                <c:pt idx="13">
                  <c:v>0.0143115561400234</c:v>
                </c:pt>
                <c:pt idx="14">
                  <c:v>0.018424186573687</c:v>
                </c:pt>
                <c:pt idx="15">
                  <c:v>0.018760426274281</c:v>
                </c:pt>
                <c:pt idx="16">
                  <c:v>0.0184623197232956</c:v>
                </c:pt>
                <c:pt idx="17">
                  <c:v>0.0220852409758295</c:v>
                </c:pt>
                <c:pt idx="18">
                  <c:v>0.0224795886705462</c:v>
                </c:pt>
                <c:pt idx="19">
                  <c:v>0.0231752424121775</c:v>
                </c:pt>
                <c:pt idx="20">
                  <c:v>0.0198702906393876</c:v>
                </c:pt>
                <c:pt idx="21">
                  <c:v>0.0185356933696773</c:v>
                </c:pt>
                <c:pt idx="22">
                  <c:v>0.0196588732650275</c:v>
                </c:pt>
                <c:pt idx="23">
                  <c:v>0.0222093673077721</c:v>
                </c:pt>
                <c:pt idx="24">
                  <c:v>0.0231766592303402</c:v>
                </c:pt>
                <c:pt idx="25">
                  <c:v>0.0247687833604563</c:v>
                </c:pt>
                <c:pt idx="26">
                  <c:v>0.0253075736359736</c:v>
                </c:pt>
                <c:pt idx="27">
                  <c:v>0.025182879815587</c:v>
                </c:pt>
                <c:pt idx="28">
                  <c:v>0.0232381129753845</c:v>
                </c:pt>
                <c:pt idx="29">
                  <c:v>0.0230303015304969</c:v>
                </c:pt>
                <c:pt idx="30">
                  <c:v>0.0220843070518648</c:v>
                </c:pt>
                <c:pt idx="31">
                  <c:v>0.0155013128718065</c:v>
                </c:pt>
                <c:pt idx="32">
                  <c:v>0.0141921765883338</c:v>
                </c:pt>
                <c:pt idx="33">
                  <c:v>0.0182033269447853</c:v>
                </c:pt>
                <c:pt idx="34">
                  <c:v>0.0222990275233167</c:v>
                </c:pt>
                <c:pt idx="35">
                  <c:v>0.0285189199959419</c:v>
                </c:pt>
                <c:pt idx="36">
                  <c:v>0.030213659526397</c:v>
                </c:pt>
                <c:pt idx="37">
                  <c:v>0.0267021045146811</c:v>
                </c:pt>
                <c:pt idx="38">
                  <c:v>0.0170593291089843</c:v>
                </c:pt>
                <c:pt idx="39">
                  <c:v>0.0138432115012478</c:v>
                </c:pt>
                <c:pt idx="40">
                  <c:v>0.017904490415036</c:v>
                </c:pt>
                <c:pt idx="41">
                  <c:v>0.0176235134242997</c:v>
                </c:pt>
                <c:pt idx="42">
                  <c:v>0.0200009157283558</c:v>
                </c:pt>
                <c:pt idx="43">
                  <c:v>0.0210998727702106</c:v>
                </c:pt>
                <c:pt idx="44">
                  <c:v>0.0214889337589188</c:v>
                </c:pt>
                <c:pt idx="45">
                  <c:v>0.0216447021278748</c:v>
                </c:pt>
              </c:numCache>
            </c:numRef>
          </c:val>
          <c:smooth val="0"/>
          <c:extLst xmlns:c16r2="http://schemas.microsoft.com/office/drawing/2015/06/chart">
            <c:ext xmlns:c16="http://schemas.microsoft.com/office/drawing/2014/chart" uri="{C3380CC4-5D6E-409C-BE32-E72D297353CC}">
              <c16:uniqueId val="{00000001-6251-44AD-8FCC-0B7F866CC4E9}"/>
            </c:ext>
          </c:extLst>
        </c:ser>
        <c:dLbls>
          <c:showLegendKey val="0"/>
          <c:showVal val="0"/>
          <c:showCatName val="0"/>
          <c:showSerName val="0"/>
          <c:showPercent val="0"/>
          <c:showBubbleSize val="0"/>
        </c:dLbls>
        <c:marker val="1"/>
        <c:smooth val="0"/>
        <c:axId val="-2115919336"/>
        <c:axId val="-2115922328"/>
      </c:lineChart>
      <c:catAx>
        <c:axId val="-2115919336"/>
        <c:scaling>
          <c:orientation val="minMax"/>
        </c:scaling>
        <c:delete val="0"/>
        <c:axPos val="b"/>
        <c:numFmt formatCode="General" sourceLinked="1"/>
        <c:majorTickMark val="out"/>
        <c:minorTickMark val="none"/>
        <c:tickLblPos val="nextTo"/>
        <c:crossAx val="-2115922328"/>
        <c:crosses val="autoZero"/>
        <c:auto val="1"/>
        <c:lblAlgn val="ctr"/>
        <c:lblOffset val="100"/>
        <c:noMultiLvlLbl val="0"/>
      </c:catAx>
      <c:valAx>
        <c:axId val="-2115922328"/>
        <c:scaling>
          <c:orientation val="minMax"/>
        </c:scaling>
        <c:delete val="0"/>
        <c:axPos val="l"/>
        <c:majorGridlines/>
        <c:numFmt formatCode="0.0%" sourceLinked="0"/>
        <c:majorTickMark val="out"/>
        <c:minorTickMark val="none"/>
        <c:tickLblPos val="nextTo"/>
        <c:crossAx val="-2115919336"/>
        <c:crosses val="autoZero"/>
        <c:crossBetween val="between"/>
      </c:valAx>
    </c:plotArea>
    <c:legend>
      <c:legendPos val="r"/>
      <c:layout>
        <c:manualLayout>
          <c:xMode val="edge"/>
          <c:yMode val="edge"/>
          <c:x val="0.398405074365704"/>
          <c:y val="0.66165317876932"/>
          <c:w val="0.177897718732295"/>
          <c:h val="0.173878037972526"/>
        </c:manualLayout>
      </c:layout>
      <c:overlay val="0"/>
    </c:legend>
    <c:plotVisOnly val="1"/>
    <c:dispBlanksAs val="gap"/>
    <c:showDLblsOverMax val="0"/>
  </c:chart>
  <c:printSettings>
    <c:headerFooter/>
    <c:pageMargins b="1.0" l="0.75" r="0.75" t="1.0" header="0.5" footer="0.5"/>
    <c:pageSetup orientation="portrait" horizontalDpi="-4" verticalDpi="-4"/>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766185476815"/>
          <c:y val="0.0601851851851852"/>
          <c:w val="0.784199037620297"/>
          <c:h val="0.783642096821231"/>
        </c:manualLayout>
      </c:layout>
      <c:lineChart>
        <c:grouping val="standard"/>
        <c:varyColors val="0"/>
        <c:ser>
          <c:idx val="0"/>
          <c:order val="1"/>
          <c:tx>
            <c:v>Corp tax revenue /GDP</c:v>
          </c:tx>
          <c:marker>
            <c:symbol val="none"/>
          </c:marker>
          <c:cat>
            <c:numRef>
              <c:f>DataF9!$A$16:$A$50</c:f>
              <c:numCache>
                <c:formatCode>General</c:formatCode>
                <c:ptCount val="35"/>
                <c:pt idx="0">
                  <c:v>1981.0</c:v>
                </c:pt>
                <c:pt idx="1">
                  <c:v>1982.0</c:v>
                </c:pt>
                <c:pt idx="2">
                  <c:v>1983.0</c:v>
                </c:pt>
                <c:pt idx="3">
                  <c:v>1984.0</c:v>
                </c:pt>
                <c:pt idx="4">
                  <c:v>1985.0</c:v>
                </c:pt>
                <c:pt idx="5">
                  <c:v>1986.0</c:v>
                </c:pt>
                <c:pt idx="6">
                  <c:v>1987.0</c:v>
                </c:pt>
                <c:pt idx="7">
                  <c:v>1988.0</c:v>
                </c:pt>
                <c:pt idx="8">
                  <c:v>1989.0</c:v>
                </c:pt>
                <c:pt idx="9">
                  <c:v>1990.0</c:v>
                </c:pt>
                <c:pt idx="10">
                  <c:v>1991.0</c:v>
                </c:pt>
                <c:pt idx="11">
                  <c:v>1992.0</c:v>
                </c:pt>
                <c:pt idx="12">
                  <c:v>1993.0</c:v>
                </c:pt>
                <c:pt idx="13">
                  <c:v>1994.0</c:v>
                </c:pt>
                <c:pt idx="14">
                  <c:v>1995.0</c:v>
                </c:pt>
                <c:pt idx="15">
                  <c:v>1996.0</c:v>
                </c:pt>
                <c:pt idx="16">
                  <c:v>1997.0</c:v>
                </c:pt>
                <c:pt idx="17">
                  <c:v>1998.0</c:v>
                </c:pt>
                <c:pt idx="18">
                  <c:v>1999.0</c:v>
                </c:pt>
                <c:pt idx="19">
                  <c:v>2000.0</c:v>
                </c:pt>
                <c:pt idx="20">
                  <c:v>2001.0</c:v>
                </c:pt>
                <c:pt idx="21">
                  <c:v>2002.0</c:v>
                </c:pt>
                <c:pt idx="22">
                  <c:v>2003.0</c:v>
                </c:pt>
                <c:pt idx="23">
                  <c:v>2004.0</c:v>
                </c:pt>
                <c:pt idx="24">
                  <c:v>2005.0</c:v>
                </c:pt>
                <c:pt idx="25">
                  <c:v>2006.0</c:v>
                </c:pt>
                <c:pt idx="26">
                  <c:v>2007.0</c:v>
                </c:pt>
                <c:pt idx="27">
                  <c:v>2008.0</c:v>
                </c:pt>
                <c:pt idx="28">
                  <c:v>2009.0</c:v>
                </c:pt>
                <c:pt idx="29">
                  <c:v>2010.0</c:v>
                </c:pt>
                <c:pt idx="30">
                  <c:v>2011.0</c:v>
                </c:pt>
                <c:pt idx="31">
                  <c:v>2012.0</c:v>
                </c:pt>
                <c:pt idx="32">
                  <c:v>2013.0</c:v>
                </c:pt>
                <c:pt idx="33">
                  <c:v>2014.0</c:v>
                </c:pt>
                <c:pt idx="34">
                  <c:v>2015.0</c:v>
                </c:pt>
              </c:numCache>
            </c:numRef>
          </c:cat>
          <c:val>
            <c:numRef>
              <c:f>DataF9!$BF$16:$BF$50</c:f>
              <c:numCache>
                <c:formatCode>0.0%</c:formatCode>
                <c:ptCount val="35"/>
                <c:pt idx="0">
                  <c:v>0.0149731489175826</c:v>
                </c:pt>
                <c:pt idx="1">
                  <c:v>0.0145692269895903</c:v>
                </c:pt>
                <c:pt idx="2">
                  <c:v>0.0122864905749166</c:v>
                </c:pt>
                <c:pt idx="3">
                  <c:v>0.0108557704136102</c:v>
                </c:pt>
                <c:pt idx="4">
                  <c:v>0.0104144836451159</c:v>
                </c:pt>
                <c:pt idx="5">
                  <c:v>0.0116397288880675</c:v>
                </c:pt>
                <c:pt idx="6">
                  <c:v>0.0108529402091345</c:v>
                </c:pt>
                <c:pt idx="7">
                  <c:v>0.0133119755056234</c:v>
                </c:pt>
                <c:pt idx="8">
                  <c:v>0.010972766454826</c:v>
                </c:pt>
                <c:pt idx="9">
                  <c:v>0.0157628671068725</c:v>
                </c:pt>
                <c:pt idx="10">
                  <c:v>0.0189447171497615</c:v>
                </c:pt>
                <c:pt idx="11">
                  <c:v>0.0221932656300759</c:v>
                </c:pt>
                <c:pt idx="12">
                  <c:v>0.0264166152875434</c:v>
                </c:pt>
                <c:pt idx="13">
                  <c:v>0.0294359417890609</c:v>
                </c:pt>
                <c:pt idx="14">
                  <c:v>0.0266023571050663</c:v>
                </c:pt>
                <c:pt idx="15">
                  <c:v>0.0301209181809122</c:v>
                </c:pt>
                <c:pt idx="16">
                  <c:v>0.031065463404789</c:v>
                </c:pt>
                <c:pt idx="17">
                  <c:v>0.0325349271340211</c:v>
                </c:pt>
                <c:pt idx="18">
                  <c:v>0.0371241209715691</c:v>
                </c:pt>
                <c:pt idx="19">
                  <c:v>0.0359812701253887</c:v>
                </c:pt>
                <c:pt idx="20">
                  <c:v>0.0340717478124667</c:v>
                </c:pt>
                <c:pt idx="21">
                  <c:v>0.0353905598340579</c:v>
                </c:pt>
                <c:pt idx="22">
                  <c:v>0.0354575458411481</c:v>
                </c:pt>
                <c:pt idx="23">
                  <c:v>0.0342087880418076</c:v>
                </c:pt>
                <c:pt idx="24">
                  <c:v>0.0323790419232034</c:v>
                </c:pt>
                <c:pt idx="25">
                  <c:v>0.036139132502256</c:v>
                </c:pt>
                <c:pt idx="26">
                  <c:v>0.0324119304790337</c:v>
                </c:pt>
                <c:pt idx="27">
                  <c:v>0.0270383510845184</c:v>
                </c:pt>
                <c:pt idx="28">
                  <c:v>0.0229326120774996</c:v>
                </c:pt>
                <c:pt idx="29">
                  <c:v>0.0236041023431703</c:v>
                </c:pt>
                <c:pt idx="30">
                  <c:v>0.0216823424048073</c:v>
                </c:pt>
                <c:pt idx="31">
                  <c:v>0.0225600441526224</c:v>
                </c:pt>
                <c:pt idx="32">
                  <c:v>0.0237137379376169</c:v>
                </c:pt>
                <c:pt idx="33">
                  <c:v>0.0239077189894388</c:v>
                </c:pt>
                <c:pt idx="34">
                  <c:v>0.0268667865449641</c:v>
                </c:pt>
              </c:numCache>
            </c:numRef>
          </c:val>
          <c:smooth val="0"/>
          <c:extLst xmlns:c16r2="http://schemas.microsoft.com/office/drawing/2015/06/chart">
            <c:ext xmlns:c16="http://schemas.microsoft.com/office/drawing/2014/chart" uri="{C3380CC4-5D6E-409C-BE32-E72D297353CC}">
              <c16:uniqueId val="{00000000-D516-4125-9568-837835985054}"/>
            </c:ext>
          </c:extLst>
        </c:ser>
        <c:ser>
          <c:idx val="2"/>
          <c:order val="2"/>
          <c:tx>
            <c:v>Corp tax revenue/NI</c:v>
          </c:tx>
          <c:marker>
            <c:symbol val="none"/>
          </c:marker>
          <c:cat>
            <c:numRef>
              <c:f>DataF9!$A$16:$A$50</c:f>
              <c:numCache>
                <c:formatCode>General</c:formatCode>
                <c:ptCount val="35"/>
                <c:pt idx="0">
                  <c:v>1981.0</c:v>
                </c:pt>
                <c:pt idx="1">
                  <c:v>1982.0</c:v>
                </c:pt>
                <c:pt idx="2">
                  <c:v>1983.0</c:v>
                </c:pt>
                <c:pt idx="3">
                  <c:v>1984.0</c:v>
                </c:pt>
                <c:pt idx="4">
                  <c:v>1985.0</c:v>
                </c:pt>
                <c:pt idx="5">
                  <c:v>1986.0</c:v>
                </c:pt>
                <c:pt idx="6">
                  <c:v>1987.0</c:v>
                </c:pt>
                <c:pt idx="7">
                  <c:v>1988.0</c:v>
                </c:pt>
                <c:pt idx="8">
                  <c:v>1989.0</c:v>
                </c:pt>
                <c:pt idx="9">
                  <c:v>1990.0</c:v>
                </c:pt>
                <c:pt idx="10">
                  <c:v>1991.0</c:v>
                </c:pt>
                <c:pt idx="11">
                  <c:v>1992.0</c:v>
                </c:pt>
                <c:pt idx="12">
                  <c:v>1993.0</c:v>
                </c:pt>
                <c:pt idx="13">
                  <c:v>1994.0</c:v>
                </c:pt>
                <c:pt idx="14">
                  <c:v>1995.0</c:v>
                </c:pt>
                <c:pt idx="15">
                  <c:v>1996.0</c:v>
                </c:pt>
                <c:pt idx="16">
                  <c:v>1997.0</c:v>
                </c:pt>
                <c:pt idx="17">
                  <c:v>1998.0</c:v>
                </c:pt>
                <c:pt idx="18">
                  <c:v>1999.0</c:v>
                </c:pt>
                <c:pt idx="19">
                  <c:v>2000.0</c:v>
                </c:pt>
                <c:pt idx="20">
                  <c:v>2001.0</c:v>
                </c:pt>
                <c:pt idx="21">
                  <c:v>2002.0</c:v>
                </c:pt>
                <c:pt idx="22">
                  <c:v>2003.0</c:v>
                </c:pt>
                <c:pt idx="23">
                  <c:v>2004.0</c:v>
                </c:pt>
                <c:pt idx="24">
                  <c:v>2005.0</c:v>
                </c:pt>
                <c:pt idx="25">
                  <c:v>2006.0</c:v>
                </c:pt>
                <c:pt idx="26">
                  <c:v>2007.0</c:v>
                </c:pt>
                <c:pt idx="27">
                  <c:v>2008.0</c:v>
                </c:pt>
                <c:pt idx="28">
                  <c:v>2009.0</c:v>
                </c:pt>
                <c:pt idx="29">
                  <c:v>2010.0</c:v>
                </c:pt>
                <c:pt idx="30">
                  <c:v>2011.0</c:v>
                </c:pt>
                <c:pt idx="31">
                  <c:v>2012.0</c:v>
                </c:pt>
                <c:pt idx="32">
                  <c:v>2013.0</c:v>
                </c:pt>
                <c:pt idx="33">
                  <c:v>2014.0</c:v>
                </c:pt>
                <c:pt idx="34">
                  <c:v>2015.0</c:v>
                </c:pt>
              </c:numCache>
            </c:numRef>
          </c:cat>
          <c:val>
            <c:numRef>
              <c:f>DataF9!$BH$16:$BH$50</c:f>
              <c:numCache>
                <c:formatCode>0.0%</c:formatCode>
                <c:ptCount val="35"/>
                <c:pt idx="0">
                  <c:v>0.0172750962535587</c:v>
                </c:pt>
                <c:pt idx="1">
                  <c:v>0.017240313421112</c:v>
                </c:pt>
                <c:pt idx="2">
                  <c:v>0.0146867648993342</c:v>
                </c:pt>
                <c:pt idx="3">
                  <c:v>0.0130798940777867</c:v>
                </c:pt>
                <c:pt idx="4">
                  <c:v>0.0126117765080824</c:v>
                </c:pt>
                <c:pt idx="5">
                  <c:v>0.0139932014161852</c:v>
                </c:pt>
                <c:pt idx="6">
                  <c:v>0.0131744575851236</c:v>
                </c:pt>
                <c:pt idx="7">
                  <c:v>0.0162943215250585</c:v>
                </c:pt>
                <c:pt idx="8">
                  <c:v>0.01360176607438</c:v>
                </c:pt>
                <c:pt idx="9">
                  <c:v>0.0193094023609003</c:v>
                </c:pt>
                <c:pt idx="10">
                  <c:v>0.0232225226290563</c:v>
                </c:pt>
                <c:pt idx="11">
                  <c:v>0.0275492307395596</c:v>
                </c:pt>
                <c:pt idx="12">
                  <c:v>0.0325931908330831</c:v>
                </c:pt>
                <c:pt idx="13">
                  <c:v>0.0362761083605814</c:v>
                </c:pt>
                <c:pt idx="14">
                  <c:v>0.0332468758629727</c:v>
                </c:pt>
                <c:pt idx="15">
                  <c:v>0.0373552315256183</c:v>
                </c:pt>
                <c:pt idx="16">
                  <c:v>0.0390839395169422</c:v>
                </c:pt>
                <c:pt idx="17">
                  <c:v>0.0412328053691337</c:v>
                </c:pt>
                <c:pt idx="18">
                  <c:v>0.0489156694994742</c:v>
                </c:pt>
                <c:pt idx="19">
                  <c:v>0.047551645510968</c:v>
                </c:pt>
                <c:pt idx="20">
                  <c:v>0.0461571439680935</c:v>
                </c:pt>
                <c:pt idx="21">
                  <c:v>0.0490276962582538</c:v>
                </c:pt>
                <c:pt idx="22">
                  <c:v>0.0479548613692113</c:v>
                </c:pt>
                <c:pt idx="23">
                  <c:v>0.0465510218310166</c:v>
                </c:pt>
                <c:pt idx="24">
                  <c:v>0.0445066056171972</c:v>
                </c:pt>
                <c:pt idx="25">
                  <c:v>0.0497511232778885</c:v>
                </c:pt>
                <c:pt idx="26">
                  <c:v>0.0449700206753963</c:v>
                </c:pt>
                <c:pt idx="27">
                  <c:v>0.0374130756924529</c:v>
                </c:pt>
                <c:pt idx="28">
                  <c:v>0.033372115557766</c:v>
                </c:pt>
                <c:pt idx="29">
                  <c:v>0.0343520006966517</c:v>
                </c:pt>
                <c:pt idx="30">
                  <c:v>0.0325204132038027</c:v>
                </c:pt>
                <c:pt idx="31">
                  <c:v>0.0340064667741603</c:v>
                </c:pt>
                <c:pt idx="32">
                  <c:v>0.0342839756755022</c:v>
                </c:pt>
                <c:pt idx="33">
                  <c:v>0.034566239268258</c:v>
                </c:pt>
                <c:pt idx="34">
                  <c:v>0.0482886742078269</c:v>
                </c:pt>
              </c:numCache>
            </c:numRef>
          </c:val>
          <c:smooth val="0"/>
          <c:extLst xmlns:c16r2="http://schemas.microsoft.com/office/drawing/2015/06/chart">
            <c:ext xmlns:c16="http://schemas.microsoft.com/office/drawing/2014/chart" uri="{C3380CC4-5D6E-409C-BE32-E72D297353CC}">
              <c16:uniqueId val="{00000001-D516-4125-9568-837835985054}"/>
            </c:ext>
          </c:extLst>
        </c:ser>
        <c:dLbls>
          <c:showLegendKey val="0"/>
          <c:showVal val="0"/>
          <c:showCatName val="0"/>
          <c:showSerName val="0"/>
          <c:showPercent val="0"/>
          <c:showBubbleSize val="0"/>
        </c:dLbls>
        <c:marker val="1"/>
        <c:smooth val="0"/>
        <c:axId val="-2115961640"/>
        <c:axId val="-2115964568"/>
      </c:lineChart>
      <c:lineChart>
        <c:grouping val="standard"/>
        <c:varyColors val="0"/>
        <c:ser>
          <c:idx val="1"/>
          <c:order val="0"/>
          <c:tx>
            <c:v>Corporate tax rate</c:v>
          </c:tx>
          <c:marker>
            <c:symbol val="none"/>
          </c:marker>
          <c:cat>
            <c:numRef>
              <c:f>DataF9!$A$16:$A$50</c:f>
              <c:numCache>
                <c:formatCode>General</c:formatCode>
                <c:ptCount val="35"/>
                <c:pt idx="0">
                  <c:v>1981.0</c:v>
                </c:pt>
                <c:pt idx="1">
                  <c:v>1982.0</c:v>
                </c:pt>
                <c:pt idx="2">
                  <c:v>1983.0</c:v>
                </c:pt>
                <c:pt idx="3">
                  <c:v>1984.0</c:v>
                </c:pt>
                <c:pt idx="4">
                  <c:v>1985.0</c:v>
                </c:pt>
                <c:pt idx="5">
                  <c:v>1986.0</c:v>
                </c:pt>
                <c:pt idx="6">
                  <c:v>1987.0</c:v>
                </c:pt>
                <c:pt idx="7">
                  <c:v>1988.0</c:v>
                </c:pt>
                <c:pt idx="8">
                  <c:v>1989.0</c:v>
                </c:pt>
                <c:pt idx="9">
                  <c:v>1990.0</c:v>
                </c:pt>
                <c:pt idx="10">
                  <c:v>1991.0</c:v>
                </c:pt>
                <c:pt idx="11">
                  <c:v>1992.0</c:v>
                </c:pt>
                <c:pt idx="12">
                  <c:v>1993.0</c:v>
                </c:pt>
                <c:pt idx="13">
                  <c:v>1994.0</c:v>
                </c:pt>
                <c:pt idx="14">
                  <c:v>1995.0</c:v>
                </c:pt>
                <c:pt idx="15">
                  <c:v>1996.0</c:v>
                </c:pt>
                <c:pt idx="16">
                  <c:v>1997.0</c:v>
                </c:pt>
                <c:pt idx="17">
                  <c:v>1998.0</c:v>
                </c:pt>
                <c:pt idx="18">
                  <c:v>1999.0</c:v>
                </c:pt>
                <c:pt idx="19">
                  <c:v>2000.0</c:v>
                </c:pt>
                <c:pt idx="20">
                  <c:v>2001.0</c:v>
                </c:pt>
                <c:pt idx="21">
                  <c:v>2002.0</c:v>
                </c:pt>
                <c:pt idx="22">
                  <c:v>2003.0</c:v>
                </c:pt>
                <c:pt idx="23">
                  <c:v>2004.0</c:v>
                </c:pt>
                <c:pt idx="24">
                  <c:v>2005.0</c:v>
                </c:pt>
                <c:pt idx="25">
                  <c:v>2006.0</c:v>
                </c:pt>
                <c:pt idx="26">
                  <c:v>2007.0</c:v>
                </c:pt>
                <c:pt idx="27">
                  <c:v>2008.0</c:v>
                </c:pt>
                <c:pt idx="28">
                  <c:v>2009.0</c:v>
                </c:pt>
                <c:pt idx="29">
                  <c:v>2010.0</c:v>
                </c:pt>
                <c:pt idx="30">
                  <c:v>2011.0</c:v>
                </c:pt>
                <c:pt idx="31">
                  <c:v>2012.0</c:v>
                </c:pt>
                <c:pt idx="32">
                  <c:v>2013.0</c:v>
                </c:pt>
                <c:pt idx="33">
                  <c:v>2014.0</c:v>
                </c:pt>
                <c:pt idx="34">
                  <c:v>2015.0</c:v>
                </c:pt>
              </c:numCache>
            </c:numRef>
          </c:cat>
          <c:val>
            <c:numRef>
              <c:f>DataF9!$BP$16:$BP$50</c:f>
              <c:numCache>
                <c:formatCode>General</c:formatCode>
                <c:ptCount val="35"/>
                <c:pt idx="0">
                  <c:v>45.0</c:v>
                </c:pt>
                <c:pt idx="1">
                  <c:v>50.0</c:v>
                </c:pt>
                <c:pt idx="2">
                  <c:v>50.0</c:v>
                </c:pt>
                <c:pt idx="3">
                  <c:v>50.0</c:v>
                </c:pt>
                <c:pt idx="4">
                  <c:v>50.0</c:v>
                </c:pt>
                <c:pt idx="5">
                  <c:v>50.0</c:v>
                </c:pt>
                <c:pt idx="6">
                  <c:v>50.0</c:v>
                </c:pt>
                <c:pt idx="7">
                  <c:v>47.0</c:v>
                </c:pt>
                <c:pt idx="8">
                  <c:v>43.0</c:v>
                </c:pt>
                <c:pt idx="9">
                  <c:v>43.0</c:v>
                </c:pt>
                <c:pt idx="10">
                  <c:v>40.0</c:v>
                </c:pt>
                <c:pt idx="11">
                  <c:v>40.0</c:v>
                </c:pt>
                <c:pt idx="12">
                  <c:v>40.0</c:v>
                </c:pt>
                <c:pt idx="13">
                  <c:v>40.0</c:v>
                </c:pt>
                <c:pt idx="14">
                  <c:v>38.0</c:v>
                </c:pt>
                <c:pt idx="15">
                  <c:v>36.0</c:v>
                </c:pt>
                <c:pt idx="16">
                  <c:v>36.0</c:v>
                </c:pt>
                <c:pt idx="17">
                  <c:v>32.0</c:v>
                </c:pt>
                <c:pt idx="18">
                  <c:v>28.0</c:v>
                </c:pt>
                <c:pt idx="19">
                  <c:v>24.0</c:v>
                </c:pt>
                <c:pt idx="20">
                  <c:v>20.0</c:v>
                </c:pt>
                <c:pt idx="21">
                  <c:v>16.0</c:v>
                </c:pt>
                <c:pt idx="22">
                  <c:v>12.5</c:v>
                </c:pt>
                <c:pt idx="23">
                  <c:v>12.5</c:v>
                </c:pt>
                <c:pt idx="24">
                  <c:v>12.5</c:v>
                </c:pt>
                <c:pt idx="25">
                  <c:v>12.5</c:v>
                </c:pt>
                <c:pt idx="26">
                  <c:v>12.5</c:v>
                </c:pt>
                <c:pt idx="27">
                  <c:v>12.5</c:v>
                </c:pt>
                <c:pt idx="28">
                  <c:v>12.5</c:v>
                </c:pt>
                <c:pt idx="29">
                  <c:v>12.5</c:v>
                </c:pt>
                <c:pt idx="30">
                  <c:v>12.5</c:v>
                </c:pt>
                <c:pt idx="31">
                  <c:v>12.5</c:v>
                </c:pt>
                <c:pt idx="32">
                  <c:v>12.5</c:v>
                </c:pt>
                <c:pt idx="33">
                  <c:v>12.5</c:v>
                </c:pt>
                <c:pt idx="34">
                  <c:v>12.5</c:v>
                </c:pt>
              </c:numCache>
            </c:numRef>
          </c:val>
          <c:smooth val="0"/>
          <c:extLst xmlns:c16r2="http://schemas.microsoft.com/office/drawing/2015/06/chart">
            <c:ext xmlns:c16="http://schemas.microsoft.com/office/drawing/2014/chart" uri="{C3380CC4-5D6E-409C-BE32-E72D297353CC}">
              <c16:uniqueId val="{00000002-D516-4125-9568-837835985054}"/>
            </c:ext>
          </c:extLst>
        </c:ser>
        <c:dLbls>
          <c:showLegendKey val="0"/>
          <c:showVal val="0"/>
          <c:showCatName val="0"/>
          <c:showSerName val="0"/>
          <c:showPercent val="0"/>
          <c:showBubbleSize val="0"/>
        </c:dLbls>
        <c:marker val="1"/>
        <c:smooth val="0"/>
        <c:axId val="-2115970872"/>
        <c:axId val="-2115967960"/>
      </c:lineChart>
      <c:catAx>
        <c:axId val="-2115961640"/>
        <c:scaling>
          <c:orientation val="minMax"/>
        </c:scaling>
        <c:delete val="0"/>
        <c:axPos val="b"/>
        <c:numFmt formatCode="General" sourceLinked="1"/>
        <c:majorTickMark val="out"/>
        <c:minorTickMark val="none"/>
        <c:tickLblPos val="nextTo"/>
        <c:crossAx val="-2115964568"/>
        <c:crosses val="autoZero"/>
        <c:auto val="1"/>
        <c:lblAlgn val="ctr"/>
        <c:lblOffset val="100"/>
        <c:noMultiLvlLbl val="0"/>
      </c:catAx>
      <c:valAx>
        <c:axId val="-2115964568"/>
        <c:scaling>
          <c:orientation val="minMax"/>
        </c:scaling>
        <c:delete val="0"/>
        <c:axPos val="l"/>
        <c:majorGridlines/>
        <c:numFmt formatCode="0.0%" sourceLinked="1"/>
        <c:majorTickMark val="out"/>
        <c:minorTickMark val="none"/>
        <c:tickLblPos val="nextTo"/>
        <c:crossAx val="-2115961640"/>
        <c:crosses val="autoZero"/>
        <c:crossBetween val="between"/>
      </c:valAx>
      <c:valAx>
        <c:axId val="-2115967960"/>
        <c:scaling>
          <c:orientation val="minMax"/>
        </c:scaling>
        <c:delete val="0"/>
        <c:axPos val="r"/>
        <c:numFmt formatCode="General" sourceLinked="1"/>
        <c:majorTickMark val="out"/>
        <c:minorTickMark val="none"/>
        <c:tickLblPos val="nextTo"/>
        <c:crossAx val="-2115970872"/>
        <c:crosses val="max"/>
        <c:crossBetween val="between"/>
      </c:valAx>
      <c:catAx>
        <c:axId val="-2115970872"/>
        <c:scaling>
          <c:orientation val="minMax"/>
        </c:scaling>
        <c:delete val="1"/>
        <c:axPos val="b"/>
        <c:numFmt formatCode="General" sourceLinked="1"/>
        <c:majorTickMark val="out"/>
        <c:minorTickMark val="none"/>
        <c:tickLblPos val="nextTo"/>
        <c:crossAx val="-2115967960"/>
        <c:crosses val="autoZero"/>
        <c:auto val="1"/>
        <c:lblAlgn val="ctr"/>
        <c:lblOffset val="100"/>
        <c:noMultiLvlLbl val="0"/>
      </c:catAx>
    </c:plotArea>
    <c:legend>
      <c:legendPos val="r"/>
      <c:layout>
        <c:manualLayout>
          <c:xMode val="edge"/>
          <c:yMode val="edge"/>
          <c:x val="0.211111111111111"/>
          <c:y val="0.684609215514727"/>
          <c:w val="0.561111111111111"/>
          <c:h val="0.149299722951298"/>
        </c:manualLayout>
      </c:layout>
      <c:overlay val="0"/>
    </c:legend>
    <c:plotVisOnly val="1"/>
    <c:dispBlanksAs val="gap"/>
    <c:showDLblsOverMax val="0"/>
  </c:chart>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lineChart>
        <c:grouping val="standard"/>
        <c:varyColors val="0"/>
        <c:ser>
          <c:idx val="0"/>
          <c:order val="0"/>
          <c:tx>
            <c:v>Net foreign income/Net domestic product</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DataF9!$H$5:$H$50</c:f>
              <c:numCache>
                <c:formatCode>0%</c:formatCode>
                <c:ptCount val="46"/>
                <c:pt idx="0">
                  <c:v>0.0153398946835821</c:v>
                </c:pt>
                <c:pt idx="1">
                  <c:v>0.0124422625084372</c:v>
                </c:pt>
                <c:pt idx="2">
                  <c:v>0.0112258196943997</c:v>
                </c:pt>
                <c:pt idx="3">
                  <c:v>0.00242187673086006</c:v>
                </c:pt>
                <c:pt idx="4">
                  <c:v>0.00378203787956539</c:v>
                </c:pt>
                <c:pt idx="5">
                  <c:v>-0.00069936452132507</c:v>
                </c:pt>
                <c:pt idx="6">
                  <c:v>-0.00811507206658189</c:v>
                </c:pt>
                <c:pt idx="7">
                  <c:v>-0.0182435778881132</c:v>
                </c:pt>
                <c:pt idx="8">
                  <c:v>-0.0332825381344675</c:v>
                </c:pt>
                <c:pt idx="9">
                  <c:v>-0.0340876114889679</c:v>
                </c:pt>
                <c:pt idx="10">
                  <c:v>-0.035037968630521</c:v>
                </c:pt>
                <c:pt idx="11">
                  <c:v>-0.0411038736347236</c:v>
                </c:pt>
                <c:pt idx="12">
                  <c:v>-0.0652195141301455</c:v>
                </c:pt>
                <c:pt idx="13">
                  <c:v>-0.0755840244436081</c:v>
                </c:pt>
                <c:pt idx="14">
                  <c:v>-0.0962018759735923</c:v>
                </c:pt>
                <c:pt idx="15">
                  <c:v>-0.108833126808876</c:v>
                </c:pt>
                <c:pt idx="16">
                  <c:v>-0.0999268665170741</c:v>
                </c:pt>
                <c:pt idx="17">
                  <c:v>-0.0969902688224966</c:v>
                </c:pt>
                <c:pt idx="18">
                  <c:v>-0.112185826144932</c:v>
                </c:pt>
                <c:pt idx="19">
                  <c:v>-0.122912013568244</c:v>
                </c:pt>
                <c:pt idx="20">
                  <c:v>-0.121244145339082</c:v>
                </c:pt>
                <c:pt idx="21">
                  <c:v>-0.115504057063231</c:v>
                </c:pt>
                <c:pt idx="22">
                  <c:v>-0.119587662001523</c:v>
                </c:pt>
                <c:pt idx="23">
                  <c:v>-0.11444349584344</c:v>
                </c:pt>
                <c:pt idx="24">
                  <c:v>-0.108181787359195</c:v>
                </c:pt>
                <c:pt idx="25">
                  <c:v>-0.122674121209629</c:v>
                </c:pt>
                <c:pt idx="26">
                  <c:v>-0.12256465857407</c:v>
                </c:pt>
                <c:pt idx="27">
                  <c:v>-0.130374764370956</c:v>
                </c:pt>
                <c:pt idx="28">
                  <c:v>-0.13368558890544</c:v>
                </c:pt>
                <c:pt idx="29">
                  <c:v>-0.161489625647637</c:v>
                </c:pt>
                <c:pt idx="30">
                  <c:v>-0.159781078967944</c:v>
                </c:pt>
                <c:pt idx="31">
                  <c:v>-0.17755145578837</c:v>
                </c:pt>
                <c:pt idx="32">
                  <c:v>-0.197580611590752</c:v>
                </c:pt>
                <c:pt idx="33">
                  <c:v>-0.17048035208069</c:v>
                </c:pt>
                <c:pt idx="34">
                  <c:v>-0.168887550318808</c:v>
                </c:pt>
                <c:pt idx="35">
                  <c:v>-0.169239686327992</c:v>
                </c:pt>
                <c:pt idx="36">
                  <c:v>-0.154439270173296</c:v>
                </c:pt>
                <c:pt idx="37">
                  <c:v>-0.166667653484751</c:v>
                </c:pt>
                <c:pt idx="38">
                  <c:v>-0.166143264907622</c:v>
                </c:pt>
                <c:pt idx="39">
                  <c:v>-0.20352904542781</c:v>
                </c:pt>
                <c:pt idx="40">
                  <c:v>-0.200349204784669</c:v>
                </c:pt>
                <c:pt idx="41">
                  <c:v>-0.228728481393979</c:v>
                </c:pt>
                <c:pt idx="42">
                  <c:v>-0.225537778972842</c:v>
                </c:pt>
                <c:pt idx="43">
                  <c:v>-0.18654823171254</c:v>
                </c:pt>
                <c:pt idx="44">
                  <c:v>-0.183121853219037</c:v>
                </c:pt>
                <c:pt idx="45">
                  <c:v>-0.273725013770418</c:v>
                </c:pt>
              </c:numCache>
            </c:numRef>
          </c:val>
          <c:smooth val="0"/>
          <c:extLst xmlns:c16r2="http://schemas.microsoft.com/office/drawing/2015/06/chart">
            <c:ext xmlns:c16="http://schemas.microsoft.com/office/drawing/2014/chart" uri="{C3380CC4-5D6E-409C-BE32-E72D297353CC}">
              <c16:uniqueId val="{00000000-4294-4C35-9298-C6BCF3E6AFD0}"/>
            </c:ext>
          </c:extLst>
        </c:ser>
        <c:dLbls>
          <c:showLegendKey val="0"/>
          <c:showVal val="0"/>
          <c:showCatName val="0"/>
          <c:showSerName val="0"/>
          <c:showPercent val="0"/>
          <c:showBubbleSize val="0"/>
        </c:dLbls>
        <c:marker val="1"/>
        <c:smooth val="0"/>
        <c:axId val="-2115993128"/>
        <c:axId val="-2115996216"/>
      </c:lineChart>
      <c:catAx>
        <c:axId val="-2115993128"/>
        <c:scaling>
          <c:orientation val="minMax"/>
        </c:scaling>
        <c:delete val="0"/>
        <c:axPos val="b"/>
        <c:numFmt formatCode="General" sourceLinked="1"/>
        <c:majorTickMark val="out"/>
        <c:minorTickMark val="none"/>
        <c:tickLblPos val="nextTo"/>
        <c:crossAx val="-2115996216"/>
        <c:crosses val="autoZero"/>
        <c:auto val="1"/>
        <c:lblAlgn val="ctr"/>
        <c:lblOffset val="100"/>
        <c:noMultiLvlLbl val="0"/>
      </c:catAx>
      <c:valAx>
        <c:axId val="-2115996216"/>
        <c:scaling>
          <c:orientation val="minMax"/>
        </c:scaling>
        <c:delete val="0"/>
        <c:axPos val="l"/>
        <c:majorGridlines/>
        <c:numFmt formatCode="0%" sourceLinked="1"/>
        <c:majorTickMark val="out"/>
        <c:minorTickMark val="none"/>
        <c:tickLblPos val="nextTo"/>
        <c:crossAx val="-2115993128"/>
        <c:crosses val="autoZero"/>
        <c:crossBetween val="between"/>
      </c:valAx>
    </c:plotArea>
    <c:plotVisOnly val="1"/>
    <c:dispBlanksAs val="gap"/>
    <c:showDLblsOverMax val="0"/>
  </c:chart>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Net domestic corp profits / national income</a:t>
            </a:r>
          </a:p>
        </c:rich>
      </c:tx>
      <c:overlay val="0"/>
    </c:title>
    <c:autoTitleDeleted val="0"/>
    <c:plotArea>
      <c:layout/>
      <c:lineChart>
        <c:grouping val="standard"/>
        <c:varyColors val="0"/>
        <c:ser>
          <c:idx val="0"/>
          <c:order val="0"/>
          <c:tx>
            <c:v>Corporate tax paid / net corporate profits</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DataF9!$BB$5:$BB$50</c:f>
              <c:numCache>
                <c:formatCode>0%</c:formatCode>
                <c:ptCount val="46"/>
                <c:pt idx="0">
                  <c:v>0.0801442517864735</c:v>
                </c:pt>
                <c:pt idx="1">
                  <c:v>0.0775753940101247</c:v>
                </c:pt>
                <c:pt idx="2">
                  <c:v>0.091771893172054</c:v>
                </c:pt>
                <c:pt idx="3">
                  <c:v>0.108280274862925</c:v>
                </c:pt>
                <c:pt idx="4">
                  <c:v>0.115345077149718</c:v>
                </c:pt>
                <c:pt idx="5">
                  <c:v>0.0966465500987664</c:v>
                </c:pt>
                <c:pt idx="6">
                  <c:v>0.114957346592571</c:v>
                </c:pt>
                <c:pt idx="7">
                  <c:v>0.129369256422355</c:v>
                </c:pt>
                <c:pt idx="8">
                  <c:v>0.134832405055113</c:v>
                </c:pt>
                <c:pt idx="9">
                  <c:v>0.133725052695486</c:v>
                </c:pt>
                <c:pt idx="10">
                  <c:v>0.110901405914072</c:v>
                </c:pt>
                <c:pt idx="11">
                  <c:v>0.130682475767196</c:v>
                </c:pt>
                <c:pt idx="12">
                  <c:v>0.125860975397062</c:v>
                </c:pt>
                <c:pt idx="13">
                  <c:v>0.13779017679251</c:v>
                </c:pt>
                <c:pt idx="14">
                  <c:v>0.160224137961042</c:v>
                </c:pt>
                <c:pt idx="15">
                  <c:v>0.178498813454813</c:v>
                </c:pt>
                <c:pt idx="16">
                  <c:v>0.180576493683908</c:v>
                </c:pt>
                <c:pt idx="17">
                  <c:v>0.192383019376158</c:v>
                </c:pt>
                <c:pt idx="18">
                  <c:v>0.202494909020876</c:v>
                </c:pt>
                <c:pt idx="19">
                  <c:v>0.218006445325328</c:v>
                </c:pt>
                <c:pt idx="20">
                  <c:v>0.206461443789086</c:v>
                </c:pt>
                <c:pt idx="21">
                  <c:v>0.206301961041468</c:v>
                </c:pt>
                <c:pt idx="22">
                  <c:v>0.213790031868576</c:v>
                </c:pt>
                <c:pt idx="23">
                  <c:v>0.233015319123421</c:v>
                </c:pt>
                <c:pt idx="24">
                  <c:v>0.227617161743726</c:v>
                </c:pt>
                <c:pt idx="25">
                  <c:v>0.277494501900843</c:v>
                </c:pt>
                <c:pt idx="26">
                  <c:v>0.255358325078381</c:v>
                </c:pt>
                <c:pt idx="27">
                  <c:v>0.298321079543744</c:v>
                </c:pt>
                <c:pt idx="28">
                  <c:v>0.327247905278213</c:v>
                </c:pt>
                <c:pt idx="29">
                  <c:v>0.365375323309553</c:v>
                </c:pt>
                <c:pt idx="30">
                  <c:v>0.372279328382778</c:v>
                </c:pt>
                <c:pt idx="31">
                  <c:v>0.384777754324375</c:v>
                </c:pt>
                <c:pt idx="32">
                  <c:v>0.420141436374012</c:v>
                </c:pt>
                <c:pt idx="33">
                  <c:v>0.394688916970192</c:v>
                </c:pt>
                <c:pt idx="34">
                  <c:v>0.379894548782082</c:v>
                </c:pt>
                <c:pt idx="35">
                  <c:v>0.365182421628955</c:v>
                </c:pt>
                <c:pt idx="36">
                  <c:v>0.347197012527152</c:v>
                </c:pt>
                <c:pt idx="37">
                  <c:v>0.340490020956694</c:v>
                </c:pt>
                <c:pt idx="38">
                  <c:v>0.283004401324083</c:v>
                </c:pt>
                <c:pt idx="39">
                  <c:v>0.319215894766629</c:v>
                </c:pt>
                <c:pt idx="40">
                  <c:v>0.362441764270475</c:v>
                </c:pt>
                <c:pt idx="41">
                  <c:v>0.41090726313144</c:v>
                </c:pt>
                <c:pt idx="42">
                  <c:v>0.410348553981269</c:v>
                </c:pt>
                <c:pt idx="43">
                  <c:v>0.394173993967011</c:v>
                </c:pt>
                <c:pt idx="44">
                  <c:v>0.397660162126962</c:v>
                </c:pt>
                <c:pt idx="45">
                  <c:v>0.533443406168763</c:v>
                </c:pt>
              </c:numCache>
            </c:numRef>
          </c:val>
          <c:smooth val="0"/>
          <c:extLst xmlns:c16r2="http://schemas.microsoft.com/office/drawing/2015/06/chart">
            <c:ext xmlns:c16="http://schemas.microsoft.com/office/drawing/2014/chart" uri="{C3380CC4-5D6E-409C-BE32-E72D297353CC}">
              <c16:uniqueId val="{00000000-E816-4391-B585-58AD7E57C510}"/>
            </c:ext>
          </c:extLst>
        </c:ser>
        <c:dLbls>
          <c:showLegendKey val="0"/>
          <c:showVal val="0"/>
          <c:showCatName val="0"/>
          <c:showSerName val="0"/>
          <c:showPercent val="0"/>
          <c:showBubbleSize val="0"/>
        </c:dLbls>
        <c:marker val="1"/>
        <c:smooth val="0"/>
        <c:axId val="-2116023944"/>
        <c:axId val="2098141096"/>
      </c:lineChart>
      <c:catAx>
        <c:axId val="-2116023944"/>
        <c:scaling>
          <c:orientation val="minMax"/>
        </c:scaling>
        <c:delete val="0"/>
        <c:axPos val="b"/>
        <c:numFmt formatCode="General" sourceLinked="1"/>
        <c:majorTickMark val="out"/>
        <c:minorTickMark val="none"/>
        <c:tickLblPos val="nextTo"/>
        <c:crossAx val="2098141096"/>
        <c:crosses val="autoZero"/>
        <c:auto val="1"/>
        <c:lblAlgn val="ctr"/>
        <c:lblOffset val="100"/>
        <c:noMultiLvlLbl val="0"/>
      </c:catAx>
      <c:valAx>
        <c:axId val="2098141096"/>
        <c:scaling>
          <c:orientation val="minMax"/>
        </c:scaling>
        <c:delete val="0"/>
        <c:axPos val="l"/>
        <c:majorGridlines/>
        <c:numFmt formatCode="0%" sourceLinked="1"/>
        <c:majorTickMark val="out"/>
        <c:minorTickMark val="none"/>
        <c:tickLblPos val="nextTo"/>
        <c:crossAx val="-2116023944"/>
        <c:crosses val="autoZero"/>
        <c:crossBetween val="between"/>
      </c:valAx>
    </c:plotArea>
    <c:plotVisOnly val="1"/>
    <c:dispBlanksAs val="gap"/>
    <c:showDLblsOverMax val="0"/>
  </c:chart>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Net domestic corp profits / GDP</a:t>
            </a:r>
          </a:p>
        </c:rich>
      </c:tx>
      <c:overlay val="0"/>
    </c:title>
    <c:autoTitleDeleted val="0"/>
    <c:plotArea>
      <c:layout/>
      <c:lineChart>
        <c:grouping val="standard"/>
        <c:varyColors val="0"/>
        <c:ser>
          <c:idx val="0"/>
          <c:order val="0"/>
          <c:tx>
            <c:v>Nat domestic corp profits/GDP</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DataF9!$BA$5:$BA$50</c:f>
              <c:numCache>
                <c:formatCode>0%</c:formatCode>
                <c:ptCount val="46"/>
                <c:pt idx="0">
                  <c:v>0.0736652687735584</c:v>
                </c:pt>
                <c:pt idx="1">
                  <c:v>0.0710047010662482</c:v>
                </c:pt>
                <c:pt idx="2">
                  <c:v>0.0840063050718352</c:v>
                </c:pt>
                <c:pt idx="3">
                  <c:v>0.099610068716655</c:v>
                </c:pt>
                <c:pt idx="4">
                  <c:v>0.106352599876126</c:v>
                </c:pt>
                <c:pt idx="5">
                  <c:v>0.0896457009556412</c:v>
                </c:pt>
                <c:pt idx="6">
                  <c:v>0.104716414057916</c:v>
                </c:pt>
                <c:pt idx="7">
                  <c:v>0.118718425642528</c:v>
                </c:pt>
                <c:pt idx="8">
                  <c:v>0.121975541481027</c:v>
                </c:pt>
                <c:pt idx="9">
                  <c:v>0.120044422737674</c:v>
                </c:pt>
                <c:pt idx="10">
                  <c:v>0.0973403697971294</c:v>
                </c:pt>
                <c:pt idx="11">
                  <c:v>0.113268727528943</c:v>
                </c:pt>
                <c:pt idx="12">
                  <c:v>0.106361008347188</c:v>
                </c:pt>
                <c:pt idx="13">
                  <c:v>0.115270974927503</c:v>
                </c:pt>
                <c:pt idx="14">
                  <c:v>0.13297939922752</c:v>
                </c:pt>
                <c:pt idx="15">
                  <c:v>0.147399771333278</c:v>
                </c:pt>
                <c:pt idx="16">
                  <c:v>0.150205901246259</c:v>
                </c:pt>
                <c:pt idx="17">
                  <c:v>0.158482532814091</c:v>
                </c:pt>
                <c:pt idx="18">
                  <c:v>0.165432311173794</c:v>
                </c:pt>
                <c:pt idx="19">
                  <c:v>0.175869353811884</c:v>
                </c:pt>
                <c:pt idx="20">
                  <c:v>0.168540912883471</c:v>
                </c:pt>
                <c:pt idx="21">
                  <c:v>0.168299213733204</c:v>
                </c:pt>
                <c:pt idx="22">
                  <c:v>0.172226187045887</c:v>
                </c:pt>
                <c:pt idx="23">
                  <c:v>0.188857730220742</c:v>
                </c:pt>
                <c:pt idx="24">
                  <c:v>0.184698023742815</c:v>
                </c:pt>
                <c:pt idx="25">
                  <c:v>0.222036135505896</c:v>
                </c:pt>
                <c:pt idx="26">
                  <c:v>0.205904953666952</c:v>
                </c:pt>
                <c:pt idx="27">
                  <c:v>0.237117411754924</c:v>
                </c:pt>
                <c:pt idx="28">
                  <c:v>0.258216404575709</c:v>
                </c:pt>
                <c:pt idx="29">
                  <c:v>0.277298416670262</c:v>
                </c:pt>
                <c:pt idx="30">
                  <c:v>0.28169546884659</c:v>
                </c:pt>
                <c:pt idx="31">
                  <c:v>0.284030801781189</c:v>
                </c:pt>
                <c:pt idx="32">
                  <c:v>0.303278387065928</c:v>
                </c:pt>
                <c:pt idx="33">
                  <c:v>0.291830691756494</c:v>
                </c:pt>
                <c:pt idx="34">
                  <c:v>0.279171790142433</c:v>
                </c:pt>
                <c:pt idx="35">
                  <c:v>0.265674202190158</c:v>
                </c:pt>
                <c:pt idx="36">
                  <c:v>0.252203327551456</c:v>
                </c:pt>
                <c:pt idx="37">
                  <c:v>0.245406578033686</c:v>
                </c:pt>
                <c:pt idx="38">
                  <c:v>0.204526685385775</c:v>
                </c:pt>
                <c:pt idx="39">
                  <c:v>0.219358412294348</c:v>
                </c:pt>
                <c:pt idx="40">
                  <c:v>0.249042627031426</c:v>
                </c:pt>
                <c:pt idx="41">
                  <c:v>0.27396429190501</c:v>
                </c:pt>
                <c:pt idx="42">
                  <c:v>0.272227090137351</c:v>
                </c:pt>
                <c:pt idx="43">
                  <c:v>0.272644540505746</c:v>
                </c:pt>
                <c:pt idx="44">
                  <c:v>0.275041416442328</c:v>
                </c:pt>
                <c:pt idx="45">
                  <c:v>0.296796513105174</c:v>
                </c:pt>
              </c:numCache>
            </c:numRef>
          </c:val>
          <c:smooth val="0"/>
          <c:extLst xmlns:c16r2="http://schemas.microsoft.com/office/drawing/2015/06/chart">
            <c:ext xmlns:c16="http://schemas.microsoft.com/office/drawing/2014/chart" uri="{C3380CC4-5D6E-409C-BE32-E72D297353CC}">
              <c16:uniqueId val="{00000000-5839-4803-94CD-85DCDEB1B5AD}"/>
            </c:ext>
          </c:extLst>
        </c:ser>
        <c:dLbls>
          <c:showLegendKey val="0"/>
          <c:showVal val="0"/>
          <c:showCatName val="0"/>
          <c:showSerName val="0"/>
          <c:showPercent val="0"/>
          <c:showBubbleSize val="0"/>
        </c:dLbls>
        <c:marker val="1"/>
        <c:smooth val="0"/>
        <c:axId val="2097913672"/>
        <c:axId val="2097912248"/>
      </c:lineChart>
      <c:catAx>
        <c:axId val="2097913672"/>
        <c:scaling>
          <c:orientation val="minMax"/>
        </c:scaling>
        <c:delete val="0"/>
        <c:axPos val="b"/>
        <c:numFmt formatCode="General" sourceLinked="1"/>
        <c:majorTickMark val="out"/>
        <c:minorTickMark val="none"/>
        <c:tickLblPos val="nextTo"/>
        <c:crossAx val="2097912248"/>
        <c:crosses val="autoZero"/>
        <c:auto val="1"/>
        <c:lblAlgn val="ctr"/>
        <c:lblOffset val="100"/>
        <c:noMultiLvlLbl val="0"/>
      </c:catAx>
      <c:valAx>
        <c:axId val="2097912248"/>
        <c:scaling>
          <c:orientation val="minMax"/>
        </c:scaling>
        <c:delete val="0"/>
        <c:axPos val="l"/>
        <c:majorGridlines/>
        <c:numFmt formatCode="0%" sourceLinked="1"/>
        <c:majorTickMark val="out"/>
        <c:minorTickMark val="none"/>
        <c:tickLblPos val="nextTo"/>
        <c:crossAx val="2097913672"/>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endParaRPr lang="en-US" sz="2200" b="0"/>
          </a:p>
        </c:rich>
      </c:tx>
      <c:layout>
        <c:manualLayout>
          <c:xMode val="edge"/>
          <c:yMode val="edge"/>
          <c:x val="0.324589011839232"/>
          <c:y val="0.0146180238441982"/>
        </c:manualLayout>
      </c:layout>
      <c:overlay val="1"/>
    </c:title>
    <c:autoTitleDeleted val="0"/>
    <c:plotArea>
      <c:layout>
        <c:manualLayout>
          <c:layoutTarget val="inner"/>
          <c:xMode val="edge"/>
          <c:yMode val="edge"/>
          <c:x val="0.0784352007228605"/>
          <c:y val="0.090193426222898"/>
          <c:w val="0.92019867905856"/>
          <c:h val="0.702746680723487"/>
        </c:manualLayout>
      </c:layout>
      <c:barChart>
        <c:barDir val="col"/>
        <c:grouping val="clustered"/>
        <c:varyColors val="0"/>
        <c:ser>
          <c:idx val="0"/>
          <c:order val="0"/>
          <c:tx>
            <c:v>Total economy</c:v>
          </c:tx>
          <c:spPr>
            <a:solidFill>
              <a:schemeClr val="tx2">
                <a:lumMod val="60000"/>
                <a:lumOff val="40000"/>
              </a:schemeClr>
            </a:solidFill>
            <a:ln>
              <a:noFill/>
            </a:ln>
          </c:spPr>
          <c:invertIfNegative val="0"/>
          <c:val>
            <c:numRef>
              <c:f>DataF4!$L$2:$L$8</c:f>
              <c:numCache>
                <c:formatCode>0%</c:formatCode>
                <c:ptCount val="7"/>
                <c:pt idx="0">
                  <c:v>2.576059454464877</c:v>
                </c:pt>
                <c:pt idx="1">
                  <c:v>2.417005305319382</c:v>
                </c:pt>
                <c:pt idx="2">
                  <c:v>2.285299986639992</c:v>
                </c:pt>
                <c:pt idx="3">
                  <c:v>0.974821270447103</c:v>
                </c:pt>
                <c:pt idx="4">
                  <c:v>0.892302493760219</c:v>
                </c:pt>
                <c:pt idx="5">
                  <c:v>0.614886390960189</c:v>
                </c:pt>
                <c:pt idx="6">
                  <c:v>0.481856315060375</c:v>
                </c:pt>
              </c:numCache>
            </c:numRef>
          </c:val>
          <c:extLst xmlns:c16r2="http://schemas.microsoft.com/office/drawing/2015/06/chart">
            <c:ext xmlns:c16="http://schemas.microsoft.com/office/drawing/2014/chart" uri="{C3380CC4-5D6E-409C-BE32-E72D297353CC}">
              <c16:uniqueId val="{00000000-2C5B-419C-A742-51C7373EDC83}"/>
            </c:ext>
          </c:extLst>
        </c:ser>
        <c:ser>
          <c:idx val="2"/>
          <c:order val="2"/>
          <c:tx>
            <c:v>Local sector (not foreign-owned)</c:v>
          </c:tx>
          <c:invertIfNegative val="0"/>
          <c:val>
            <c:numRef>
              <c:f>DataF4!$Q$2:$Q$8</c:f>
              <c:numCache>
                <c:formatCode>0%</c:formatCode>
                <c:ptCount val="7"/>
                <c:pt idx="0">
                  <c:v>0.404614502758151</c:v>
                </c:pt>
                <c:pt idx="1">
                  <c:v>0.684163518670032</c:v>
                </c:pt>
                <c:pt idx="2">
                  <c:v>0.47996308817683</c:v>
                </c:pt>
                <c:pt idx="3">
                  <c:v>0.47996308817683</c:v>
                </c:pt>
                <c:pt idx="4">
                  <c:v>0.47996308817683</c:v>
                </c:pt>
                <c:pt idx="5">
                  <c:v>0.411533787608593</c:v>
                </c:pt>
                <c:pt idx="6">
                  <c:v>0.403148941770743</c:v>
                </c:pt>
              </c:numCache>
            </c:numRef>
          </c:val>
          <c:extLst xmlns:c16r2="http://schemas.microsoft.com/office/drawing/2015/06/chart">
            <c:ext xmlns:c16="http://schemas.microsoft.com/office/drawing/2014/chart" uri="{C3380CC4-5D6E-409C-BE32-E72D297353CC}">
              <c16:uniqueId val="{00000001-2C5B-419C-A742-51C7373EDC83}"/>
            </c:ext>
          </c:extLst>
        </c:ser>
        <c:dLbls>
          <c:showLegendKey val="0"/>
          <c:showVal val="0"/>
          <c:showCatName val="0"/>
          <c:showSerName val="0"/>
          <c:showPercent val="0"/>
          <c:showBubbleSize val="0"/>
        </c:dLbls>
        <c:gapWidth val="150"/>
        <c:axId val="2098916984"/>
        <c:axId val="2099002328"/>
      </c:barChart>
      <c:lineChart>
        <c:grouping val="standard"/>
        <c:varyColors val="0"/>
        <c:ser>
          <c:idx val="1"/>
          <c:order val="1"/>
          <c:marker>
            <c:symbol val="none"/>
          </c:marker>
          <c:cat>
            <c:strRef>
              <c:f>DataF4!$K$2:$K$8</c:f>
              <c:strCache>
                <c:ptCount val="7"/>
                <c:pt idx="0">
                  <c:v>Luxembourg</c:v>
                </c:pt>
                <c:pt idx="1">
                  <c:v>Ireland</c:v>
                </c:pt>
                <c:pt idx="2">
                  <c:v>Puerto Rico</c:v>
                </c:pt>
                <c:pt idx="3">
                  <c:v>Singapore</c:v>
                </c:pt>
                <c:pt idx="4">
                  <c:v>Hong Kong</c:v>
                </c:pt>
                <c:pt idx="5">
                  <c:v>Netherlands</c:v>
                </c:pt>
                <c:pt idx="6">
                  <c:v>Belgium</c:v>
                </c:pt>
              </c:strCache>
            </c:strRef>
          </c:cat>
          <c:val>
            <c:numRef>
              <c:f>DataF3!$F$2:$F$8</c:f>
              <c:numCache>
                <c:formatCode>0%</c:formatCode>
                <c:ptCount val="7"/>
                <c:pt idx="0">
                  <c:v>0.360816769376698</c:v>
                </c:pt>
                <c:pt idx="1">
                  <c:v>0.360816769376698</c:v>
                </c:pt>
                <c:pt idx="2">
                  <c:v>0.360816769376698</c:v>
                </c:pt>
                <c:pt idx="3">
                  <c:v>0.360816769376698</c:v>
                </c:pt>
                <c:pt idx="4">
                  <c:v>0.360816769376698</c:v>
                </c:pt>
                <c:pt idx="5">
                  <c:v>0.360816769376698</c:v>
                </c:pt>
                <c:pt idx="6">
                  <c:v>0.360816769376698</c:v>
                </c:pt>
              </c:numCache>
            </c:numRef>
          </c:val>
          <c:smooth val="0"/>
          <c:extLst xmlns:c16r2="http://schemas.microsoft.com/office/drawing/2015/06/chart">
            <c:ext xmlns:c16="http://schemas.microsoft.com/office/drawing/2014/chart" uri="{C3380CC4-5D6E-409C-BE32-E72D297353CC}">
              <c16:uniqueId val="{00000002-2C5B-419C-A742-51C7373EDC83}"/>
            </c:ext>
          </c:extLst>
        </c:ser>
        <c:dLbls>
          <c:showLegendKey val="0"/>
          <c:showVal val="0"/>
          <c:showCatName val="0"/>
          <c:showSerName val="0"/>
          <c:showPercent val="0"/>
          <c:showBubbleSize val="0"/>
        </c:dLbls>
        <c:marker val="1"/>
        <c:smooth val="0"/>
        <c:axId val="2098916984"/>
        <c:axId val="2099002328"/>
      </c:lineChart>
      <c:catAx>
        <c:axId val="2098916984"/>
        <c:scaling>
          <c:orientation val="minMax"/>
        </c:scaling>
        <c:delete val="0"/>
        <c:axPos val="b"/>
        <c:numFmt formatCode="General" sourceLinked="1"/>
        <c:majorTickMark val="none"/>
        <c:minorTickMark val="none"/>
        <c:tickLblPos val="nextTo"/>
        <c:txPr>
          <a:bodyPr rot="-2700000" vert="horz"/>
          <a:lstStyle/>
          <a:p>
            <a:pPr>
              <a:defRPr sz="1600"/>
            </a:pPr>
            <a:endParaRPr lang="en-US"/>
          </a:p>
        </c:txPr>
        <c:crossAx val="2099002328"/>
        <c:crosses val="autoZero"/>
        <c:auto val="1"/>
        <c:lblAlgn val="ctr"/>
        <c:lblOffset val="100"/>
        <c:noMultiLvlLbl val="0"/>
      </c:catAx>
      <c:valAx>
        <c:axId val="2099002328"/>
        <c:scaling>
          <c:orientation val="minMax"/>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098916984"/>
        <c:crosses val="autoZero"/>
        <c:crossBetween val="between"/>
      </c:valAx>
    </c:plotArea>
    <c:legend>
      <c:legendPos val="r"/>
      <c:layout>
        <c:manualLayout>
          <c:xMode val="edge"/>
          <c:yMode val="edge"/>
          <c:x val="0.693989071038251"/>
          <c:y val="0.220295357954733"/>
          <c:w val="0.284153005464481"/>
          <c:h val="0.164011629822423"/>
        </c:manualLayout>
      </c:layout>
      <c:overlay val="0"/>
      <c:txPr>
        <a:bodyPr/>
        <a:lstStyle/>
        <a:p>
          <a:pPr>
            <a:defRPr sz="16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Net exports / GDP</a:t>
            </a:r>
          </a:p>
        </c:rich>
      </c:tx>
      <c:layout>
        <c:manualLayout>
          <c:xMode val="edge"/>
          <c:yMode val="edge"/>
          <c:x val="0.330577209098863"/>
          <c:y val="0.0"/>
        </c:manualLayout>
      </c:layout>
      <c:overlay val="0"/>
    </c:title>
    <c:autoTitleDeleted val="0"/>
    <c:plotArea>
      <c:layout>
        <c:manualLayout>
          <c:layoutTarget val="inner"/>
          <c:xMode val="edge"/>
          <c:yMode val="edge"/>
          <c:x val="0.101729002624672"/>
          <c:y val="0.1"/>
          <c:w val="0.881604330708661"/>
          <c:h val="0.839814814814815"/>
        </c:manualLayout>
      </c:layout>
      <c:lineChart>
        <c:grouping val="standard"/>
        <c:varyColors val="0"/>
        <c:ser>
          <c:idx val="0"/>
          <c:order val="0"/>
          <c:tx>
            <c:v>Net foreign income/Net domestic product</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DataF9!$BZ$5:$BZ$50</c:f>
              <c:numCache>
                <c:formatCode>0%</c:formatCode>
                <c:ptCount val="46"/>
                <c:pt idx="0">
                  <c:v>-0.0692838116221494</c:v>
                </c:pt>
                <c:pt idx="1">
                  <c:v>-0.0634400548847586</c:v>
                </c:pt>
                <c:pt idx="2">
                  <c:v>-0.0464927340443514</c:v>
                </c:pt>
                <c:pt idx="3">
                  <c:v>-0.0595198292778669</c:v>
                </c:pt>
                <c:pt idx="4">
                  <c:v>-0.126083171563907</c:v>
                </c:pt>
                <c:pt idx="5">
                  <c:v>-0.0534779862242812</c:v>
                </c:pt>
                <c:pt idx="6">
                  <c:v>-0.0693478545151723</c:v>
                </c:pt>
                <c:pt idx="7">
                  <c:v>-0.0806533529990653</c:v>
                </c:pt>
                <c:pt idx="8">
                  <c:v>-0.0885119168011659</c:v>
                </c:pt>
                <c:pt idx="9">
                  <c:v>-0.143080137759668</c:v>
                </c:pt>
                <c:pt idx="10">
                  <c:v>-0.116580158655092</c:v>
                </c:pt>
                <c:pt idx="11">
                  <c:v>-0.124311322532111</c:v>
                </c:pt>
                <c:pt idx="12">
                  <c:v>-0.0647412583208693</c:v>
                </c:pt>
                <c:pt idx="13">
                  <c:v>-0.0284472887501701</c:v>
                </c:pt>
                <c:pt idx="14">
                  <c:v>-0.00804179892749786</c:v>
                </c:pt>
                <c:pt idx="15">
                  <c:v>0.0109178559333306</c:v>
                </c:pt>
                <c:pt idx="16">
                  <c:v>0.0157478230627216</c:v>
                </c:pt>
                <c:pt idx="17">
                  <c:v>0.0449847952116595</c:v>
                </c:pt>
                <c:pt idx="18">
                  <c:v>0.059707254763684</c:v>
                </c:pt>
                <c:pt idx="19">
                  <c:v>0.0542083499286148</c:v>
                </c:pt>
                <c:pt idx="20">
                  <c:v>0.0438838298078741</c:v>
                </c:pt>
                <c:pt idx="21">
                  <c:v>0.0471099358876111</c:v>
                </c:pt>
                <c:pt idx="22">
                  <c:v>0.0722387218163784</c:v>
                </c:pt>
                <c:pt idx="23">
                  <c:v>0.100202548111758</c:v>
                </c:pt>
                <c:pt idx="24">
                  <c:v>0.0934849904968987</c:v>
                </c:pt>
                <c:pt idx="25">
                  <c:v>0.109260306962213</c:v>
                </c:pt>
                <c:pt idx="26">
                  <c:v>0.109352956266839</c:v>
                </c:pt>
                <c:pt idx="27">
                  <c:v>0.119859184907455</c:v>
                </c:pt>
                <c:pt idx="28">
                  <c:v>0.109679326258191</c:v>
                </c:pt>
                <c:pt idx="29">
                  <c:v>0.132482355502351</c:v>
                </c:pt>
                <c:pt idx="30">
                  <c:v>0.138396047926705</c:v>
                </c:pt>
                <c:pt idx="31">
                  <c:v>0.156235398814017</c:v>
                </c:pt>
                <c:pt idx="32">
                  <c:v>0.171848852061184</c:v>
                </c:pt>
                <c:pt idx="33">
                  <c:v>0.151521562437466</c:v>
                </c:pt>
                <c:pt idx="34">
                  <c:v>0.143757758231633</c:v>
                </c:pt>
                <c:pt idx="35">
                  <c:v>0.10886631143493</c:v>
                </c:pt>
                <c:pt idx="36">
                  <c:v>0.0804272913816638</c:v>
                </c:pt>
                <c:pt idx="37">
                  <c:v>0.0826734615598406</c:v>
                </c:pt>
                <c:pt idx="38">
                  <c:v>0.0860766591581946</c:v>
                </c:pt>
                <c:pt idx="39">
                  <c:v>0.13507002862803</c:v>
                </c:pt>
                <c:pt idx="40">
                  <c:v>0.166762757582366</c:v>
                </c:pt>
                <c:pt idx="41">
                  <c:v>0.185822873192102</c:v>
                </c:pt>
                <c:pt idx="42">
                  <c:v>0.171523834450425</c:v>
                </c:pt>
                <c:pt idx="43">
                  <c:v>0.187942888534979</c:v>
                </c:pt>
                <c:pt idx="44">
                  <c:v>0.179167529509215</c:v>
                </c:pt>
                <c:pt idx="45">
                  <c:v>0.317463792193577</c:v>
                </c:pt>
              </c:numCache>
            </c:numRef>
          </c:val>
          <c:smooth val="0"/>
          <c:extLst xmlns:c16r2="http://schemas.microsoft.com/office/drawing/2015/06/chart">
            <c:ext xmlns:c16="http://schemas.microsoft.com/office/drawing/2014/chart" uri="{C3380CC4-5D6E-409C-BE32-E72D297353CC}">
              <c16:uniqueId val="{00000000-74D6-4768-8B2F-2CD34B473A04}"/>
            </c:ext>
          </c:extLst>
        </c:ser>
        <c:dLbls>
          <c:showLegendKey val="0"/>
          <c:showVal val="0"/>
          <c:showCatName val="0"/>
          <c:showSerName val="0"/>
          <c:showPercent val="0"/>
          <c:showBubbleSize val="0"/>
        </c:dLbls>
        <c:marker val="1"/>
        <c:smooth val="0"/>
        <c:axId val="-2116012280"/>
        <c:axId val="2098164456"/>
      </c:lineChart>
      <c:catAx>
        <c:axId val="-2116012280"/>
        <c:scaling>
          <c:orientation val="minMax"/>
        </c:scaling>
        <c:delete val="0"/>
        <c:axPos val="b"/>
        <c:numFmt formatCode="General" sourceLinked="1"/>
        <c:majorTickMark val="out"/>
        <c:minorTickMark val="none"/>
        <c:tickLblPos val="nextTo"/>
        <c:crossAx val="2098164456"/>
        <c:crosses val="autoZero"/>
        <c:auto val="1"/>
        <c:lblAlgn val="ctr"/>
        <c:lblOffset val="100"/>
        <c:noMultiLvlLbl val="0"/>
      </c:catAx>
      <c:valAx>
        <c:axId val="2098164456"/>
        <c:scaling>
          <c:orientation val="minMax"/>
        </c:scaling>
        <c:delete val="0"/>
        <c:axPos val="l"/>
        <c:majorGridlines/>
        <c:numFmt formatCode="0%" sourceLinked="1"/>
        <c:majorTickMark val="out"/>
        <c:minorTickMark val="none"/>
        <c:tickLblPos val="nextTo"/>
        <c:crossAx val="-2116012280"/>
        <c:crosses val="autoZero"/>
        <c:crossBetween val="between"/>
      </c:valAx>
    </c:plotArea>
    <c:plotVisOnly val="1"/>
    <c:dispBlanksAs val="gap"/>
    <c:showDLblsOverMax val="0"/>
  </c:chart>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lineChart>
        <c:grouping val="standard"/>
        <c:varyColors val="0"/>
        <c:ser>
          <c:idx val="0"/>
          <c:order val="0"/>
          <c:tx>
            <c:v>Capital share of net value added</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DataF9!$AQ$5:$AQ$50</c:f>
              <c:numCache>
                <c:formatCode>0%</c:formatCode>
                <c:ptCount val="46"/>
                <c:pt idx="0">
                  <c:v>0.187522087294267</c:v>
                </c:pt>
                <c:pt idx="1">
                  <c:v>0.178987681201346</c:v>
                </c:pt>
                <c:pt idx="2">
                  <c:v>0.211235395827609</c:v>
                </c:pt>
                <c:pt idx="3">
                  <c:v>0.238778739887219</c:v>
                </c:pt>
                <c:pt idx="4">
                  <c:v>0.236000039622705</c:v>
                </c:pt>
                <c:pt idx="5">
                  <c:v>0.204496352432894</c:v>
                </c:pt>
                <c:pt idx="6">
                  <c:v>0.238317179730622</c:v>
                </c:pt>
                <c:pt idx="7">
                  <c:v>0.266438063450026</c:v>
                </c:pt>
                <c:pt idx="8">
                  <c:v>0.269346496811915</c:v>
                </c:pt>
                <c:pt idx="9">
                  <c:v>0.258006742334092</c:v>
                </c:pt>
                <c:pt idx="10">
                  <c:v>0.213877654304441</c:v>
                </c:pt>
                <c:pt idx="11">
                  <c:v>0.24405054065255</c:v>
                </c:pt>
                <c:pt idx="12">
                  <c:v>0.240724906625411</c:v>
                </c:pt>
                <c:pt idx="13">
                  <c:v>0.256451358766344</c:v>
                </c:pt>
                <c:pt idx="14">
                  <c:v>0.287956400367406</c:v>
                </c:pt>
                <c:pt idx="15">
                  <c:v>0.311195088968839</c:v>
                </c:pt>
                <c:pt idx="16">
                  <c:v>0.313598430901007</c:v>
                </c:pt>
                <c:pt idx="17">
                  <c:v>0.327378881066792</c:v>
                </c:pt>
                <c:pt idx="18">
                  <c:v>0.337922439870493</c:v>
                </c:pt>
                <c:pt idx="19">
                  <c:v>0.358054653826167</c:v>
                </c:pt>
                <c:pt idx="20">
                  <c:v>0.351479793316285</c:v>
                </c:pt>
                <c:pt idx="21">
                  <c:v>0.34680653032264</c:v>
                </c:pt>
                <c:pt idx="22">
                  <c:v>0.350228702176903</c:v>
                </c:pt>
                <c:pt idx="23">
                  <c:v>0.372958198584325</c:v>
                </c:pt>
                <c:pt idx="24">
                  <c:v>0.370168245456506</c:v>
                </c:pt>
                <c:pt idx="25">
                  <c:v>0.421851894151311</c:v>
                </c:pt>
                <c:pt idx="26">
                  <c:v>0.405769581730269</c:v>
                </c:pt>
                <c:pt idx="27">
                  <c:v>0.448423197120515</c:v>
                </c:pt>
                <c:pt idx="28">
                  <c:v>0.476786500000858</c:v>
                </c:pt>
                <c:pt idx="29">
                  <c:v>0.491277014503277</c:v>
                </c:pt>
                <c:pt idx="30">
                  <c:v>0.501725497929402</c:v>
                </c:pt>
                <c:pt idx="31">
                  <c:v>0.508702357347433</c:v>
                </c:pt>
                <c:pt idx="32">
                  <c:v>0.540408409353046</c:v>
                </c:pt>
                <c:pt idx="33">
                  <c:v>0.528668682870975</c:v>
                </c:pt>
                <c:pt idx="34">
                  <c:v>0.514511997922642</c:v>
                </c:pt>
                <c:pt idx="35">
                  <c:v>0.499028911939969</c:v>
                </c:pt>
                <c:pt idx="36">
                  <c:v>0.482478084684089</c:v>
                </c:pt>
                <c:pt idx="37">
                  <c:v>0.468961576087483</c:v>
                </c:pt>
                <c:pt idx="38">
                  <c:v>0.409011965520548</c:v>
                </c:pt>
                <c:pt idx="39">
                  <c:v>0.431545755952795</c:v>
                </c:pt>
                <c:pt idx="40">
                  <c:v>0.476000411715596</c:v>
                </c:pt>
                <c:pt idx="41">
                  <c:v>0.507068913889721</c:v>
                </c:pt>
                <c:pt idx="42">
                  <c:v>0.506580410177136</c:v>
                </c:pt>
                <c:pt idx="43">
                  <c:v>0.501377607249275</c:v>
                </c:pt>
                <c:pt idx="44">
                  <c:v>0.507416357054851</c:v>
                </c:pt>
                <c:pt idx="45">
                  <c:v>0.57890402811983</c:v>
                </c:pt>
              </c:numCache>
            </c:numRef>
          </c:val>
          <c:smooth val="0"/>
          <c:extLst xmlns:c16r2="http://schemas.microsoft.com/office/drawing/2015/06/chart">
            <c:ext xmlns:c16="http://schemas.microsoft.com/office/drawing/2014/chart" uri="{C3380CC4-5D6E-409C-BE32-E72D297353CC}">
              <c16:uniqueId val="{00000000-144B-4888-9D34-24AF486CE0C5}"/>
            </c:ext>
          </c:extLst>
        </c:ser>
        <c:dLbls>
          <c:showLegendKey val="0"/>
          <c:showVal val="0"/>
          <c:showCatName val="0"/>
          <c:showSerName val="0"/>
          <c:showPercent val="0"/>
          <c:showBubbleSize val="0"/>
        </c:dLbls>
        <c:marker val="1"/>
        <c:smooth val="0"/>
        <c:axId val="2098127464"/>
        <c:axId val="2098120552"/>
      </c:lineChart>
      <c:catAx>
        <c:axId val="2098127464"/>
        <c:scaling>
          <c:orientation val="minMax"/>
        </c:scaling>
        <c:delete val="0"/>
        <c:axPos val="b"/>
        <c:numFmt formatCode="General" sourceLinked="1"/>
        <c:majorTickMark val="out"/>
        <c:minorTickMark val="none"/>
        <c:tickLblPos val="nextTo"/>
        <c:crossAx val="2098120552"/>
        <c:crosses val="autoZero"/>
        <c:auto val="1"/>
        <c:lblAlgn val="ctr"/>
        <c:lblOffset val="100"/>
        <c:noMultiLvlLbl val="0"/>
      </c:catAx>
      <c:valAx>
        <c:axId val="2098120552"/>
        <c:scaling>
          <c:orientation val="minMax"/>
        </c:scaling>
        <c:delete val="0"/>
        <c:axPos val="l"/>
        <c:majorGridlines/>
        <c:numFmt formatCode="0%" sourceLinked="1"/>
        <c:majorTickMark val="out"/>
        <c:minorTickMark val="none"/>
        <c:tickLblPos val="nextTo"/>
        <c:crossAx val="2098127464"/>
        <c:crosses val="autoZero"/>
        <c:crossBetween val="between"/>
      </c:valAx>
    </c:plotArea>
    <c:plotVisOnly val="1"/>
    <c:dispBlanksAs val="gap"/>
    <c:showDLblsOverMax val="0"/>
  </c:chart>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31321741032371"/>
          <c:y val="0.0601851851851852"/>
          <c:w val="0.836419291338583"/>
          <c:h val="0.87962962962963"/>
        </c:manualLayout>
      </c:layout>
      <c:lineChart>
        <c:grouping val="standard"/>
        <c:varyColors val="0"/>
        <c:ser>
          <c:idx val="0"/>
          <c:order val="0"/>
          <c:tx>
            <c:v>Cross-border dividends</c:v>
          </c:tx>
          <c:marker>
            <c:symbol val="none"/>
          </c:marker>
          <c:cat>
            <c:numRef>
              <c:f>DataF9!$A$34:$A$50</c:f>
              <c:numCache>
                <c:formatCode>General</c:formatCode>
                <c:ptCount val="17"/>
                <c:pt idx="0">
                  <c:v>1999.0</c:v>
                </c:pt>
                <c:pt idx="1">
                  <c:v>2000.0</c:v>
                </c:pt>
                <c:pt idx="2">
                  <c:v>2001.0</c:v>
                </c:pt>
                <c:pt idx="3">
                  <c:v>2002.0</c:v>
                </c:pt>
                <c:pt idx="4">
                  <c:v>2003.0</c:v>
                </c:pt>
                <c:pt idx="5">
                  <c:v>2004.0</c:v>
                </c:pt>
                <c:pt idx="6">
                  <c:v>2005.0</c:v>
                </c:pt>
                <c:pt idx="7">
                  <c:v>2006.0</c:v>
                </c:pt>
                <c:pt idx="8">
                  <c:v>2007.0</c:v>
                </c:pt>
                <c:pt idx="9">
                  <c:v>2008.0</c:v>
                </c:pt>
                <c:pt idx="10">
                  <c:v>2009.0</c:v>
                </c:pt>
                <c:pt idx="11">
                  <c:v>2010.0</c:v>
                </c:pt>
                <c:pt idx="12">
                  <c:v>2011.0</c:v>
                </c:pt>
                <c:pt idx="13">
                  <c:v>2012.0</c:v>
                </c:pt>
                <c:pt idx="14">
                  <c:v>2013.0</c:v>
                </c:pt>
                <c:pt idx="15">
                  <c:v>2014.0</c:v>
                </c:pt>
                <c:pt idx="16">
                  <c:v>2015.0</c:v>
                </c:pt>
              </c:numCache>
            </c:numRef>
          </c:cat>
          <c:val>
            <c:numRef>
              <c:f>DataF9!$M$34:$M$50</c:f>
              <c:numCache>
                <c:formatCode>#,##0</c:formatCode>
                <c:ptCount val="17"/>
                <c:pt idx="0">
                  <c:v>-11375.0</c:v>
                </c:pt>
                <c:pt idx="1">
                  <c:v>-11234.0</c:v>
                </c:pt>
                <c:pt idx="2">
                  <c:v>-14655.0</c:v>
                </c:pt>
                <c:pt idx="3">
                  <c:v>-12532.0</c:v>
                </c:pt>
                <c:pt idx="4">
                  <c:v>-10520.0</c:v>
                </c:pt>
                <c:pt idx="5">
                  <c:v>-17796.0</c:v>
                </c:pt>
                <c:pt idx="6">
                  <c:v>-24160.0</c:v>
                </c:pt>
                <c:pt idx="7">
                  <c:v>-13730.0</c:v>
                </c:pt>
                <c:pt idx="8">
                  <c:v>-12122.0</c:v>
                </c:pt>
                <c:pt idx="9">
                  <c:v>-8305.0</c:v>
                </c:pt>
                <c:pt idx="10">
                  <c:v>-12296.0</c:v>
                </c:pt>
                <c:pt idx="11">
                  <c:v>-12112.0</c:v>
                </c:pt>
                <c:pt idx="12">
                  <c:v>-10333.0</c:v>
                </c:pt>
                <c:pt idx="13">
                  <c:v>-12821.0</c:v>
                </c:pt>
                <c:pt idx="14">
                  <c:v>-10717.0</c:v>
                </c:pt>
                <c:pt idx="15">
                  <c:v>-7972.0</c:v>
                </c:pt>
                <c:pt idx="16">
                  <c:v>-12825.0</c:v>
                </c:pt>
              </c:numCache>
            </c:numRef>
          </c:val>
          <c:smooth val="0"/>
          <c:extLst xmlns:c16r2="http://schemas.microsoft.com/office/drawing/2015/06/chart">
            <c:ext xmlns:c16="http://schemas.microsoft.com/office/drawing/2014/chart" uri="{C3380CC4-5D6E-409C-BE32-E72D297353CC}">
              <c16:uniqueId val="{00000000-7DDC-45BF-A2DB-64D3F6C2DFA4}"/>
            </c:ext>
          </c:extLst>
        </c:ser>
        <c:ser>
          <c:idx val="1"/>
          <c:order val="1"/>
          <c:tx>
            <c:v>Cross-border retained earnings</c:v>
          </c:tx>
          <c:marker>
            <c:symbol val="none"/>
          </c:marker>
          <c:cat>
            <c:numRef>
              <c:f>DataF9!$A$34:$A$50</c:f>
              <c:numCache>
                <c:formatCode>General</c:formatCode>
                <c:ptCount val="17"/>
                <c:pt idx="0">
                  <c:v>1999.0</c:v>
                </c:pt>
                <c:pt idx="1">
                  <c:v>2000.0</c:v>
                </c:pt>
                <c:pt idx="2">
                  <c:v>2001.0</c:v>
                </c:pt>
                <c:pt idx="3">
                  <c:v>2002.0</c:v>
                </c:pt>
                <c:pt idx="4">
                  <c:v>2003.0</c:v>
                </c:pt>
                <c:pt idx="5">
                  <c:v>2004.0</c:v>
                </c:pt>
                <c:pt idx="6">
                  <c:v>2005.0</c:v>
                </c:pt>
                <c:pt idx="7">
                  <c:v>2006.0</c:v>
                </c:pt>
                <c:pt idx="8">
                  <c:v>2007.0</c:v>
                </c:pt>
                <c:pt idx="9">
                  <c:v>2008.0</c:v>
                </c:pt>
                <c:pt idx="10">
                  <c:v>2009.0</c:v>
                </c:pt>
                <c:pt idx="11">
                  <c:v>2010.0</c:v>
                </c:pt>
                <c:pt idx="12">
                  <c:v>2011.0</c:v>
                </c:pt>
                <c:pt idx="13">
                  <c:v>2012.0</c:v>
                </c:pt>
                <c:pt idx="14">
                  <c:v>2013.0</c:v>
                </c:pt>
                <c:pt idx="15">
                  <c:v>2014.0</c:v>
                </c:pt>
                <c:pt idx="16">
                  <c:v>2015.0</c:v>
                </c:pt>
              </c:numCache>
            </c:numRef>
          </c:cat>
          <c:val>
            <c:numRef>
              <c:f>DataF9!$N$34:$N$50</c:f>
              <c:numCache>
                <c:formatCode>#,##0</c:formatCode>
                <c:ptCount val="17"/>
                <c:pt idx="0">
                  <c:v>-7010.0</c:v>
                </c:pt>
                <c:pt idx="1">
                  <c:v>-9172.0</c:v>
                </c:pt>
                <c:pt idx="2">
                  <c:v>-8123.0</c:v>
                </c:pt>
                <c:pt idx="3">
                  <c:v>-12341.0</c:v>
                </c:pt>
                <c:pt idx="4">
                  <c:v>-13224.0</c:v>
                </c:pt>
                <c:pt idx="5">
                  <c:v>-6570.0</c:v>
                </c:pt>
                <c:pt idx="6">
                  <c:v>93.0</c:v>
                </c:pt>
                <c:pt idx="7">
                  <c:v>-6441.0</c:v>
                </c:pt>
                <c:pt idx="8">
                  <c:v>-11851.0</c:v>
                </c:pt>
                <c:pt idx="9">
                  <c:v>-12250.0</c:v>
                </c:pt>
                <c:pt idx="10">
                  <c:v>-13521.0</c:v>
                </c:pt>
                <c:pt idx="11">
                  <c:v>-10707.0</c:v>
                </c:pt>
                <c:pt idx="12">
                  <c:v>-14726.0</c:v>
                </c:pt>
                <c:pt idx="13">
                  <c:v>-11238.0</c:v>
                </c:pt>
                <c:pt idx="14">
                  <c:v>-8319.0</c:v>
                </c:pt>
                <c:pt idx="15">
                  <c:v>-10250.0</c:v>
                </c:pt>
                <c:pt idx="16">
                  <c:v>-27918.0</c:v>
                </c:pt>
              </c:numCache>
            </c:numRef>
          </c:val>
          <c:smooth val="0"/>
          <c:extLst xmlns:c16r2="http://schemas.microsoft.com/office/drawing/2015/06/chart">
            <c:ext xmlns:c16="http://schemas.microsoft.com/office/drawing/2014/chart" uri="{C3380CC4-5D6E-409C-BE32-E72D297353CC}">
              <c16:uniqueId val="{00000001-7DDC-45BF-A2DB-64D3F6C2DFA4}"/>
            </c:ext>
          </c:extLst>
        </c:ser>
        <c:dLbls>
          <c:showLegendKey val="0"/>
          <c:showVal val="0"/>
          <c:showCatName val="0"/>
          <c:showSerName val="0"/>
          <c:showPercent val="0"/>
          <c:showBubbleSize val="0"/>
        </c:dLbls>
        <c:marker val="1"/>
        <c:smooth val="0"/>
        <c:axId val="2098035432"/>
        <c:axId val="2098027448"/>
      </c:lineChart>
      <c:catAx>
        <c:axId val="2098035432"/>
        <c:scaling>
          <c:orientation val="minMax"/>
        </c:scaling>
        <c:delete val="0"/>
        <c:axPos val="b"/>
        <c:numFmt formatCode="General" sourceLinked="1"/>
        <c:majorTickMark val="out"/>
        <c:minorTickMark val="none"/>
        <c:tickLblPos val="nextTo"/>
        <c:crossAx val="2098027448"/>
        <c:crosses val="autoZero"/>
        <c:auto val="1"/>
        <c:lblAlgn val="ctr"/>
        <c:lblOffset val="100"/>
        <c:noMultiLvlLbl val="0"/>
      </c:catAx>
      <c:valAx>
        <c:axId val="2098027448"/>
        <c:scaling>
          <c:orientation val="minMax"/>
        </c:scaling>
        <c:delete val="0"/>
        <c:axPos val="l"/>
        <c:majorGridlines/>
        <c:numFmt formatCode="#,##0" sourceLinked="1"/>
        <c:majorTickMark val="out"/>
        <c:minorTickMark val="none"/>
        <c:tickLblPos val="nextTo"/>
        <c:crossAx val="2098035432"/>
        <c:crosses val="autoZero"/>
        <c:crossBetween val="between"/>
      </c:valAx>
    </c:plotArea>
    <c:legend>
      <c:legendPos val="r"/>
      <c:layout>
        <c:manualLayout>
          <c:xMode val="edge"/>
          <c:yMode val="edge"/>
          <c:x val="0.505555555555556"/>
          <c:y val="0.624232283464567"/>
          <c:w val="0.344444444444444"/>
          <c:h val="0.297831729367162"/>
        </c:manualLayout>
      </c:layout>
      <c:overlay val="0"/>
    </c:legend>
    <c:plotVisOnly val="1"/>
    <c:dispBlanksAs val="gap"/>
    <c:showDLblsOverMax val="0"/>
  </c:chart>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Net national profits / national income</a:t>
            </a:r>
          </a:p>
        </c:rich>
      </c:tx>
      <c:overlay val="0"/>
    </c:title>
    <c:autoTitleDeleted val="0"/>
    <c:plotArea>
      <c:layout>
        <c:manualLayout>
          <c:layoutTarget val="inner"/>
          <c:xMode val="edge"/>
          <c:yMode val="edge"/>
          <c:x val="0.105993874461668"/>
          <c:y val="0.154751131221719"/>
          <c:w val="0.858238614360984"/>
          <c:h val="0.712458759397157"/>
        </c:manualLayout>
      </c:layout>
      <c:lineChart>
        <c:grouping val="standard"/>
        <c:varyColors val="0"/>
        <c:ser>
          <c:idx val="0"/>
          <c:order val="0"/>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DataF9!$BC$5:$BC$50</c:f>
              <c:numCache>
                <c:formatCode>0%</c:formatCode>
                <c:ptCount val="46"/>
                <c:pt idx="0">
                  <c:v>0.0952523892327644</c:v>
                </c:pt>
                <c:pt idx="1">
                  <c:v>0.0898647491360261</c:v>
                </c:pt>
                <c:pt idx="2">
                  <c:v>0.102878594787077</c:v>
                </c:pt>
                <c:pt idx="3">
                  <c:v>0.110669981931662</c:v>
                </c:pt>
                <c:pt idx="4">
                  <c:v>0.119044282872931</c:v>
                </c:pt>
                <c:pt idx="5">
                  <c:v>0.0959624819724932</c:v>
                </c:pt>
                <c:pt idx="6">
                  <c:v>0.106902992614332</c:v>
                </c:pt>
                <c:pt idx="7">
                  <c:v>0.111470655884373</c:v>
                </c:pt>
                <c:pt idx="8">
                  <c:v>0.102026924986373</c:v>
                </c:pt>
                <c:pt idx="9">
                  <c:v>0.0999401329783918</c:v>
                </c:pt>
                <c:pt idx="10">
                  <c:v>0.0756611437688438</c:v>
                </c:pt>
                <c:pt idx="11">
                  <c:v>0.0885110587198239</c:v>
                </c:pt>
                <c:pt idx="12">
                  <c:v>0.0570960459900859</c:v>
                </c:pt>
                <c:pt idx="13">
                  <c:v>0.0574223565399355</c:v>
                </c:pt>
                <c:pt idx="14">
                  <c:v>0.0566918842105274</c:v>
                </c:pt>
                <c:pt idx="15">
                  <c:v>0.0608141827269663</c:v>
                </c:pt>
                <c:pt idx="16">
                  <c:v>0.0733769782972452</c:v>
                </c:pt>
                <c:pt idx="17">
                  <c:v>0.0875767323348976</c:v>
                </c:pt>
                <c:pt idx="18">
                  <c:v>0.0799000952129748</c:v>
                </c:pt>
                <c:pt idx="19">
                  <c:v>0.0821561034039804</c:v>
                </c:pt>
                <c:pt idx="20">
                  <c:v>0.0739937959918234</c:v>
                </c:pt>
                <c:pt idx="21">
                  <c:v>0.0806382942248257</c:v>
                </c:pt>
                <c:pt idx="22">
                  <c:v>0.0818893479815079</c:v>
                </c:pt>
                <c:pt idx="23">
                  <c:v>0.107435880035308</c:v>
                </c:pt>
                <c:pt idx="24">
                  <c:v>0.109439623953177</c:v>
                </c:pt>
                <c:pt idx="25">
                  <c:v>0.141876259921792</c:v>
                </c:pt>
                <c:pt idx="26">
                  <c:v>0.120744692563787</c:v>
                </c:pt>
                <c:pt idx="27">
                  <c:v>0.152498884120895</c:v>
                </c:pt>
                <c:pt idx="28">
                  <c:v>0.176608082948387</c:v>
                </c:pt>
                <c:pt idx="29">
                  <c:v>0.176335161867948</c:v>
                </c:pt>
                <c:pt idx="30">
                  <c:v>0.184170416163685</c:v>
                </c:pt>
                <c:pt idx="31">
                  <c:v>0.1722640063102</c:v>
                </c:pt>
                <c:pt idx="32">
                  <c:v>0.179903399364148</c:v>
                </c:pt>
                <c:pt idx="33">
                  <c:v>0.194408310414034</c:v>
                </c:pt>
                <c:pt idx="34">
                  <c:v>0.181933853326942</c:v>
                </c:pt>
                <c:pt idx="35">
                  <c:v>0.168483615162233</c:v>
                </c:pt>
                <c:pt idx="36">
                  <c:v>0.171072990745976</c:v>
                </c:pt>
                <c:pt idx="37">
                  <c:v>0.147885342972475</c:v>
                </c:pt>
                <c:pt idx="38">
                  <c:v>0.0908132496811436</c:v>
                </c:pt>
                <c:pt idx="39">
                  <c:v>0.0703499489782793</c:v>
                </c:pt>
                <c:pt idx="40">
                  <c:v>0.116767536029956</c:v>
                </c:pt>
                <c:pt idx="41">
                  <c:v>0.119359395446785</c:v>
                </c:pt>
                <c:pt idx="42">
                  <c:v>0.124326735050945</c:v>
                </c:pt>
                <c:pt idx="43">
                  <c:v>0.168185610679674</c:v>
                </c:pt>
                <c:pt idx="44">
                  <c:v>0.176415991137658</c:v>
                </c:pt>
                <c:pt idx="45">
                  <c:v>0.160493219981733</c:v>
                </c:pt>
              </c:numCache>
            </c:numRef>
          </c:val>
          <c:smooth val="0"/>
          <c:extLst xmlns:c16r2="http://schemas.microsoft.com/office/drawing/2015/06/chart">
            <c:ext xmlns:c16="http://schemas.microsoft.com/office/drawing/2014/chart" uri="{C3380CC4-5D6E-409C-BE32-E72D297353CC}">
              <c16:uniqueId val="{00000000-EB3E-42D9-9847-210F8F50814F}"/>
            </c:ext>
          </c:extLst>
        </c:ser>
        <c:dLbls>
          <c:showLegendKey val="0"/>
          <c:showVal val="0"/>
          <c:showCatName val="0"/>
          <c:showSerName val="0"/>
          <c:showPercent val="0"/>
          <c:showBubbleSize val="0"/>
        </c:dLbls>
        <c:marker val="1"/>
        <c:smooth val="0"/>
        <c:axId val="2097997144"/>
        <c:axId val="2098000152"/>
      </c:lineChart>
      <c:catAx>
        <c:axId val="2097997144"/>
        <c:scaling>
          <c:orientation val="minMax"/>
        </c:scaling>
        <c:delete val="0"/>
        <c:axPos val="b"/>
        <c:numFmt formatCode="General" sourceLinked="1"/>
        <c:majorTickMark val="out"/>
        <c:minorTickMark val="none"/>
        <c:tickLblPos val="nextTo"/>
        <c:crossAx val="2098000152"/>
        <c:crosses val="autoZero"/>
        <c:auto val="1"/>
        <c:lblAlgn val="ctr"/>
        <c:lblOffset val="100"/>
        <c:noMultiLvlLbl val="0"/>
      </c:catAx>
      <c:valAx>
        <c:axId val="2098000152"/>
        <c:scaling>
          <c:orientation val="minMax"/>
        </c:scaling>
        <c:delete val="0"/>
        <c:axPos val="l"/>
        <c:majorGridlines/>
        <c:numFmt formatCode="0%" sourceLinked="1"/>
        <c:majorTickMark val="out"/>
        <c:minorTickMark val="none"/>
        <c:tickLblPos val="nextTo"/>
        <c:crossAx val="2097997144"/>
        <c:crosses val="autoZero"/>
        <c:crossBetween val="between"/>
      </c:valAx>
    </c:plotArea>
    <c:plotVisOnly val="1"/>
    <c:dispBlanksAs val="gap"/>
    <c:showDLblsOverMax val="0"/>
  </c:chart>
  <c:printSettings>
    <c:headerFooter/>
    <c:pageMargins b="1.0" l="0.75" r="0.75" t="1.0"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manualLayout>
          <c:layoutTarget val="inner"/>
          <c:xMode val="edge"/>
          <c:yMode val="edge"/>
          <c:x val="0.0932248468941382"/>
          <c:y val="0.139814814814815"/>
          <c:w val="0.870664041994751"/>
          <c:h val="0.704243948673082"/>
        </c:manualLayout>
      </c:layout>
      <c:lineChart>
        <c:grouping val="standard"/>
        <c:varyColors val="0"/>
        <c:ser>
          <c:idx val="0"/>
          <c:order val="0"/>
          <c:tx>
            <c:v>Share of corporate profits made by foreigners</c:v>
          </c:tx>
          <c:marker>
            <c:symbol val="none"/>
          </c:marker>
          <c:cat>
            <c:numRef>
              <c:f>DataF9!$A$10:$A$50</c:f>
              <c:numCache>
                <c:formatCode>General</c:formatCode>
                <c:ptCount val="41"/>
                <c:pt idx="0">
                  <c:v>1975.0</c:v>
                </c:pt>
                <c:pt idx="1">
                  <c:v>1976.0</c:v>
                </c:pt>
                <c:pt idx="2">
                  <c:v>1977.0</c:v>
                </c:pt>
                <c:pt idx="3">
                  <c:v>1978.0</c:v>
                </c:pt>
                <c:pt idx="4">
                  <c:v>1979.0</c:v>
                </c:pt>
                <c:pt idx="5">
                  <c:v>1980.0</c:v>
                </c:pt>
                <c:pt idx="6">
                  <c:v>1981.0</c:v>
                </c:pt>
                <c:pt idx="7">
                  <c:v>1982.0</c:v>
                </c:pt>
                <c:pt idx="8">
                  <c:v>1983.0</c:v>
                </c:pt>
                <c:pt idx="9">
                  <c:v>1984.0</c:v>
                </c:pt>
                <c:pt idx="10">
                  <c:v>1985.0</c:v>
                </c:pt>
                <c:pt idx="11">
                  <c:v>1986.0</c:v>
                </c:pt>
                <c:pt idx="12">
                  <c:v>1987.0</c:v>
                </c:pt>
                <c:pt idx="13">
                  <c:v>1988.0</c:v>
                </c:pt>
                <c:pt idx="14">
                  <c:v>1989.0</c:v>
                </c:pt>
                <c:pt idx="15">
                  <c:v>1990.0</c:v>
                </c:pt>
                <c:pt idx="16">
                  <c:v>1991.0</c:v>
                </c:pt>
                <c:pt idx="17">
                  <c:v>1992.0</c:v>
                </c:pt>
                <c:pt idx="18">
                  <c:v>1993.0</c:v>
                </c:pt>
                <c:pt idx="19">
                  <c:v>1994.0</c:v>
                </c:pt>
                <c:pt idx="20">
                  <c:v>1995.0</c:v>
                </c:pt>
                <c:pt idx="21">
                  <c:v>1996.0</c:v>
                </c:pt>
                <c:pt idx="22">
                  <c:v>1997.0</c:v>
                </c:pt>
                <c:pt idx="23">
                  <c:v>1998.0</c:v>
                </c:pt>
                <c:pt idx="24">
                  <c:v>1999.0</c:v>
                </c:pt>
                <c:pt idx="25">
                  <c:v>2000.0</c:v>
                </c:pt>
                <c:pt idx="26">
                  <c:v>2001.0</c:v>
                </c:pt>
                <c:pt idx="27">
                  <c:v>2002.0</c:v>
                </c:pt>
                <c:pt idx="28">
                  <c:v>2003.0</c:v>
                </c:pt>
                <c:pt idx="29">
                  <c:v>2004.0</c:v>
                </c:pt>
                <c:pt idx="30">
                  <c:v>2005.0</c:v>
                </c:pt>
                <c:pt idx="31">
                  <c:v>2006.0</c:v>
                </c:pt>
                <c:pt idx="32">
                  <c:v>2007.0</c:v>
                </c:pt>
                <c:pt idx="33">
                  <c:v>2008.0</c:v>
                </c:pt>
                <c:pt idx="34">
                  <c:v>2009.0</c:v>
                </c:pt>
                <c:pt idx="35">
                  <c:v>2010.0</c:v>
                </c:pt>
                <c:pt idx="36">
                  <c:v>2011.0</c:v>
                </c:pt>
                <c:pt idx="37">
                  <c:v>2012.0</c:v>
                </c:pt>
                <c:pt idx="38">
                  <c:v>2013.0</c:v>
                </c:pt>
                <c:pt idx="39">
                  <c:v>2014.0</c:v>
                </c:pt>
                <c:pt idx="40">
                  <c:v>2015.0</c:v>
                </c:pt>
              </c:numCache>
            </c:numRef>
          </c:cat>
          <c:val>
            <c:numRef>
              <c:f>DataF9!$AY$10:$AY$50</c:f>
              <c:numCache>
                <c:formatCode>0%</c:formatCode>
                <c:ptCount val="41"/>
                <c:pt idx="0">
                  <c:v>0.00707803978076967</c:v>
                </c:pt>
                <c:pt idx="1">
                  <c:v>0.0700638473049038</c:v>
                </c:pt>
                <c:pt idx="2">
                  <c:v>0.138352812970866</c:v>
                </c:pt>
                <c:pt idx="3">
                  <c:v>0.243305606358729</c:v>
                </c:pt>
                <c:pt idx="4">
                  <c:v>0.252644654356787</c:v>
                </c:pt>
                <c:pt idx="5">
                  <c:v>0.317762086555808</c:v>
                </c:pt>
                <c:pt idx="6">
                  <c:v>0.322701393586224</c:v>
                </c:pt>
                <c:pt idx="7">
                  <c:v>0.546356241003527</c:v>
                </c:pt>
                <c:pt idx="8">
                  <c:v>0.58326233497469</c:v>
                </c:pt>
                <c:pt idx="9">
                  <c:v>0.646171388830865</c:v>
                </c:pt>
                <c:pt idx="10">
                  <c:v>0.659302033722698</c:v>
                </c:pt>
                <c:pt idx="11">
                  <c:v>0.593651550097718</c:v>
                </c:pt>
                <c:pt idx="12">
                  <c:v>0.544779302150038</c:v>
                </c:pt>
                <c:pt idx="13">
                  <c:v>0.605421708628055</c:v>
                </c:pt>
                <c:pt idx="14">
                  <c:v>0.623148282238261</c:v>
                </c:pt>
                <c:pt idx="15">
                  <c:v>0.641609616624531</c:v>
                </c:pt>
                <c:pt idx="16">
                  <c:v>0.609124926308301</c:v>
                </c:pt>
                <c:pt idx="17">
                  <c:v>0.616963675687891</c:v>
                </c:pt>
                <c:pt idx="18">
                  <c:v>0.538932116397024</c:v>
                </c:pt>
                <c:pt idx="19">
                  <c:v>0.519194321224361</c:v>
                </c:pt>
                <c:pt idx="20">
                  <c:v>0.488724068585369</c:v>
                </c:pt>
                <c:pt idx="21">
                  <c:v>0.527155840614458</c:v>
                </c:pt>
                <c:pt idx="22">
                  <c:v>0.488809559303927</c:v>
                </c:pt>
                <c:pt idx="23">
                  <c:v>0.460323259217682</c:v>
                </c:pt>
                <c:pt idx="24">
                  <c:v>0.517386231038506</c:v>
                </c:pt>
                <c:pt idx="25">
                  <c:v>0.505289705545184</c:v>
                </c:pt>
                <c:pt idx="26">
                  <c:v>0.552302584091237</c:v>
                </c:pt>
                <c:pt idx="27">
                  <c:v>0.571802769760617</c:v>
                </c:pt>
                <c:pt idx="28">
                  <c:v>0.507439144969161</c:v>
                </c:pt>
                <c:pt idx="29">
                  <c:v>0.521093803766833</c:v>
                </c:pt>
                <c:pt idx="30">
                  <c:v>0.538631639467516</c:v>
                </c:pt>
                <c:pt idx="31">
                  <c:v>0.507274012812547</c:v>
                </c:pt>
                <c:pt idx="32">
                  <c:v>0.565669083173266</c:v>
                </c:pt>
                <c:pt idx="33">
                  <c:v>0.679110115403652</c:v>
                </c:pt>
                <c:pt idx="34">
                  <c:v>0.779616397141783</c:v>
                </c:pt>
                <c:pt idx="35">
                  <c:v>0.677830902669325</c:v>
                </c:pt>
                <c:pt idx="36">
                  <c:v>0.709522303068649</c:v>
                </c:pt>
                <c:pt idx="37">
                  <c:v>0.697021632354478</c:v>
                </c:pt>
                <c:pt idx="38">
                  <c:v>0.573321392953819</c:v>
                </c:pt>
                <c:pt idx="39">
                  <c:v>0.556364936849436</c:v>
                </c:pt>
                <c:pt idx="40">
                  <c:v>0.699137306552519</c:v>
                </c:pt>
              </c:numCache>
            </c:numRef>
          </c:val>
          <c:smooth val="0"/>
          <c:extLst xmlns:c16r2="http://schemas.microsoft.com/office/drawing/2015/06/chart">
            <c:ext xmlns:c16="http://schemas.microsoft.com/office/drawing/2014/chart" uri="{C3380CC4-5D6E-409C-BE32-E72D297353CC}">
              <c16:uniqueId val="{00000000-DED8-4D64-9EF5-BAA450BF3551}"/>
            </c:ext>
          </c:extLst>
        </c:ser>
        <c:dLbls>
          <c:showLegendKey val="0"/>
          <c:showVal val="0"/>
          <c:showCatName val="0"/>
          <c:showSerName val="0"/>
          <c:showPercent val="0"/>
          <c:showBubbleSize val="0"/>
        </c:dLbls>
        <c:marker val="1"/>
        <c:smooth val="0"/>
        <c:axId val="-2096301064"/>
        <c:axId val="-2096298008"/>
      </c:lineChart>
      <c:catAx>
        <c:axId val="-2096301064"/>
        <c:scaling>
          <c:orientation val="minMax"/>
        </c:scaling>
        <c:delete val="0"/>
        <c:axPos val="b"/>
        <c:numFmt formatCode="General" sourceLinked="1"/>
        <c:majorTickMark val="out"/>
        <c:minorTickMark val="none"/>
        <c:tickLblPos val="nextTo"/>
        <c:crossAx val="-2096298008"/>
        <c:crosses val="autoZero"/>
        <c:auto val="1"/>
        <c:lblAlgn val="ctr"/>
        <c:lblOffset val="100"/>
        <c:noMultiLvlLbl val="0"/>
      </c:catAx>
      <c:valAx>
        <c:axId val="-2096298008"/>
        <c:scaling>
          <c:orientation val="minMax"/>
        </c:scaling>
        <c:delete val="0"/>
        <c:axPos val="l"/>
        <c:majorGridlines/>
        <c:numFmt formatCode="0%" sourceLinked="1"/>
        <c:majorTickMark val="out"/>
        <c:minorTickMark val="none"/>
        <c:tickLblPos val="nextTo"/>
        <c:crossAx val="-2096301064"/>
        <c:crosses val="autoZero"/>
        <c:crossBetween val="between"/>
      </c:valAx>
    </c:plotArea>
    <c:plotVisOnly val="1"/>
    <c:dispBlanksAs val="gap"/>
    <c:showDLblsOverMax val="0"/>
  </c:chart>
  <c:printSettings>
    <c:headerFooter/>
    <c:pageMargins b="1.0" l="0.75" r="0.75" t="1.0"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2"/>
          <c:y val="0.0601851851851852"/>
          <c:w val="0.838791776027996"/>
          <c:h val="0.87962962962963"/>
        </c:manualLayout>
      </c:layout>
      <c:lineChart>
        <c:grouping val="standard"/>
        <c:varyColors val="0"/>
        <c:ser>
          <c:idx val="0"/>
          <c:order val="0"/>
          <c:tx>
            <c:v>Net trade balance of US with Ireland (% Irish GDP)</c:v>
          </c:tx>
          <c:marker>
            <c:symbol val="none"/>
          </c:marker>
          <c:cat>
            <c:numRef>
              <c:f>DataF9!$A$20:$A$51</c:f>
              <c:numCache>
                <c:formatCode>General</c:formatCode>
                <c:ptCount val="32"/>
                <c:pt idx="0">
                  <c:v>1985.0</c:v>
                </c:pt>
                <c:pt idx="1">
                  <c:v>1986.0</c:v>
                </c:pt>
                <c:pt idx="2">
                  <c:v>1987.0</c:v>
                </c:pt>
                <c:pt idx="3">
                  <c:v>1988.0</c:v>
                </c:pt>
                <c:pt idx="4">
                  <c:v>1989.0</c:v>
                </c:pt>
                <c:pt idx="5">
                  <c:v>1990.0</c:v>
                </c:pt>
                <c:pt idx="6">
                  <c:v>1991.0</c:v>
                </c:pt>
                <c:pt idx="7">
                  <c:v>1992.0</c:v>
                </c:pt>
                <c:pt idx="8">
                  <c:v>1993.0</c:v>
                </c:pt>
                <c:pt idx="9">
                  <c:v>1994.0</c:v>
                </c:pt>
                <c:pt idx="10">
                  <c:v>1995.0</c:v>
                </c:pt>
                <c:pt idx="11">
                  <c:v>1996.0</c:v>
                </c:pt>
                <c:pt idx="12">
                  <c:v>1997.0</c:v>
                </c:pt>
                <c:pt idx="13">
                  <c:v>1998.0</c:v>
                </c:pt>
                <c:pt idx="14">
                  <c:v>1999.0</c:v>
                </c:pt>
                <c:pt idx="15">
                  <c:v>2000.0</c:v>
                </c:pt>
                <c:pt idx="16">
                  <c:v>2001.0</c:v>
                </c:pt>
                <c:pt idx="17">
                  <c:v>2002.0</c:v>
                </c:pt>
                <c:pt idx="18">
                  <c:v>2003.0</c:v>
                </c:pt>
                <c:pt idx="19">
                  <c:v>2004.0</c:v>
                </c:pt>
                <c:pt idx="20">
                  <c:v>2005.0</c:v>
                </c:pt>
                <c:pt idx="21">
                  <c:v>2006.0</c:v>
                </c:pt>
                <c:pt idx="22">
                  <c:v>2007.0</c:v>
                </c:pt>
                <c:pt idx="23">
                  <c:v>2008.0</c:v>
                </c:pt>
                <c:pt idx="24">
                  <c:v>2009.0</c:v>
                </c:pt>
                <c:pt idx="25">
                  <c:v>2010.0</c:v>
                </c:pt>
                <c:pt idx="26">
                  <c:v>2011.0</c:v>
                </c:pt>
                <c:pt idx="27">
                  <c:v>2012.0</c:v>
                </c:pt>
                <c:pt idx="28">
                  <c:v>2013.0</c:v>
                </c:pt>
                <c:pt idx="29">
                  <c:v>2014.0</c:v>
                </c:pt>
                <c:pt idx="30">
                  <c:v>2015.0</c:v>
                </c:pt>
                <c:pt idx="31">
                  <c:v>2016.0</c:v>
                </c:pt>
              </c:numCache>
            </c:numRef>
          </c:cat>
          <c:val>
            <c:numRef>
              <c:f>DataF9!$DT$20:$DT$51</c:f>
              <c:numCache>
                <c:formatCode>0%</c:formatCode>
                <c:ptCount val="32"/>
                <c:pt idx="0">
                  <c:v>0.0199524679564167</c:v>
                </c:pt>
                <c:pt idx="1">
                  <c:v>0.0144493251350539</c:v>
                </c:pt>
                <c:pt idx="2">
                  <c:v>0.0199571011994672</c:v>
                </c:pt>
                <c:pt idx="3">
                  <c:v>0.0210962856401251</c:v>
                </c:pt>
                <c:pt idx="4">
                  <c:v>0.0234368418291024</c:v>
                </c:pt>
                <c:pt idx="5">
                  <c:v>0.0157359149217176</c:v>
                </c:pt>
                <c:pt idx="6">
                  <c:v>0.0145256606187835</c:v>
                </c:pt>
                <c:pt idx="7">
                  <c:v>0.0105867449075226</c:v>
                </c:pt>
                <c:pt idx="8">
                  <c:v>0.00392596329885784</c:v>
                </c:pt>
                <c:pt idx="9">
                  <c:v>0.00906435007604329</c:v>
                </c:pt>
                <c:pt idx="10">
                  <c:v>0.000433461570851739</c:v>
                </c:pt>
                <c:pt idx="11">
                  <c:v>-0.014961321670372</c:v>
                </c:pt>
                <c:pt idx="12">
                  <c:v>-0.014785263284095</c:v>
                </c:pt>
                <c:pt idx="13">
                  <c:v>-0.0305619258497217</c:v>
                </c:pt>
                <c:pt idx="14">
                  <c:v>-0.0466813088527879</c:v>
                </c:pt>
                <c:pt idx="15">
                  <c:v>-0.0876278183086828</c:v>
                </c:pt>
                <c:pt idx="16">
                  <c:v>-0.104064859678041</c:v>
                </c:pt>
                <c:pt idx="17">
                  <c:v>-0.122648588714562</c:v>
                </c:pt>
                <c:pt idx="18">
                  <c:v>-0.109879186377909</c:v>
                </c:pt>
                <c:pt idx="19">
                  <c:v>-0.102621622862697</c:v>
                </c:pt>
                <c:pt idx="20">
                  <c:v>-0.0958348580889232</c:v>
                </c:pt>
                <c:pt idx="21">
                  <c:v>-0.090044607661099</c:v>
                </c:pt>
                <c:pt idx="22">
                  <c:v>-0.0839469337674524</c:v>
                </c:pt>
                <c:pt idx="23">
                  <c:v>-0.0863338051664857</c:v>
                </c:pt>
                <c:pt idx="24">
                  <c:v>-0.0875311216458382</c:v>
                </c:pt>
                <c:pt idx="25">
                  <c:v>-0.120049755216056</c:v>
                </c:pt>
                <c:pt idx="26">
                  <c:v>-0.131812757393914</c:v>
                </c:pt>
                <c:pt idx="27">
                  <c:v>-0.115045966101563</c:v>
                </c:pt>
                <c:pt idx="28">
                  <c:v>-0.10391666226542</c:v>
                </c:pt>
                <c:pt idx="29">
                  <c:v>-0.102161336758189</c:v>
                </c:pt>
                <c:pt idx="30">
                  <c:v>-0.107168492252061</c:v>
                </c:pt>
                <c:pt idx="31">
                  <c:v>-0.119799295609451</c:v>
                </c:pt>
              </c:numCache>
            </c:numRef>
          </c:val>
          <c:smooth val="0"/>
          <c:extLst xmlns:c16r2="http://schemas.microsoft.com/office/drawing/2015/06/chart">
            <c:ext xmlns:c16="http://schemas.microsoft.com/office/drawing/2014/chart" uri="{C3380CC4-5D6E-409C-BE32-E72D297353CC}">
              <c16:uniqueId val="{00000000-2DD0-41DC-AD03-A61D7CE72DC5}"/>
            </c:ext>
          </c:extLst>
        </c:ser>
        <c:dLbls>
          <c:showLegendKey val="0"/>
          <c:showVal val="0"/>
          <c:showCatName val="0"/>
          <c:showSerName val="0"/>
          <c:showPercent val="0"/>
          <c:showBubbleSize val="0"/>
        </c:dLbls>
        <c:marker val="1"/>
        <c:smooth val="0"/>
        <c:axId val="-2096259976"/>
        <c:axId val="-2096257000"/>
      </c:lineChart>
      <c:lineChart>
        <c:grouping val="standard"/>
        <c:varyColors val="0"/>
        <c:ser>
          <c:idx val="1"/>
          <c:order val="1"/>
          <c:tx>
            <c:v>Irish Corporate tax rate</c:v>
          </c:tx>
          <c:marker>
            <c:symbol val="none"/>
          </c:marker>
          <c:val>
            <c:numRef>
              <c:f>DataF9!$BP$20:$BP$51</c:f>
              <c:numCache>
                <c:formatCode>General</c:formatCode>
                <c:ptCount val="32"/>
                <c:pt idx="0">
                  <c:v>50.0</c:v>
                </c:pt>
                <c:pt idx="1">
                  <c:v>50.0</c:v>
                </c:pt>
                <c:pt idx="2">
                  <c:v>50.0</c:v>
                </c:pt>
                <c:pt idx="3">
                  <c:v>47.0</c:v>
                </c:pt>
                <c:pt idx="4">
                  <c:v>43.0</c:v>
                </c:pt>
                <c:pt idx="5">
                  <c:v>43.0</c:v>
                </c:pt>
                <c:pt idx="6">
                  <c:v>40.0</c:v>
                </c:pt>
                <c:pt idx="7">
                  <c:v>40.0</c:v>
                </c:pt>
                <c:pt idx="8">
                  <c:v>40.0</c:v>
                </c:pt>
                <c:pt idx="9">
                  <c:v>40.0</c:v>
                </c:pt>
                <c:pt idx="10">
                  <c:v>38.0</c:v>
                </c:pt>
                <c:pt idx="11">
                  <c:v>36.0</c:v>
                </c:pt>
                <c:pt idx="12">
                  <c:v>36.0</c:v>
                </c:pt>
                <c:pt idx="13">
                  <c:v>32.0</c:v>
                </c:pt>
                <c:pt idx="14">
                  <c:v>28.0</c:v>
                </c:pt>
                <c:pt idx="15">
                  <c:v>24.0</c:v>
                </c:pt>
                <c:pt idx="16">
                  <c:v>20.0</c:v>
                </c:pt>
                <c:pt idx="17">
                  <c:v>16.0</c:v>
                </c:pt>
                <c:pt idx="18">
                  <c:v>12.5</c:v>
                </c:pt>
                <c:pt idx="19">
                  <c:v>12.5</c:v>
                </c:pt>
                <c:pt idx="20">
                  <c:v>12.5</c:v>
                </c:pt>
                <c:pt idx="21">
                  <c:v>12.5</c:v>
                </c:pt>
                <c:pt idx="22">
                  <c:v>12.5</c:v>
                </c:pt>
                <c:pt idx="23">
                  <c:v>12.5</c:v>
                </c:pt>
                <c:pt idx="24">
                  <c:v>12.5</c:v>
                </c:pt>
                <c:pt idx="25">
                  <c:v>12.5</c:v>
                </c:pt>
                <c:pt idx="26">
                  <c:v>12.5</c:v>
                </c:pt>
                <c:pt idx="27">
                  <c:v>12.5</c:v>
                </c:pt>
                <c:pt idx="28">
                  <c:v>12.5</c:v>
                </c:pt>
                <c:pt idx="29">
                  <c:v>12.5</c:v>
                </c:pt>
                <c:pt idx="30">
                  <c:v>12.5</c:v>
                </c:pt>
                <c:pt idx="31">
                  <c:v>12.5</c:v>
                </c:pt>
              </c:numCache>
            </c:numRef>
          </c:val>
          <c:smooth val="0"/>
          <c:extLst xmlns:c16r2="http://schemas.microsoft.com/office/drawing/2015/06/chart">
            <c:ext xmlns:c16="http://schemas.microsoft.com/office/drawing/2014/chart" uri="{C3380CC4-5D6E-409C-BE32-E72D297353CC}">
              <c16:uniqueId val="{00000001-2DD0-41DC-AD03-A61D7CE72DC5}"/>
            </c:ext>
          </c:extLst>
        </c:ser>
        <c:dLbls>
          <c:showLegendKey val="0"/>
          <c:showVal val="0"/>
          <c:showCatName val="0"/>
          <c:showSerName val="0"/>
          <c:showPercent val="0"/>
          <c:showBubbleSize val="0"/>
        </c:dLbls>
        <c:marker val="1"/>
        <c:smooth val="0"/>
        <c:axId val="-2096250584"/>
        <c:axId val="-2096253864"/>
      </c:lineChart>
      <c:catAx>
        <c:axId val="-2096259976"/>
        <c:scaling>
          <c:orientation val="minMax"/>
        </c:scaling>
        <c:delete val="0"/>
        <c:axPos val="b"/>
        <c:numFmt formatCode="General" sourceLinked="1"/>
        <c:majorTickMark val="out"/>
        <c:minorTickMark val="none"/>
        <c:tickLblPos val="nextTo"/>
        <c:crossAx val="-2096257000"/>
        <c:crosses val="autoZero"/>
        <c:auto val="1"/>
        <c:lblAlgn val="ctr"/>
        <c:lblOffset val="100"/>
        <c:noMultiLvlLbl val="0"/>
      </c:catAx>
      <c:valAx>
        <c:axId val="-2096257000"/>
        <c:scaling>
          <c:orientation val="minMax"/>
        </c:scaling>
        <c:delete val="0"/>
        <c:axPos val="l"/>
        <c:majorGridlines/>
        <c:numFmt formatCode="0%" sourceLinked="1"/>
        <c:majorTickMark val="out"/>
        <c:minorTickMark val="none"/>
        <c:tickLblPos val="nextTo"/>
        <c:crossAx val="-2096259976"/>
        <c:crosses val="autoZero"/>
        <c:crossBetween val="between"/>
      </c:valAx>
      <c:valAx>
        <c:axId val="-2096253864"/>
        <c:scaling>
          <c:orientation val="minMax"/>
        </c:scaling>
        <c:delete val="0"/>
        <c:axPos val="r"/>
        <c:numFmt formatCode="General" sourceLinked="1"/>
        <c:majorTickMark val="out"/>
        <c:minorTickMark val="none"/>
        <c:tickLblPos val="nextTo"/>
        <c:crossAx val="-2096250584"/>
        <c:crosses val="max"/>
        <c:crossBetween val="between"/>
      </c:valAx>
      <c:catAx>
        <c:axId val="-2096250584"/>
        <c:scaling>
          <c:orientation val="minMax"/>
        </c:scaling>
        <c:delete val="1"/>
        <c:axPos val="b"/>
        <c:majorTickMark val="out"/>
        <c:minorTickMark val="none"/>
        <c:tickLblPos val="nextTo"/>
        <c:crossAx val="-2096253864"/>
        <c:crosses val="autoZero"/>
        <c:auto val="1"/>
        <c:lblAlgn val="ctr"/>
        <c:lblOffset val="100"/>
        <c:noMultiLvlLbl val="0"/>
      </c:catAx>
    </c:plotArea>
    <c:legend>
      <c:legendPos val="r"/>
      <c:layout>
        <c:manualLayout>
          <c:xMode val="edge"/>
          <c:yMode val="edge"/>
          <c:x val="0.118527559055118"/>
          <c:y val="0.610343394575678"/>
          <c:w val="0.362027996500437"/>
          <c:h val="0.297831729367162"/>
        </c:manualLayout>
      </c:layout>
      <c:overlay val="0"/>
    </c:legend>
    <c:plotVisOnly val="1"/>
    <c:dispBlanksAs val="gap"/>
    <c:showDLblsOverMax val="0"/>
  </c:chart>
  <c:printSettings>
    <c:headerFooter/>
    <c:pageMargins b="1.0" l="0.75" r="0.75" t="1.0"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2"/>
          <c:y val="0.0601851851851852"/>
          <c:w val="0.838791776027996"/>
          <c:h val="0.87962962962963"/>
        </c:manualLayout>
      </c:layout>
      <c:lineChart>
        <c:grouping val="standard"/>
        <c:varyColors val="0"/>
        <c:ser>
          <c:idx val="0"/>
          <c:order val="0"/>
          <c:tx>
            <c:v>Net trade balance of US with Ireland) (% Irish GDP)</c:v>
          </c:tx>
          <c:marker>
            <c:symbol val="none"/>
          </c:marker>
          <c:cat>
            <c:numRef>
              <c:f>DataF9!$A$20:$A$51</c:f>
              <c:numCache>
                <c:formatCode>General</c:formatCode>
                <c:ptCount val="32"/>
                <c:pt idx="0">
                  <c:v>1985.0</c:v>
                </c:pt>
                <c:pt idx="1">
                  <c:v>1986.0</c:v>
                </c:pt>
                <c:pt idx="2">
                  <c:v>1987.0</c:v>
                </c:pt>
                <c:pt idx="3">
                  <c:v>1988.0</c:v>
                </c:pt>
                <c:pt idx="4">
                  <c:v>1989.0</c:v>
                </c:pt>
                <c:pt idx="5">
                  <c:v>1990.0</c:v>
                </c:pt>
                <c:pt idx="6">
                  <c:v>1991.0</c:v>
                </c:pt>
                <c:pt idx="7">
                  <c:v>1992.0</c:v>
                </c:pt>
                <c:pt idx="8">
                  <c:v>1993.0</c:v>
                </c:pt>
                <c:pt idx="9">
                  <c:v>1994.0</c:v>
                </c:pt>
                <c:pt idx="10">
                  <c:v>1995.0</c:v>
                </c:pt>
                <c:pt idx="11">
                  <c:v>1996.0</c:v>
                </c:pt>
                <c:pt idx="12">
                  <c:v>1997.0</c:v>
                </c:pt>
                <c:pt idx="13">
                  <c:v>1998.0</c:v>
                </c:pt>
                <c:pt idx="14">
                  <c:v>1999.0</c:v>
                </c:pt>
                <c:pt idx="15">
                  <c:v>2000.0</c:v>
                </c:pt>
                <c:pt idx="16">
                  <c:v>2001.0</c:v>
                </c:pt>
                <c:pt idx="17">
                  <c:v>2002.0</c:v>
                </c:pt>
                <c:pt idx="18">
                  <c:v>2003.0</c:v>
                </c:pt>
                <c:pt idx="19">
                  <c:v>2004.0</c:v>
                </c:pt>
                <c:pt idx="20">
                  <c:v>2005.0</c:v>
                </c:pt>
                <c:pt idx="21">
                  <c:v>2006.0</c:v>
                </c:pt>
                <c:pt idx="22">
                  <c:v>2007.0</c:v>
                </c:pt>
                <c:pt idx="23">
                  <c:v>2008.0</c:v>
                </c:pt>
                <c:pt idx="24">
                  <c:v>2009.0</c:v>
                </c:pt>
                <c:pt idx="25">
                  <c:v>2010.0</c:v>
                </c:pt>
                <c:pt idx="26">
                  <c:v>2011.0</c:v>
                </c:pt>
                <c:pt idx="27">
                  <c:v>2012.0</c:v>
                </c:pt>
                <c:pt idx="28">
                  <c:v>2013.0</c:v>
                </c:pt>
                <c:pt idx="29">
                  <c:v>2014.0</c:v>
                </c:pt>
                <c:pt idx="30">
                  <c:v>2015.0</c:v>
                </c:pt>
                <c:pt idx="31">
                  <c:v>2016.0</c:v>
                </c:pt>
              </c:numCache>
            </c:numRef>
          </c:cat>
          <c:val>
            <c:numRef>
              <c:f>DataF9!$DT$20:$DT$51</c:f>
              <c:numCache>
                <c:formatCode>0%</c:formatCode>
                <c:ptCount val="32"/>
                <c:pt idx="0">
                  <c:v>0.0199524679564167</c:v>
                </c:pt>
                <c:pt idx="1">
                  <c:v>0.0144493251350539</c:v>
                </c:pt>
                <c:pt idx="2">
                  <c:v>0.0199571011994672</c:v>
                </c:pt>
                <c:pt idx="3">
                  <c:v>0.0210962856401251</c:v>
                </c:pt>
                <c:pt idx="4">
                  <c:v>0.0234368418291024</c:v>
                </c:pt>
                <c:pt idx="5">
                  <c:v>0.0157359149217176</c:v>
                </c:pt>
                <c:pt idx="6">
                  <c:v>0.0145256606187835</c:v>
                </c:pt>
                <c:pt idx="7">
                  <c:v>0.0105867449075226</c:v>
                </c:pt>
                <c:pt idx="8">
                  <c:v>0.00392596329885784</c:v>
                </c:pt>
                <c:pt idx="9">
                  <c:v>0.00906435007604329</c:v>
                </c:pt>
                <c:pt idx="10">
                  <c:v>0.000433461570851739</c:v>
                </c:pt>
                <c:pt idx="11">
                  <c:v>-0.014961321670372</c:v>
                </c:pt>
                <c:pt idx="12">
                  <c:v>-0.014785263284095</c:v>
                </c:pt>
                <c:pt idx="13">
                  <c:v>-0.0305619258497217</c:v>
                </c:pt>
                <c:pt idx="14">
                  <c:v>-0.0466813088527879</c:v>
                </c:pt>
                <c:pt idx="15">
                  <c:v>-0.0876278183086828</c:v>
                </c:pt>
                <c:pt idx="16">
                  <c:v>-0.104064859678041</c:v>
                </c:pt>
                <c:pt idx="17">
                  <c:v>-0.122648588714562</c:v>
                </c:pt>
                <c:pt idx="18">
                  <c:v>-0.109879186377909</c:v>
                </c:pt>
                <c:pt idx="19">
                  <c:v>-0.102621622862697</c:v>
                </c:pt>
                <c:pt idx="20">
                  <c:v>-0.0958348580889232</c:v>
                </c:pt>
                <c:pt idx="21">
                  <c:v>-0.090044607661099</c:v>
                </c:pt>
                <c:pt idx="22">
                  <c:v>-0.0839469337674524</c:v>
                </c:pt>
                <c:pt idx="23">
                  <c:v>-0.0863338051664857</c:v>
                </c:pt>
                <c:pt idx="24">
                  <c:v>-0.0875311216458382</c:v>
                </c:pt>
                <c:pt idx="25">
                  <c:v>-0.120049755216056</c:v>
                </c:pt>
                <c:pt idx="26">
                  <c:v>-0.131812757393914</c:v>
                </c:pt>
                <c:pt idx="27">
                  <c:v>-0.115045966101563</c:v>
                </c:pt>
                <c:pt idx="28">
                  <c:v>-0.10391666226542</c:v>
                </c:pt>
                <c:pt idx="29">
                  <c:v>-0.102161336758189</c:v>
                </c:pt>
                <c:pt idx="30">
                  <c:v>-0.107168492252061</c:v>
                </c:pt>
                <c:pt idx="31">
                  <c:v>-0.119799295609451</c:v>
                </c:pt>
              </c:numCache>
            </c:numRef>
          </c:val>
          <c:smooth val="0"/>
          <c:extLst xmlns:c16r2="http://schemas.microsoft.com/office/drawing/2015/06/chart">
            <c:ext xmlns:c16="http://schemas.microsoft.com/office/drawing/2014/chart" uri="{C3380CC4-5D6E-409C-BE32-E72D297353CC}">
              <c16:uniqueId val="{00000000-B62F-4B74-96B5-5F5640F87E66}"/>
            </c:ext>
          </c:extLst>
        </c:ser>
        <c:ser>
          <c:idx val="1"/>
          <c:order val="1"/>
          <c:tx>
            <c:v>Gap Irish minus US corporate tax rate</c:v>
          </c:tx>
          <c:marker>
            <c:symbol val="none"/>
          </c:marker>
          <c:cat>
            <c:numRef>
              <c:f>DataF9!$A$20:$A$51</c:f>
              <c:numCache>
                <c:formatCode>General</c:formatCode>
                <c:ptCount val="32"/>
                <c:pt idx="0">
                  <c:v>1985.0</c:v>
                </c:pt>
                <c:pt idx="1">
                  <c:v>1986.0</c:v>
                </c:pt>
                <c:pt idx="2">
                  <c:v>1987.0</c:v>
                </c:pt>
                <c:pt idx="3">
                  <c:v>1988.0</c:v>
                </c:pt>
                <c:pt idx="4">
                  <c:v>1989.0</c:v>
                </c:pt>
                <c:pt idx="5">
                  <c:v>1990.0</c:v>
                </c:pt>
                <c:pt idx="6">
                  <c:v>1991.0</c:v>
                </c:pt>
                <c:pt idx="7">
                  <c:v>1992.0</c:v>
                </c:pt>
                <c:pt idx="8">
                  <c:v>1993.0</c:v>
                </c:pt>
                <c:pt idx="9">
                  <c:v>1994.0</c:v>
                </c:pt>
                <c:pt idx="10">
                  <c:v>1995.0</c:v>
                </c:pt>
                <c:pt idx="11">
                  <c:v>1996.0</c:v>
                </c:pt>
                <c:pt idx="12">
                  <c:v>1997.0</c:v>
                </c:pt>
                <c:pt idx="13">
                  <c:v>1998.0</c:v>
                </c:pt>
                <c:pt idx="14">
                  <c:v>1999.0</c:v>
                </c:pt>
                <c:pt idx="15">
                  <c:v>2000.0</c:v>
                </c:pt>
                <c:pt idx="16">
                  <c:v>2001.0</c:v>
                </c:pt>
                <c:pt idx="17">
                  <c:v>2002.0</c:v>
                </c:pt>
                <c:pt idx="18">
                  <c:v>2003.0</c:v>
                </c:pt>
                <c:pt idx="19">
                  <c:v>2004.0</c:v>
                </c:pt>
                <c:pt idx="20">
                  <c:v>2005.0</c:v>
                </c:pt>
                <c:pt idx="21">
                  <c:v>2006.0</c:v>
                </c:pt>
                <c:pt idx="22">
                  <c:v>2007.0</c:v>
                </c:pt>
                <c:pt idx="23">
                  <c:v>2008.0</c:v>
                </c:pt>
                <c:pt idx="24">
                  <c:v>2009.0</c:v>
                </c:pt>
                <c:pt idx="25">
                  <c:v>2010.0</c:v>
                </c:pt>
                <c:pt idx="26">
                  <c:v>2011.0</c:v>
                </c:pt>
                <c:pt idx="27">
                  <c:v>2012.0</c:v>
                </c:pt>
                <c:pt idx="28">
                  <c:v>2013.0</c:v>
                </c:pt>
                <c:pt idx="29">
                  <c:v>2014.0</c:v>
                </c:pt>
                <c:pt idx="30">
                  <c:v>2015.0</c:v>
                </c:pt>
                <c:pt idx="31">
                  <c:v>2016.0</c:v>
                </c:pt>
              </c:numCache>
            </c:numRef>
          </c:cat>
          <c:val>
            <c:numRef>
              <c:f>DataF9!$DW$20:$DW$51</c:f>
              <c:numCache>
                <c:formatCode>0.0%</c:formatCode>
                <c:ptCount val="32"/>
                <c:pt idx="0">
                  <c:v>0.04</c:v>
                </c:pt>
                <c:pt idx="1">
                  <c:v>0.04</c:v>
                </c:pt>
                <c:pt idx="2">
                  <c:v>0.1</c:v>
                </c:pt>
                <c:pt idx="3">
                  <c:v>0.13</c:v>
                </c:pt>
                <c:pt idx="4">
                  <c:v>0.09</c:v>
                </c:pt>
                <c:pt idx="5">
                  <c:v>0.09</c:v>
                </c:pt>
                <c:pt idx="6">
                  <c:v>0.06</c:v>
                </c:pt>
                <c:pt idx="7">
                  <c:v>0.06</c:v>
                </c:pt>
                <c:pt idx="8">
                  <c:v>0.05</c:v>
                </c:pt>
                <c:pt idx="9">
                  <c:v>0.05</c:v>
                </c:pt>
                <c:pt idx="10">
                  <c:v>0.03</c:v>
                </c:pt>
                <c:pt idx="11">
                  <c:v>0.01</c:v>
                </c:pt>
                <c:pt idx="12">
                  <c:v>0.01</c:v>
                </c:pt>
                <c:pt idx="13">
                  <c:v>-0.03</c:v>
                </c:pt>
                <c:pt idx="14">
                  <c:v>-0.0699999999999999</c:v>
                </c:pt>
                <c:pt idx="15">
                  <c:v>-0.11</c:v>
                </c:pt>
                <c:pt idx="16">
                  <c:v>-0.15</c:v>
                </c:pt>
                <c:pt idx="17">
                  <c:v>-0.19</c:v>
                </c:pt>
                <c:pt idx="18">
                  <c:v>-0.225</c:v>
                </c:pt>
                <c:pt idx="19">
                  <c:v>-0.225</c:v>
                </c:pt>
                <c:pt idx="20">
                  <c:v>-0.225</c:v>
                </c:pt>
                <c:pt idx="21">
                  <c:v>-0.225</c:v>
                </c:pt>
                <c:pt idx="22">
                  <c:v>-0.225</c:v>
                </c:pt>
                <c:pt idx="23">
                  <c:v>-0.225</c:v>
                </c:pt>
                <c:pt idx="24">
                  <c:v>-0.225</c:v>
                </c:pt>
                <c:pt idx="25">
                  <c:v>-0.225</c:v>
                </c:pt>
                <c:pt idx="26">
                  <c:v>-0.225</c:v>
                </c:pt>
                <c:pt idx="27">
                  <c:v>-0.225</c:v>
                </c:pt>
                <c:pt idx="28">
                  <c:v>-0.225</c:v>
                </c:pt>
                <c:pt idx="29">
                  <c:v>-0.225</c:v>
                </c:pt>
                <c:pt idx="30">
                  <c:v>-0.225</c:v>
                </c:pt>
                <c:pt idx="31">
                  <c:v>-0.225</c:v>
                </c:pt>
              </c:numCache>
            </c:numRef>
          </c:val>
          <c:smooth val="0"/>
          <c:extLst xmlns:c16r2="http://schemas.microsoft.com/office/drawing/2015/06/chart">
            <c:ext xmlns:c16="http://schemas.microsoft.com/office/drawing/2014/chart" uri="{C3380CC4-5D6E-409C-BE32-E72D297353CC}">
              <c16:uniqueId val="{00000001-B62F-4B74-96B5-5F5640F87E66}"/>
            </c:ext>
          </c:extLst>
        </c:ser>
        <c:dLbls>
          <c:showLegendKey val="0"/>
          <c:showVal val="0"/>
          <c:showCatName val="0"/>
          <c:showSerName val="0"/>
          <c:showPercent val="0"/>
          <c:showBubbleSize val="0"/>
        </c:dLbls>
        <c:marker val="1"/>
        <c:smooth val="0"/>
        <c:axId val="-2096221400"/>
        <c:axId val="-2096218392"/>
      </c:lineChart>
      <c:catAx>
        <c:axId val="-2096221400"/>
        <c:scaling>
          <c:orientation val="minMax"/>
        </c:scaling>
        <c:delete val="0"/>
        <c:axPos val="b"/>
        <c:numFmt formatCode="General" sourceLinked="1"/>
        <c:majorTickMark val="out"/>
        <c:minorTickMark val="none"/>
        <c:tickLblPos val="low"/>
        <c:txPr>
          <a:bodyPr rot="-5400000" vert="horz"/>
          <a:lstStyle/>
          <a:p>
            <a:pPr>
              <a:defRPr/>
            </a:pPr>
            <a:endParaRPr lang="en-US"/>
          </a:p>
        </c:txPr>
        <c:crossAx val="-2096218392"/>
        <c:crosses val="autoZero"/>
        <c:auto val="1"/>
        <c:lblAlgn val="ctr"/>
        <c:lblOffset val="100"/>
        <c:noMultiLvlLbl val="0"/>
      </c:catAx>
      <c:valAx>
        <c:axId val="-2096218392"/>
        <c:scaling>
          <c:orientation val="minMax"/>
          <c:max val="0.15"/>
          <c:min val="-0.25"/>
        </c:scaling>
        <c:delete val="0"/>
        <c:axPos val="l"/>
        <c:majorGridlines/>
        <c:numFmt formatCode="0%" sourceLinked="1"/>
        <c:majorTickMark val="out"/>
        <c:minorTickMark val="none"/>
        <c:tickLblPos val="nextTo"/>
        <c:crossAx val="-2096221400"/>
        <c:crosses val="autoZero"/>
        <c:crossBetween val="between"/>
        <c:majorUnit val="0.05"/>
      </c:valAx>
    </c:plotArea>
    <c:legend>
      <c:legendPos val="r"/>
      <c:layout>
        <c:manualLayout>
          <c:xMode val="edge"/>
          <c:yMode val="edge"/>
          <c:x val="0.118527559055118"/>
          <c:y val="0.610343394575678"/>
          <c:w val="0.362027996500437"/>
          <c:h val="0.297831729367162"/>
        </c:manualLayout>
      </c:layout>
      <c:overlay val="0"/>
    </c:legend>
    <c:plotVisOnly val="1"/>
    <c:dispBlanksAs val="gap"/>
    <c:showDLblsOverMax val="0"/>
  </c:chart>
  <c:printSettings>
    <c:headerFooter/>
    <c:pageMargins b="1.0" l="0.75" r="0.75" t="1.0"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2"/>
          <c:y val="0.0601851851851852"/>
          <c:w val="0.838791776027996"/>
          <c:h val="0.87962962962963"/>
        </c:manualLayout>
      </c:layout>
      <c:lineChart>
        <c:grouping val="standard"/>
        <c:varyColors val="0"/>
        <c:ser>
          <c:idx val="0"/>
          <c:order val="0"/>
          <c:tx>
            <c:v>Net trade balance of US with Ireland (% Irish GDP) (lhs)</c:v>
          </c:tx>
          <c:marker>
            <c:symbol val="none"/>
          </c:marker>
          <c:cat>
            <c:numRef>
              <c:f>DataF9!$A$20:$A$51</c:f>
              <c:numCache>
                <c:formatCode>General</c:formatCode>
                <c:ptCount val="32"/>
                <c:pt idx="0">
                  <c:v>1985.0</c:v>
                </c:pt>
                <c:pt idx="1">
                  <c:v>1986.0</c:v>
                </c:pt>
                <c:pt idx="2">
                  <c:v>1987.0</c:v>
                </c:pt>
                <c:pt idx="3">
                  <c:v>1988.0</c:v>
                </c:pt>
                <c:pt idx="4">
                  <c:v>1989.0</c:v>
                </c:pt>
                <c:pt idx="5">
                  <c:v>1990.0</c:v>
                </c:pt>
                <c:pt idx="6">
                  <c:v>1991.0</c:v>
                </c:pt>
                <c:pt idx="7">
                  <c:v>1992.0</c:v>
                </c:pt>
                <c:pt idx="8">
                  <c:v>1993.0</c:v>
                </c:pt>
                <c:pt idx="9">
                  <c:v>1994.0</c:v>
                </c:pt>
                <c:pt idx="10">
                  <c:v>1995.0</c:v>
                </c:pt>
                <c:pt idx="11">
                  <c:v>1996.0</c:v>
                </c:pt>
                <c:pt idx="12">
                  <c:v>1997.0</c:v>
                </c:pt>
                <c:pt idx="13">
                  <c:v>1998.0</c:v>
                </c:pt>
                <c:pt idx="14">
                  <c:v>1999.0</c:v>
                </c:pt>
                <c:pt idx="15">
                  <c:v>2000.0</c:v>
                </c:pt>
                <c:pt idx="16">
                  <c:v>2001.0</c:v>
                </c:pt>
                <c:pt idx="17">
                  <c:v>2002.0</c:v>
                </c:pt>
                <c:pt idx="18">
                  <c:v>2003.0</c:v>
                </c:pt>
                <c:pt idx="19">
                  <c:v>2004.0</c:v>
                </c:pt>
                <c:pt idx="20">
                  <c:v>2005.0</c:v>
                </c:pt>
                <c:pt idx="21">
                  <c:v>2006.0</c:v>
                </c:pt>
                <c:pt idx="22">
                  <c:v>2007.0</c:v>
                </c:pt>
                <c:pt idx="23">
                  <c:v>2008.0</c:v>
                </c:pt>
                <c:pt idx="24">
                  <c:v>2009.0</c:v>
                </c:pt>
                <c:pt idx="25">
                  <c:v>2010.0</c:v>
                </c:pt>
                <c:pt idx="26">
                  <c:v>2011.0</c:v>
                </c:pt>
                <c:pt idx="27">
                  <c:v>2012.0</c:v>
                </c:pt>
                <c:pt idx="28">
                  <c:v>2013.0</c:v>
                </c:pt>
                <c:pt idx="29">
                  <c:v>2014.0</c:v>
                </c:pt>
                <c:pt idx="30">
                  <c:v>2015.0</c:v>
                </c:pt>
                <c:pt idx="31">
                  <c:v>2016.0</c:v>
                </c:pt>
              </c:numCache>
            </c:numRef>
          </c:cat>
          <c:val>
            <c:numRef>
              <c:f>DataF9!$DT$20:$DT$51</c:f>
              <c:numCache>
                <c:formatCode>0%</c:formatCode>
                <c:ptCount val="32"/>
                <c:pt idx="0">
                  <c:v>0.0199524679564167</c:v>
                </c:pt>
                <c:pt idx="1">
                  <c:v>0.0144493251350539</c:v>
                </c:pt>
                <c:pt idx="2">
                  <c:v>0.0199571011994672</c:v>
                </c:pt>
                <c:pt idx="3">
                  <c:v>0.0210962856401251</c:v>
                </c:pt>
                <c:pt idx="4">
                  <c:v>0.0234368418291024</c:v>
                </c:pt>
                <c:pt idx="5">
                  <c:v>0.0157359149217176</c:v>
                </c:pt>
                <c:pt idx="6">
                  <c:v>0.0145256606187835</c:v>
                </c:pt>
                <c:pt idx="7">
                  <c:v>0.0105867449075226</c:v>
                </c:pt>
                <c:pt idx="8">
                  <c:v>0.00392596329885784</c:v>
                </c:pt>
                <c:pt idx="9">
                  <c:v>0.00906435007604329</c:v>
                </c:pt>
                <c:pt idx="10">
                  <c:v>0.000433461570851739</c:v>
                </c:pt>
                <c:pt idx="11">
                  <c:v>-0.014961321670372</c:v>
                </c:pt>
                <c:pt idx="12">
                  <c:v>-0.014785263284095</c:v>
                </c:pt>
                <c:pt idx="13">
                  <c:v>-0.0305619258497217</c:v>
                </c:pt>
                <c:pt idx="14">
                  <c:v>-0.0466813088527879</c:v>
                </c:pt>
                <c:pt idx="15">
                  <c:v>-0.0876278183086828</c:v>
                </c:pt>
                <c:pt idx="16">
                  <c:v>-0.104064859678041</c:v>
                </c:pt>
                <c:pt idx="17">
                  <c:v>-0.122648588714562</c:v>
                </c:pt>
                <c:pt idx="18">
                  <c:v>-0.109879186377909</c:v>
                </c:pt>
                <c:pt idx="19">
                  <c:v>-0.102621622862697</c:v>
                </c:pt>
                <c:pt idx="20">
                  <c:v>-0.0958348580889232</c:v>
                </c:pt>
                <c:pt idx="21">
                  <c:v>-0.090044607661099</c:v>
                </c:pt>
                <c:pt idx="22">
                  <c:v>-0.0839469337674524</c:v>
                </c:pt>
                <c:pt idx="23">
                  <c:v>-0.0863338051664857</c:v>
                </c:pt>
                <c:pt idx="24">
                  <c:v>-0.0875311216458382</c:v>
                </c:pt>
                <c:pt idx="25">
                  <c:v>-0.120049755216056</c:v>
                </c:pt>
                <c:pt idx="26">
                  <c:v>-0.131812757393914</c:v>
                </c:pt>
                <c:pt idx="27">
                  <c:v>-0.115045966101563</c:v>
                </c:pt>
                <c:pt idx="28">
                  <c:v>-0.10391666226542</c:v>
                </c:pt>
                <c:pt idx="29">
                  <c:v>-0.102161336758189</c:v>
                </c:pt>
                <c:pt idx="30">
                  <c:v>-0.107168492252061</c:v>
                </c:pt>
                <c:pt idx="31">
                  <c:v>-0.119799295609451</c:v>
                </c:pt>
              </c:numCache>
            </c:numRef>
          </c:val>
          <c:smooth val="0"/>
          <c:extLst xmlns:c16r2="http://schemas.microsoft.com/office/drawing/2015/06/chart">
            <c:ext xmlns:c16="http://schemas.microsoft.com/office/drawing/2014/chart" uri="{C3380CC4-5D6E-409C-BE32-E72D297353CC}">
              <c16:uniqueId val="{00000000-70F8-4317-A38E-03E0EB56C660}"/>
            </c:ext>
          </c:extLst>
        </c:ser>
        <c:dLbls>
          <c:showLegendKey val="0"/>
          <c:showVal val="0"/>
          <c:showCatName val="0"/>
          <c:showSerName val="0"/>
          <c:showPercent val="0"/>
          <c:showBubbleSize val="0"/>
        </c:dLbls>
        <c:marker val="1"/>
        <c:smooth val="0"/>
        <c:axId val="-2096186920"/>
        <c:axId val="-2096183896"/>
      </c:lineChart>
      <c:lineChart>
        <c:grouping val="standard"/>
        <c:varyColors val="0"/>
        <c:ser>
          <c:idx val="1"/>
          <c:order val="1"/>
          <c:tx>
            <c:v>Gap Irish minus US corporate tax rate (rhs)</c:v>
          </c:tx>
          <c:marker>
            <c:symbol val="none"/>
          </c:marker>
          <c:val>
            <c:numRef>
              <c:f>DataF9!$DW$20:$DW$51</c:f>
              <c:numCache>
                <c:formatCode>0.0%</c:formatCode>
                <c:ptCount val="32"/>
                <c:pt idx="0">
                  <c:v>0.04</c:v>
                </c:pt>
                <c:pt idx="1">
                  <c:v>0.04</c:v>
                </c:pt>
                <c:pt idx="2">
                  <c:v>0.1</c:v>
                </c:pt>
                <c:pt idx="3">
                  <c:v>0.13</c:v>
                </c:pt>
                <c:pt idx="4">
                  <c:v>0.09</c:v>
                </c:pt>
                <c:pt idx="5">
                  <c:v>0.09</c:v>
                </c:pt>
                <c:pt idx="6">
                  <c:v>0.06</c:v>
                </c:pt>
                <c:pt idx="7">
                  <c:v>0.06</c:v>
                </c:pt>
                <c:pt idx="8">
                  <c:v>0.05</c:v>
                </c:pt>
                <c:pt idx="9">
                  <c:v>0.05</c:v>
                </c:pt>
                <c:pt idx="10">
                  <c:v>0.03</c:v>
                </c:pt>
                <c:pt idx="11">
                  <c:v>0.01</c:v>
                </c:pt>
                <c:pt idx="12">
                  <c:v>0.01</c:v>
                </c:pt>
                <c:pt idx="13">
                  <c:v>-0.03</c:v>
                </c:pt>
                <c:pt idx="14">
                  <c:v>-0.0699999999999999</c:v>
                </c:pt>
                <c:pt idx="15">
                  <c:v>-0.11</c:v>
                </c:pt>
                <c:pt idx="16">
                  <c:v>-0.15</c:v>
                </c:pt>
                <c:pt idx="17">
                  <c:v>-0.19</c:v>
                </c:pt>
                <c:pt idx="18">
                  <c:v>-0.225</c:v>
                </c:pt>
                <c:pt idx="19">
                  <c:v>-0.225</c:v>
                </c:pt>
                <c:pt idx="20">
                  <c:v>-0.225</c:v>
                </c:pt>
                <c:pt idx="21">
                  <c:v>-0.225</c:v>
                </c:pt>
                <c:pt idx="22">
                  <c:v>-0.225</c:v>
                </c:pt>
                <c:pt idx="23">
                  <c:v>-0.225</c:v>
                </c:pt>
                <c:pt idx="24">
                  <c:v>-0.225</c:v>
                </c:pt>
                <c:pt idx="25">
                  <c:v>-0.225</c:v>
                </c:pt>
                <c:pt idx="26">
                  <c:v>-0.225</c:v>
                </c:pt>
                <c:pt idx="27">
                  <c:v>-0.225</c:v>
                </c:pt>
                <c:pt idx="28">
                  <c:v>-0.225</c:v>
                </c:pt>
                <c:pt idx="29">
                  <c:v>-0.225</c:v>
                </c:pt>
                <c:pt idx="30">
                  <c:v>-0.225</c:v>
                </c:pt>
                <c:pt idx="31">
                  <c:v>-0.225</c:v>
                </c:pt>
              </c:numCache>
            </c:numRef>
          </c:val>
          <c:smooth val="0"/>
          <c:extLst xmlns:c16r2="http://schemas.microsoft.com/office/drawing/2015/06/chart">
            <c:ext xmlns:c16="http://schemas.microsoft.com/office/drawing/2014/chart" uri="{C3380CC4-5D6E-409C-BE32-E72D297353CC}">
              <c16:uniqueId val="{00000001-70F8-4317-A38E-03E0EB56C660}"/>
            </c:ext>
          </c:extLst>
        </c:ser>
        <c:dLbls>
          <c:showLegendKey val="0"/>
          <c:showVal val="0"/>
          <c:showCatName val="0"/>
          <c:showSerName val="0"/>
          <c:showPercent val="0"/>
          <c:showBubbleSize val="0"/>
        </c:dLbls>
        <c:marker val="1"/>
        <c:smooth val="0"/>
        <c:axId val="-2096177544"/>
        <c:axId val="-2096180824"/>
      </c:lineChart>
      <c:catAx>
        <c:axId val="-2096186920"/>
        <c:scaling>
          <c:orientation val="minMax"/>
        </c:scaling>
        <c:delete val="0"/>
        <c:axPos val="b"/>
        <c:numFmt formatCode="General" sourceLinked="1"/>
        <c:majorTickMark val="out"/>
        <c:minorTickMark val="none"/>
        <c:tickLblPos val="low"/>
        <c:txPr>
          <a:bodyPr rot="-5400000" vert="horz"/>
          <a:lstStyle/>
          <a:p>
            <a:pPr>
              <a:defRPr/>
            </a:pPr>
            <a:endParaRPr lang="en-US"/>
          </a:p>
        </c:txPr>
        <c:crossAx val="-2096183896"/>
        <c:crosses val="autoZero"/>
        <c:auto val="1"/>
        <c:lblAlgn val="ctr"/>
        <c:lblOffset val="100"/>
        <c:noMultiLvlLbl val="0"/>
      </c:catAx>
      <c:valAx>
        <c:axId val="-2096183896"/>
        <c:scaling>
          <c:orientation val="minMax"/>
          <c:max val="0.05"/>
          <c:min val="-0.15"/>
        </c:scaling>
        <c:delete val="0"/>
        <c:axPos val="l"/>
        <c:majorGridlines/>
        <c:numFmt formatCode="0%" sourceLinked="1"/>
        <c:majorTickMark val="out"/>
        <c:minorTickMark val="none"/>
        <c:tickLblPos val="nextTo"/>
        <c:crossAx val="-2096186920"/>
        <c:crosses val="autoZero"/>
        <c:crossBetween val="between"/>
        <c:majorUnit val="0.05"/>
      </c:valAx>
      <c:valAx>
        <c:axId val="-2096180824"/>
        <c:scaling>
          <c:orientation val="minMax"/>
        </c:scaling>
        <c:delete val="0"/>
        <c:axPos val="r"/>
        <c:numFmt formatCode="0.0%" sourceLinked="1"/>
        <c:majorTickMark val="out"/>
        <c:minorTickMark val="none"/>
        <c:tickLblPos val="nextTo"/>
        <c:crossAx val="-2096177544"/>
        <c:crosses val="max"/>
        <c:crossBetween val="between"/>
      </c:valAx>
      <c:catAx>
        <c:axId val="-2096177544"/>
        <c:scaling>
          <c:orientation val="minMax"/>
        </c:scaling>
        <c:delete val="1"/>
        <c:axPos val="b"/>
        <c:majorTickMark val="out"/>
        <c:minorTickMark val="none"/>
        <c:tickLblPos val="nextTo"/>
        <c:crossAx val="-2096180824"/>
        <c:crosses val="autoZero"/>
        <c:auto val="1"/>
        <c:lblAlgn val="ctr"/>
        <c:lblOffset val="100"/>
        <c:noMultiLvlLbl val="0"/>
      </c:catAx>
    </c:plotArea>
    <c:legend>
      <c:legendPos val="r"/>
      <c:layout>
        <c:manualLayout>
          <c:xMode val="edge"/>
          <c:yMode val="edge"/>
          <c:x val="0.0837017667567673"/>
          <c:y val="0.540898950131234"/>
          <c:w val="0.444596787786848"/>
          <c:h val="0.340085394255295"/>
        </c:manualLayout>
      </c:layout>
      <c:overlay val="0"/>
    </c:legend>
    <c:plotVisOnly val="1"/>
    <c:dispBlanksAs val="gap"/>
    <c:showDLblsOverMax val="0"/>
  </c:chart>
  <c:printSettings>
    <c:headerFooter/>
    <c:pageMargins b="1.0" l="0.75" r="0.75" t="1.0"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2"/>
          <c:y val="0.0601851851851852"/>
          <c:w val="0.838791776027996"/>
          <c:h val="0.87962962962963"/>
        </c:manualLayout>
      </c:layout>
      <c:lineChart>
        <c:grouping val="standard"/>
        <c:varyColors val="0"/>
        <c:ser>
          <c:idx val="0"/>
          <c:order val="0"/>
          <c:tx>
            <c:v>Net intra-group trade balance of US with Ireland (% Irish GDP) (lhs) (BEA survey)</c:v>
          </c:tx>
          <c:marker>
            <c:symbol val="none"/>
          </c:marker>
          <c:cat>
            <c:numRef>
              <c:f>DataF9!$A$18:$A$51</c:f>
              <c:numCache>
                <c:formatCode>General</c:formatCode>
                <c:ptCount val="34"/>
                <c:pt idx="0">
                  <c:v>1983.0</c:v>
                </c:pt>
                <c:pt idx="1">
                  <c:v>1984.0</c:v>
                </c:pt>
                <c:pt idx="2">
                  <c:v>1985.0</c:v>
                </c:pt>
                <c:pt idx="3">
                  <c:v>1986.0</c:v>
                </c:pt>
                <c:pt idx="4">
                  <c:v>1987.0</c:v>
                </c:pt>
                <c:pt idx="5">
                  <c:v>1988.0</c:v>
                </c:pt>
                <c:pt idx="6">
                  <c:v>1989.0</c:v>
                </c:pt>
                <c:pt idx="7">
                  <c:v>1990.0</c:v>
                </c:pt>
                <c:pt idx="8">
                  <c:v>1991.0</c:v>
                </c:pt>
                <c:pt idx="9">
                  <c:v>1992.0</c:v>
                </c:pt>
                <c:pt idx="10">
                  <c:v>1993.0</c:v>
                </c:pt>
                <c:pt idx="11">
                  <c:v>1994.0</c:v>
                </c:pt>
                <c:pt idx="12">
                  <c:v>1995.0</c:v>
                </c:pt>
                <c:pt idx="13">
                  <c:v>1996.0</c:v>
                </c:pt>
                <c:pt idx="14">
                  <c:v>1997.0</c:v>
                </c:pt>
                <c:pt idx="15">
                  <c:v>1998.0</c:v>
                </c:pt>
                <c:pt idx="16">
                  <c:v>1999.0</c:v>
                </c:pt>
                <c:pt idx="17">
                  <c:v>2000.0</c:v>
                </c:pt>
                <c:pt idx="18">
                  <c:v>2001.0</c:v>
                </c:pt>
                <c:pt idx="19">
                  <c:v>2002.0</c:v>
                </c:pt>
                <c:pt idx="20">
                  <c:v>2003.0</c:v>
                </c:pt>
                <c:pt idx="21">
                  <c:v>2004.0</c:v>
                </c:pt>
                <c:pt idx="22">
                  <c:v>2005.0</c:v>
                </c:pt>
                <c:pt idx="23">
                  <c:v>2006.0</c:v>
                </c:pt>
                <c:pt idx="24">
                  <c:v>2007.0</c:v>
                </c:pt>
                <c:pt idx="25">
                  <c:v>2008.0</c:v>
                </c:pt>
                <c:pt idx="26">
                  <c:v>2009.0</c:v>
                </c:pt>
                <c:pt idx="27">
                  <c:v>2010.0</c:v>
                </c:pt>
                <c:pt idx="28">
                  <c:v>2011.0</c:v>
                </c:pt>
                <c:pt idx="29">
                  <c:v>2012.0</c:v>
                </c:pt>
                <c:pt idx="30">
                  <c:v>2013.0</c:v>
                </c:pt>
                <c:pt idx="31">
                  <c:v>2014.0</c:v>
                </c:pt>
                <c:pt idx="32">
                  <c:v>2015.0</c:v>
                </c:pt>
                <c:pt idx="33">
                  <c:v>2016.0</c:v>
                </c:pt>
              </c:numCache>
            </c:numRef>
          </c:cat>
          <c:val>
            <c:numRef>
              <c:f>DataF9!$DK$18:$DK$51</c:f>
              <c:numCache>
                <c:formatCode>0%</c:formatCode>
                <c:ptCount val="34"/>
                <c:pt idx="0">
                  <c:v>0.0105405102845867</c:v>
                </c:pt>
                <c:pt idx="1">
                  <c:v>0.0187829834556225</c:v>
                </c:pt>
                <c:pt idx="2">
                  <c:v>0.0133327469107843</c:v>
                </c:pt>
                <c:pt idx="3">
                  <c:v>0.0113005861464683</c:v>
                </c:pt>
                <c:pt idx="4">
                  <c:v>0.0149792982764843</c:v>
                </c:pt>
                <c:pt idx="5">
                  <c:v>0.00259698716672367</c:v>
                </c:pt>
                <c:pt idx="6">
                  <c:v>0.0150471984274486</c:v>
                </c:pt>
                <c:pt idx="7">
                  <c:v>0.00956555122744622</c:v>
                </c:pt>
                <c:pt idx="8">
                  <c:v>-0.00277358495175899</c:v>
                </c:pt>
                <c:pt idx="9">
                  <c:v>-0.00580893774945785</c:v>
                </c:pt>
                <c:pt idx="10">
                  <c:v>-0.00574531214467001</c:v>
                </c:pt>
                <c:pt idx="11">
                  <c:v>0.00112161194544606</c:v>
                </c:pt>
                <c:pt idx="12">
                  <c:v>-0.0182487321328585</c:v>
                </c:pt>
                <c:pt idx="13">
                  <c:v>-0.0186126750648152</c:v>
                </c:pt>
                <c:pt idx="14">
                  <c:v>-0.0188604175171551</c:v>
                </c:pt>
                <c:pt idx="15">
                  <c:v>-0.0442892687241247</c:v>
                </c:pt>
                <c:pt idx="16">
                  <c:v>-0.0290448429005332</c:v>
                </c:pt>
                <c:pt idx="17">
                  <c:v>-0.0458814013075542</c:v>
                </c:pt>
                <c:pt idx="18">
                  <c:v>-0.0681552707456885</c:v>
                </c:pt>
                <c:pt idx="19">
                  <c:v>-0.0869808791280194</c:v>
                </c:pt>
                <c:pt idx="20">
                  <c:v>-0.0799766407575726</c:v>
                </c:pt>
                <c:pt idx="21">
                  <c:v>-0.0670570138141715</c:v>
                </c:pt>
                <c:pt idx="22">
                  <c:v>-0.0738946106123983</c:v>
                </c:pt>
                <c:pt idx="23">
                  <c:v>-0.0691862470482705</c:v>
                </c:pt>
                <c:pt idx="24">
                  <c:v>-0.0626563327766317</c:v>
                </c:pt>
                <c:pt idx="25">
                  <c:v>-0.0690905930618604</c:v>
                </c:pt>
                <c:pt idx="26">
                  <c:v>-0.0811957384211111</c:v>
                </c:pt>
                <c:pt idx="27">
                  <c:v>-0.101692795914047</c:v>
                </c:pt>
                <c:pt idx="28">
                  <c:v>-0.102738910028954</c:v>
                </c:pt>
                <c:pt idx="29">
                  <c:v>-0.105123705884018</c:v>
                </c:pt>
                <c:pt idx="30">
                  <c:v>-0.0890037563974022</c:v>
                </c:pt>
                <c:pt idx="31">
                  <c:v>-0.109820862777876</c:v>
                </c:pt>
              </c:numCache>
            </c:numRef>
          </c:val>
          <c:smooth val="0"/>
          <c:extLst xmlns:c16r2="http://schemas.microsoft.com/office/drawing/2015/06/chart">
            <c:ext xmlns:c16="http://schemas.microsoft.com/office/drawing/2014/chart" uri="{C3380CC4-5D6E-409C-BE32-E72D297353CC}">
              <c16:uniqueId val="{00000000-3BD3-4449-B42C-99B2CB377858}"/>
            </c:ext>
          </c:extLst>
        </c:ser>
        <c:dLbls>
          <c:showLegendKey val="0"/>
          <c:showVal val="0"/>
          <c:showCatName val="0"/>
          <c:showSerName val="0"/>
          <c:showPercent val="0"/>
          <c:showBubbleSize val="0"/>
        </c:dLbls>
        <c:marker val="1"/>
        <c:smooth val="0"/>
        <c:axId val="-2096147576"/>
        <c:axId val="-2096144568"/>
      </c:lineChart>
      <c:lineChart>
        <c:grouping val="standard"/>
        <c:varyColors val="0"/>
        <c:ser>
          <c:idx val="1"/>
          <c:order val="1"/>
          <c:tx>
            <c:v>Gap Irish minus US corporate tax rate</c:v>
          </c:tx>
          <c:marker>
            <c:symbol val="none"/>
          </c:marker>
          <c:val>
            <c:numRef>
              <c:f>DataF9!$DW$18:$DW$51</c:f>
              <c:numCache>
                <c:formatCode>0.0%</c:formatCode>
                <c:ptCount val="34"/>
                <c:pt idx="0">
                  <c:v>0.04</c:v>
                </c:pt>
                <c:pt idx="1">
                  <c:v>0.04</c:v>
                </c:pt>
                <c:pt idx="2">
                  <c:v>0.04</c:v>
                </c:pt>
                <c:pt idx="3">
                  <c:v>0.04</c:v>
                </c:pt>
                <c:pt idx="4">
                  <c:v>0.1</c:v>
                </c:pt>
                <c:pt idx="5">
                  <c:v>0.13</c:v>
                </c:pt>
                <c:pt idx="6">
                  <c:v>0.09</c:v>
                </c:pt>
                <c:pt idx="7">
                  <c:v>0.09</c:v>
                </c:pt>
                <c:pt idx="8">
                  <c:v>0.06</c:v>
                </c:pt>
                <c:pt idx="9">
                  <c:v>0.06</c:v>
                </c:pt>
                <c:pt idx="10">
                  <c:v>0.05</c:v>
                </c:pt>
                <c:pt idx="11">
                  <c:v>0.05</c:v>
                </c:pt>
                <c:pt idx="12">
                  <c:v>0.03</c:v>
                </c:pt>
                <c:pt idx="13">
                  <c:v>0.01</c:v>
                </c:pt>
                <c:pt idx="14">
                  <c:v>0.01</c:v>
                </c:pt>
                <c:pt idx="15">
                  <c:v>-0.03</c:v>
                </c:pt>
                <c:pt idx="16">
                  <c:v>-0.0699999999999999</c:v>
                </c:pt>
                <c:pt idx="17">
                  <c:v>-0.11</c:v>
                </c:pt>
                <c:pt idx="18">
                  <c:v>-0.15</c:v>
                </c:pt>
                <c:pt idx="19">
                  <c:v>-0.19</c:v>
                </c:pt>
                <c:pt idx="20">
                  <c:v>-0.225</c:v>
                </c:pt>
                <c:pt idx="21">
                  <c:v>-0.225</c:v>
                </c:pt>
                <c:pt idx="22">
                  <c:v>-0.225</c:v>
                </c:pt>
                <c:pt idx="23">
                  <c:v>-0.225</c:v>
                </c:pt>
                <c:pt idx="24">
                  <c:v>-0.225</c:v>
                </c:pt>
                <c:pt idx="25">
                  <c:v>-0.225</c:v>
                </c:pt>
                <c:pt idx="26">
                  <c:v>-0.225</c:v>
                </c:pt>
                <c:pt idx="27">
                  <c:v>-0.225</c:v>
                </c:pt>
                <c:pt idx="28">
                  <c:v>-0.225</c:v>
                </c:pt>
                <c:pt idx="29">
                  <c:v>-0.225</c:v>
                </c:pt>
                <c:pt idx="30">
                  <c:v>-0.225</c:v>
                </c:pt>
                <c:pt idx="31">
                  <c:v>-0.225</c:v>
                </c:pt>
                <c:pt idx="32">
                  <c:v>-0.225</c:v>
                </c:pt>
                <c:pt idx="33">
                  <c:v>-0.225</c:v>
                </c:pt>
              </c:numCache>
            </c:numRef>
          </c:val>
          <c:smooth val="0"/>
          <c:extLst xmlns:c16r2="http://schemas.microsoft.com/office/drawing/2015/06/chart">
            <c:ext xmlns:c16="http://schemas.microsoft.com/office/drawing/2014/chart" uri="{C3380CC4-5D6E-409C-BE32-E72D297353CC}">
              <c16:uniqueId val="{00000001-3BD3-4449-B42C-99B2CB377858}"/>
            </c:ext>
          </c:extLst>
        </c:ser>
        <c:dLbls>
          <c:showLegendKey val="0"/>
          <c:showVal val="0"/>
          <c:showCatName val="0"/>
          <c:showSerName val="0"/>
          <c:showPercent val="0"/>
          <c:showBubbleSize val="0"/>
        </c:dLbls>
        <c:marker val="1"/>
        <c:smooth val="0"/>
        <c:axId val="-2096138216"/>
        <c:axId val="-2096141496"/>
      </c:lineChart>
      <c:catAx>
        <c:axId val="-2096147576"/>
        <c:scaling>
          <c:orientation val="minMax"/>
        </c:scaling>
        <c:delete val="0"/>
        <c:axPos val="b"/>
        <c:numFmt formatCode="General" sourceLinked="1"/>
        <c:majorTickMark val="out"/>
        <c:minorTickMark val="none"/>
        <c:tickLblPos val="low"/>
        <c:txPr>
          <a:bodyPr rot="-5400000" vert="horz"/>
          <a:lstStyle/>
          <a:p>
            <a:pPr>
              <a:defRPr/>
            </a:pPr>
            <a:endParaRPr lang="en-US"/>
          </a:p>
        </c:txPr>
        <c:crossAx val="-2096144568"/>
        <c:crosses val="autoZero"/>
        <c:auto val="1"/>
        <c:lblAlgn val="ctr"/>
        <c:lblOffset val="100"/>
        <c:noMultiLvlLbl val="0"/>
      </c:catAx>
      <c:valAx>
        <c:axId val="-2096144568"/>
        <c:scaling>
          <c:orientation val="minMax"/>
          <c:max val="0.05"/>
          <c:min val="-0.15"/>
        </c:scaling>
        <c:delete val="0"/>
        <c:axPos val="l"/>
        <c:majorGridlines/>
        <c:numFmt formatCode="0%" sourceLinked="1"/>
        <c:majorTickMark val="out"/>
        <c:minorTickMark val="none"/>
        <c:tickLblPos val="nextTo"/>
        <c:crossAx val="-2096147576"/>
        <c:crosses val="autoZero"/>
        <c:crossBetween val="between"/>
        <c:majorUnit val="0.05"/>
      </c:valAx>
      <c:valAx>
        <c:axId val="-2096141496"/>
        <c:scaling>
          <c:orientation val="minMax"/>
        </c:scaling>
        <c:delete val="0"/>
        <c:axPos val="r"/>
        <c:numFmt formatCode="0.0%" sourceLinked="1"/>
        <c:majorTickMark val="out"/>
        <c:minorTickMark val="none"/>
        <c:tickLblPos val="nextTo"/>
        <c:crossAx val="-2096138216"/>
        <c:crosses val="max"/>
        <c:crossBetween val="between"/>
      </c:valAx>
      <c:catAx>
        <c:axId val="-2096138216"/>
        <c:scaling>
          <c:orientation val="minMax"/>
        </c:scaling>
        <c:delete val="1"/>
        <c:axPos val="b"/>
        <c:majorTickMark val="out"/>
        <c:minorTickMark val="none"/>
        <c:tickLblPos val="nextTo"/>
        <c:crossAx val="-2096141496"/>
        <c:crosses val="autoZero"/>
        <c:auto val="1"/>
        <c:lblAlgn val="ctr"/>
        <c:lblOffset val="100"/>
        <c:noMultiLvlLbl val="0"/>
      </c:catAx>
    </c:plotArea>
    <c:legend>
      <c:legendPos val="r"/>
      <c:layout>
        <c:manualLayout>
          <c:xMode val="edge"/>
          <c:yMode val="edge"/>
          <c:x val="0.0706809793307087"/>
          <c:y val="0.462467577582214"/>
          <c:w val="0.380257135826772"/>
          <c:h val="0.327243322525861"/>
        </c:manualLayout>
      </c:layout>
      <c:overlay val="0"/>
    </c:legend>
    <c:plotVisOnly val="1"/>
    <c:dispBlanksAs val="gap"/>
    <c:showDLblsOverMax val="0"/>
  </c:chart>
  <c:printSettings>
    <c:headerFooter/>
    <c:pageMargins b="1.0" l="0.75" r="0.75" t="1.0"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2"/>
          <c:y val="0.0601851851851852"/>
          <c:w val="0.838791776027996"/>
          <c:h val="0.87962962962963"/>
        </c:manualLayout>
      </c:layout>
      <c:lineChart>
        <c:grouping val="standard"/>
        <c:varyColors val="0"/>
        <c:ser>
          <c:idx val="0"/>
          <c:order val="0"/>
          <c:tx>
            <c:v>Net intra-group trade balance of US with Ireland (% Irish GDP) (lhs) (BEA survey)</c:v>
          </c:tx>
          <c:marker>
            <c:symbol val="none"/>
          </c:marker>
          <c:cat>
            <c:numRef>
              <c:f>DataF9!$A$18:$A$51</c:f>
              <c:numCache>
                <c:formatCode>General</c:formatCode>
                <c:ptCount val="34"/>
                <c:pt idx="0">
                  <c:v>1983.0</c:v>
                </c:pt>
                <c:pt idx="1">
                  <c:v>1984.0</c:v>
                </c:pt>
                <c:pt idx="2">
                  <c:v>1985.0</c:v>
                </c:pt>
                <c:pt idx="3">
                  <c:v>1986.0</c:v>
                </c:pt>
                <c:pt idx="4">
                  <c:v>1987.0</c:v>
                </c:pt>
                <c:pt idx="5">
                  <c:v>1988.0</c:v>
                </c:pt>
                <c:pt idx="6">
                  <c:v>1989.0</c:v>
                </c:pt>
                <c:pt idx="7">
                  <c:v>1990.0</c:v>
                </c:pt>
                <c:pt idx="8">
                  <c:v>1991.0</c:v>
                </c:pt>
                <c:pt idx="9">
                  <c:v>1992.0</c:v>
                </c:pt>
                <c:pt idx="10">
                  <c:v>1993.0</c:v>
                </c:pt>
                <c:pt idx="11">
                  <c:v>1994.0</c:v>
                </c:pt>
                <c:pt idx="12">
                  <c:v>1995.0</c:v>
                </c:pt>
                <c:pt idx="13">
                  <c:v>1996.0</c:v>
                </c:pt>
                <c:pt idx="14">
                  <c:v>1997.0</c:v>
                </c:pt>
                <c:pt idx="15">
                  <c:v>1998.0</c:v>
                </c:pt>
                <c:pt idx="16">
                  <c:v>1999.0</c:v>
                </c:pt>
                <c:pt idx="17">
                  <c:v>2000.0</c:v>
                </c:pt>
                <c:pt idx="18">
                  <c:v>2001.0</c:v>
                </c:pt>
                <c:pt idx="19">
                  <c:v>2002.0</c:v>
                </c:pt>
                <c:pt idx="20">
                  <c:v>2003.0</c:v>
                </c:pt>
                <c:pt idx="21">
                  <c:v>2004.0</c:v>
                </c:pt>
                <c:pt idx="22">
                  <c:v>2005.0</c:v>
                </c:pt>
                <c:pt idx="23">
                  <c:v>2006.0</c:v>
                </c:pt>
                <c:pt idx="24">
                  <c:v>2007.0</c:v>
                </c:pt>
                <c:pt idx="25">
                  <c:v>2008.0</c:v>
                </c:pt>
                <c:pt idx="26">
                  <c:v>2009.0</c:v>
                </c:pt>
                <c:pt idx="27">
                  <c:v>2010.0</c:v>
                </c:pt>
                <c:pt idx="28">
                  <c:v>2011.0</c:v>
                </c:pt>
                <c:pt idx="29">
                  <c:v>2012.0</c:v>
                </c:pt>
                <c:pt idx="30">
                  <c:v>2013.0</c:v>
                </c:pt>
                <c:pt idx="31">
                  <c:v>2014.0</c:v>
                </c:pt>
                <c:pt idx="32">
                  <c:v>2015.0</c:v>
                </c:pt>
                <c:pt idx="33">
                  <c:v>2016.0</c:v>
                </c:pt>
              </c:numCache>
            </c:numRef>
          </c:cat>
          <c:val>
            <c:numRef>
              <c:f>DataF9!$DK$18:$DK$49</c:f>
              <c:numCache>
                <c:formatCode>0%</c:formatCode>
                <c:ptCount val="32"/>
                <c:pt idx="0">
                  <c:v>0.0105405102845867</c:v>
                </c:pt>
                <c:pt idx="1">
                  <c:v>0.0187829834556225</c:v>
                </c:pt>
                <c:pt idx="2">
                  <c:v>0.0133327469107843</c:v>
                </c:pt>
                <c:pt idx="3">
                  <c:v>0.0113005861464683</c:v>
                </c:pt>
                <c:pt idx="4">
                  <c:v>0.0149792982764843</c:v>
                </c:pt>
                <c:pt idx="5">
                  <c:v>0.00259698716672367</c:v>
                </c:pt>
                <c:pt idx="6">
                  <c:v>0.0150471984274486</c:v>
                </c:pt>
                <c:pt idx="7">
                  <c:v>0.00956555122744622</c:v>
                </c:pt>
                <c:pt idx="8">
                  <c:v>-0.00277358495175899</c:v>
                </c:pt>
                <c:pt idx="9">
                  <c:v>-0.00580893774945785</c:v>
                </c:pt>
                <c:pt idx="10">
                  <c:v>-0.00574531214467001</c:v>
                </c:pt>
                <c:pt idx="11">
                  <c:v>0.00112161194544606</c:v>
                </c:pt>
                <c:pt idx="12">
                  <c:v>-0.0182487321328585</c:v>
                </c:pt>
                <c:pt idx="13">
                  <c:v>-0.0186126750648152</c:v>
                </c:pt>
                <c:pt idx="14">
                  <c:v>-0.0188604175171551</c:v>
                </c:pt>
                <c:pt idx="15">
                  <c:v>-0.0442892687241247</c:v>
                </c:pt>
                <c:pt idx="16">
                  <c:v>-0.0290448429005332</c:v>
                </c:pt>
                <c:pt idx="17">
                  <c:v>-0.0458814013075542</c:v>
                </c:pt>
                <c:pt idx="18">
                  <c:v>-0.0681552707456885</c:v>
                </c:pt>
                <c:pt idx="19">
                  <c:v>-0.0869808791280194</c:v>
                </c:pt>
                <c:pt idx="20">
                  <c:v>-0.0799766407575726</c:v>
                </c:pt>
                <c:pt idx="21">
                  <c:v>-0.0670570138141715</c:v>
                </c:pt>
                <c:pt idx="22">
                  <c:v>-0.0738946106123983</c:v>
                </c:pt>
                <c:pt idx="23">
                  <c:v>-0.0691862470482705</c:v>
                </c:pt>
                <c:pt idx="24">
                  <c:v>-0.0626563327766317</c:v>
                </c:pt>
                <c:pt idx="25">
                  <c:v>-0.0690905930618604</c:v>
                </c:pt>
                <c:pt idx="26">
                  <c:v>-0.0811957384211111</c:v>
                </c:pt>
                <c:pt idx="27">
                  <c:v>-0.101692795914047</c:v>
                </c:pt>
                <c:pt idx="28">
                  <c:v>-0.102738910028954</c:v>
                </c:pt>
                <c:pt idx="29">
                  <c:v>-0.105123705884018</c:v>
                </c:pt>
                <c:pt idx="30">
                  <c:v>-0.0890037563974022</c:v>
                </c:pt>
                <c:pt idx="31">
                  <c:v>-0.109820862777876</c:v>
                </c:pt>
              </c:numCache>
            </c:numRef>
          </c:val>
          <c:smooth val="0"/>
          <c:extLst xmlns:c16r2="http://schemas.microsoft.com/office/drawing/2015/06/chart">
            <c:ext xmlns:c16="http://schemas.microsoft.com/office/drawing/2014/chart" uri="{C3380CC4-5D6E-409C-BE32-E72D297353CC}">
              <c16:uniqueId val="{00000000-8483-43D7-97BA-CD8CDCD274A2}"/>
            </c:ext>
          </c:extLst>
        </c:ser>
        <c:ser>
          <c:idx val="1"/>
          <c:order val="1"/>
          <c:tx>
            <c:v>Gap Irish minus US corporate tax rate</c:v>
          </c:tx>
          <c:marker>
            <c:symbol val="none"/>
          </c:marker>
          <c:cat>
            <c:numRef>
              <c:f>DataF9!$A$18:$A$51</c:f>
              <c:numCache>
                <c:formatCode>General</c:formatCode>
                <c:ptCount val="34"/>
                <c:pt idx="0">
                  <c:v>1983.0</c:v>
                </c:pt>
                <c:pt idx="1">
                  <c:v>1984.0</c:v>
                </c:pt>
                <c:pt idx="2">
                  <c:v>1985.0</c:v>
                </c:pt>
                <c:pt idx="3">
                  <c:v>1986.0</c:v>
                </c:pt>
                <c:pt idx="4">
                  <c:v>1987.0</c:v>
                </c:pt>
                <c:pt idx="5">
                  <c:v>1988.0</c:v>
                </c:pt>
                <c:pt idx="6">
                  <c:v>1989.0</c:v>
                </c:pt>
                <c:pt idx="7">
                  <c:v>1990.0</c:v>
                </c:pt>
                <c:pt idx="8">
                  <c:v>1991.0</c:v>
                </c:pt>
                <c:pt idx="9">
                  <c:v>1992.0</c:v>
                </c:pt>
                <c:pt idx="10">
                  <c:v>1993.0</c:v>
                </c:pt>
                <c:pt idx="11">
                  <c:v>1994.0</c:v>
                </c:pt>
                <c:pt idx="12">
                  <c:v>1995.0</c:v>
                </c:pt>
                <c:pt idx="13">
                  <c:v>1996.0</c:v>
                </c:pt>
                <c:pt idx="14">
                  <c:v>1997.0</c:v>
                </c:pt>
                <c:pt idx="15">
                  <c:v>1998.0</c:v>
                </c:pt>
                <c:pt idx="16">
                  <c:v>1999.0</c:v>
                </c:pt>
                <c:pt idx="17">
                  <c:v>2000.0</c:v>
                </c:pt>
                <c:pt idx="18">
                  <c:v>2001.0</c:v>
                </c:pt>
                <c:pt idx="19">
                  <c:v>2002.0</c:v>
                </c:pt>
                <c:pt idx="20">
                  <c:v>2003.0</c:v>
                </c:pt>
                <c:pt idx="21">
                  <c:v>2004.0</c:v>
                </c:pt>
                <c:pt idx="22">
                  <c:v>2005.0</c:v>
                </c:pt>
                <c:pt idx="23">
                  <c:v>2006.0</c:v>
                </c:pt>
                <c:pt idx="24">
                  <c:v>2007.0</c:v>
                </c:pt>
                <c:pt idx="25">
                  <c:v>2008.0</c:v>
                </c:pt>
                <c:pt idx="26">
                  <c:v>2009.0</c:v>
                </c:pt>
                <c:pt idx="27">
                  <c:v>2010.0</c:v>
                </c:pt>
                <c:pt idx="28">
                  <c:v>2011.0</c:v>
                </c:pt>
                <c:pt idx="29">
                  <c:v>2012.0</c:v>
                </c:pt>
                <c:pt idx="30">
                  <c:v>2013.0</c:v>
                </c:pt>
                <c:pt idx="31">
                  <c:v>2014.0</c:v>
                </c:pt>
                <c:pt idx="32">
                  <c:v>2015.0</c:v>
                </c:pt>
                <c:pt idx="33">
                  <c:v>2016.0</c:v>
                </c:pt>
              </c:numCache>
            </c:numRef>
          </c:cat>
          <c:val>
            <c:numRef>
              <c:f>DataF9!$DW$20:$DW$51</c:f>
              <c:numCache>
                <c:formatCode>0.0%</c:formatCode>
                <c:ptCount val="32"/>
                <c:pt idx="0">
                  <c:v>0.04</c:v>
                </c:pt>
                <c:pt idx="1">
                  <c:v>0.04</c:v>
                </c:pt>
                <c:pt idx="2">
                  <c:v>0.1</c:v>
                </c:pt>
                <c:pt idx="3">
                  <c:v>0.13</c:v>
                </c:pt>
                <c:pt idx="4">
                  <c:v>0.09</c:v>
                </c:pt>
                <c:pt idx="5">
                  <c:v>0.09</c:v>
                </c:pt>
                <c:pt idx="6">
                  <c:v>0.06</c:v>
                </c:pt>
                <c:pt idx="7">
                  <c:v>0.06</c:v>
                </c:pt>
                <c:pt idx="8">
                  <c:v>0.05</c:v>
                </c:pt>
                <c:pt idx="9">
                  <c:v>0.05</c:v>
                </c:pt>
                <c:pt idx="10">
                  <c:v>0.03</c:v>
                </c:pt>
                <c:pt idx="11">
                  <c:v>0.01</c:v>
                </c:pt>
                <c:pt idx="12">
                  <c:v>0.01</c:v>
                </c:pt>
                <c:pt idx="13">
                  <c:v>-0.03</c:v>
                </c:pt>
                <c:pt idx="14">
                  <c:v>-0.0699999999999999</c:v>
                </c:pt>
                <c:pt idx="15">
                  <c:v>-0.11</c:v>
                </c:pt>
                <c:pt idx="16">
                  <c:v>-0.15</c:v>
                </c:pt>
                <c:pt idx="17">
                  <c:v>-0.19</c:v>
                </c:pt>
                <c:pt idx="18">
                  <c:v>-0.225</c:v>
                </c:pt>
                <c:pt idx="19">
                  <c:v>-0.225</c:v>
                </c:pt>
                <c:pt idx="20">
                  <c:v>-0.225</c:v>
                </c:pt>
                <c:pt idx="21">
                  <c:v>-0.225</c:v>
                </c:pt>
                <c:pt idx="22">
                  <c:v>-0.225</c:v>
                </c:pt>
                <c:pt idx="23">
                  <c:v>-0.225</c:v>
                </c:pt>
                <c:pt idx="24">
                  <c:v>-0.225</c:v>
                </c:pt>
                <c:pt idx="25">
                  <c:v>-0.225</c:v>
                </c:pt>
                <c:pt idx="26">
                  <c:v>-0.225</c:v>
                </c:pt>
                <c:pt idx="27">
                  <c:v>-0.225</c:v>
                </c:pt>
                <c:pt idx="28">
                  <c:v>-0.225</c:v>
                </c:pt>
                <c:pt idx="29">
                  <c:v>-0.225</c:v>
                </c:pt>
                <c:pt idx="30">
                  <c:v>-0.225</c:v>
                </c:pt>
                <c:pt idx="31">
                  <c:v>-0.225</c:v>
                </c:pt>
              </c:numCache>
            </c:numRef>
          </c:val>
          <c:smooth val="0"/>
          <c:extLst xmlns:c16r2="http://schemas.microsoft.com/office/drawing/2015/06/chart">
            <c:ext xmlns:c16="http://schemas.microsoft.com/office/drawing/2014/chart" uri="{C3380CC4-5D6E-409C-BE32-E72D297353CC}">
              <c16:uniqueId val="{00000001-8483-43D7-97BA-CD8CDCD274A2}"/>
            </c:ext>
          </c:extLst>
        </c:ser>
        <c:dLbls>
          <c:showLegendKey val="0"/>
          <c:showVal val="0"/>
          <c:showCatName val="0"/>
          <c:showSerName val="0"/>
          <c:showPercent val="0"/>
          <c:showBubbleSize val="0"/>
        </c:dLbls>
        <c:marker val="1"/>
        <c:smooth val="0"/>
        <c:axId val="2097914456"/>
        <c:axId val="2097844104"/>
      </c:lineChart>
      <c:catAx>
        <c:axId val="2097914456"/>
        <c:scaling>
          <c:orientation val="minMax"/>
        </c:scaling>
        <c:delete val="0"/>
        <c:axPos val="b"/>
        <c:numFmt formatCode="General" sourceLinked="1"/>
        <c:majorTickMark val="out"/>
        <c:minorTickMark val="none"/>
        <c:tickLblPos val="low"/>
        <c:txPr>
          <a:bodyPr rot="-5400000" vert="horz"/>
          <a:lstStyle/>
          <a:p>
            <a:pPr>
              <a:defRPr/>
            </a:pPr>
            <a:endParaRPr lang="en-US"/>
          </a:p>
        </c:txPr>
        <c:crossAx val="2097844104"/>
        <c:crosses val="autoZero"/>
        <c:auto val="1"/>
        <c:lblAlgn val="ctr"/>
        <c:lblOffset val="100"/>
        <c:noMultiLvlLbl val="0"/>
      </c:catAx>
      <c:valAx>
        <c:axId val="2097844104"/>
        <c:scaling>
          <c:orientation val="minMax"/>
          <c:max val="0.15"/>
          <c:min val="-0.25"/>
        </c:scaling>
        <c:delete val="0"/>
        <c:axPos val="l"/>
        <c:majorGridlines/>
        <c:numFmt formatCode="0%" sourceLinked="1"/>
        <c:majorTickMark val="out"/>
        <c:minorTickMark val="none"/>
        <c:tickLblPos val="nextTo"/>
        <c:crossAx val="2097914456"/>
        <c:crosses val="autoZero"/>
        <c:crossBetween val="between"/>
        <c:majorUnit val="0.05"/>
      </c:valAx>
    </c:plotArea>
    <c:legend>
      <c:legendPos val="r"/>
      <c:layout>
        <c:manualLayout>
          <c:xMode val="edge"/>
          <c:yMode val="edge"/>
          <c:x val="0.0924179190394934"/>
          <c:y val="0.500819647544057"/>
          <c:w val="0.406414341810407"/>
          <c:h val="0.335926884139483"/>
        </c:manualLayout>
      </c:layout>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endParaRPr lang="en-US" sz="2200" b="0"/>
          </a:p>
        </c:rich>
      </c:tx>
      <c:layout>
        <c:manualLayout>
          <c:xMode val="edge"/>
          <c:yMode val="edge"/>
          <c:x val="0.324589011839232"/>
          <c:y val="0.0146180238441982"/>
        </c:manualLayout>
      </c:layout>
      <c:overlay val="1"/>
    </c:title>
    <c:autoTitleDeleted val="0"/>
    <c:plotArea>
      <c:layout>
        <c:manualLayout>
          <c:layoutTarget val="inner"/>
          <c:xMode val="edge"/>
          <c:yMode val="edge"/>
          <c:x val="0.0784352007228605"/>
          <c:y val="0.090193426222898"/>
          <c:w val="0.92019867905856"/>
          <c:h val="0.701453892531216"/>
        </c:manualLayout>
      </c:layout>
      <c:barChart>
        <c:barDir val="col"/>
        <c:grouping val="clustered"/>
        <c:varyColors val="0"/>
        <c:ser>
          <c:idx val="0"/>
          <c:order val="0"/>
          <c:tx>
            <c:v>Foreign firms</c:v>
          </c:tx>
          <c:spPr>
            <a:solidFill>
              <a:schemeClr val="accent2">
                <a:lumMod val="60000"/>
                <a:lumOff val="40000"/>
              </a:schemeClr>
            </a:solidFill>
            <a:ln>
              <a:noFill/>
            </a:ln>
          </c:spPr>
          <c:invertIfNegative val="0"/>
          <c:cat>
            <c:strRef>
              <c:f>DataF4!$A$2:$A$9</c:f>
              <c:strCache>
                <c:ptCount val="8"/>
                <c:pt idx="0">
                  <c:v>Germany</c:v>
                </c:pt>
                <c:pt idx="1">
                  <c:v>Italy</c:v>
                </c:pt>
                <c:pt idx="2">
                  <c:v>United Kingdom</c:v>
                </c:pt>
                <c:pt idx="3">
                  <c:v>Spain</c:v>
                </c:pt>
                <c:pt idx="4">
                  <c:v>Japan</c:v>
                </c:pt>
                <c:pt idx="5">
                  <c:v>Australia</c:v>
                </c:pt>
                <c:pt idx="6">
                  <c:v>United States</c:v>
                </c:pt>
                <c:pt idx="7">
                  <c:v>France</c:v>
                </c:pt>
              </c:strCache>
            </c:strRef>
          </c:cat>
          <c:val>
            <c:numRef>
              <c:f>DataF4!$G$2:$G$9</c:f>
              <c:numCache>
                <c:formatCode>0%</c:formatCode>
                <c:ptCount val="8"/>
                <c:pt idx="0">
                  <c:v>0.183048508723601</c:v>
                </c:pt>
                <c:pt idx="1">
                  <c:v>0.162336026725156</c:v>
                </c:pt>
                <c:pt idx="2">
                  <c:v>0.257234074059998</c:v>
                </c:pt>
                <c:pt idx="3">
                  <c:v>0.246437539400627</c:v>
                </c:pt>
                <c:pt idx="4">
                  <c:v>0.237325661473842</c:v>
                </c:pt>
                <c:pt idx="5">
                  <c:v>0.273839403468978</c:v>
                </c:pt>
                <c:pt idx="6">
                  <c:v>0.283432726463305</c:v>
                </c:pt>
                <c:pt idx="7">
                  <c:v>0.207197261500873</c:v>
                </c:pt>
              </c:numCache>
            </c:numRef>
          </c:val>
          <c:extLst xmlns:c16r2="http://schemas.microsoft.com/office/drawing/2015/06/chart">
            <c:ext xmlns:c16="http://schemas.microsoft.com/office/drawing/2014/chart" uri="{C3380CC4-5D6E-409C-BE32-E72D297353CC}">
              <c16:uniqueId val="{00000000-2C5B-419C-A742-51C7373EDC83}"/>
            </c:ext>
          </c:extLst>
        </c:ser>
        <c:ser>
          <c:idx val="2"/>
          <c:order val="1"/>
          <c:tx>
            <c:v>Local firms</c:v>
          </c:tx>
          <c:invertIfNegative val="0"/>
          <c:cat>
            <c:strRef>
              <c:f>DataF4!$A$2:$A$9</c:f>
              <c:strCache>
                <c:ptCount val="8"/>
                <c:pt idx="0">
                  <c:v>Germany</c:v>
                </c:pt>
                <c:pt idx="1">
                  <c:v>Italy</c:v>
                </c:pt>
                <c:pt idx="2">
                  <c:v>United Kingdom</c:v>
                </c:pt>
                <c:pt idx="3">
                  <c:v>Spain</c:v>
                </c:pt>
                <c:pt idx="4">
                  <c:v>Japan</c:v>
                </c:pt>
                <c:pt idx="5">
                  <c:v>Australia</c:v>
                </c:pt>
                <c:pt idx="6">
                  <c:v>United States</c:v>
                </c:pt>
                <c:pt idx="7">
                  <c:v>France</c:v>
                </c:pt>
              </c:strCache>
            </c:strRef>
          </c:cat>
          <c:val>
            <c:numRef>
              <c:f>DataF4!$F$2:$F$9</c:f>
              <c:numCache>
                <c:formatCode>0%</c:formatCode>
                <c:ptCount val="8"/>
                <c:pt idx="0">
                  <c:v>0.515892010534131</c:v>
                </c:pt>
                <c:pt idx="1">
                  <c:v>0.484157580189969</c:v>
                </c:pt>
                <c:pt idx="2">
                  <c:v>0.482102808447213</c:v>
                </c:pt>
                <c:pt idx="3">
                  <c:v>0.447550158167378</c:v>
                </c:pt>
                <c:pt idx="4">
                  <c:v>0.436644437702411</c:v>
                </c:pt>
                <c:pt idx="5">
                  <c:v>0.382449225473781</c:v>
                </c:pt>
                <c:pt idx="6">
                  <c:v>0.315917100192379</c:v>
                </c:pt>
                <c:pt idx="7">
                  <c:v>0.217100928964788</c:v>
                </c:pt>
              </c:numCache>
            </c:numRef>
          </c:val>
          <c:extLst xmlns:c16r2="http://schemas.microsoft.com/office/drawing/2015/06/chart">
            <c:ext xmlns:c16="http://schemas.microsoft.com/office/drawing/2014/chart" uri="{C3380CC4-5D6E-409C-BE32-E72D297353CC}">
              <c16:uniqueId val="{00000001-2C5B-419C-A742-51C7373EDC83}"/>
            </c:ext>
          </c:extLst>
        </c:ser>
        <c:dLbls>
          <c:showLegendKey val="0"/>
          <c:showVal val="0"/>
          <c:showCatName val="0"/>
          <c:showSerName val="0"/>
          <c:showPercent val="0"/>
          <c:showBubbleSize val="0"/>
        </c:dLbls>
        <c:gapWidth val="150"/>
        <c:axId val="-2119354104"/>
        <c:axId val="2145427944"/>
      </c:barChart>
      <c:lineChart>
        <c:grouping val="standard"/>
        <c:varyColors val="0"/>
        <c:ser>
          <c:idx val="1"/>
          <c:order val="2"/>
          <c:marker>
            <c:symbol val="none"/>
          </c:marker>
          <c:cat>
            <c:strRef>
              <c:f>DataF4!$K$2:$K$10</c:f>
              <c:strCache>
                <c:ptCount val="9"/>
                <c:pt idx="0">
                  <c:v>Luxembourg</c:v>
                </c:pt>
                <c:pt idx="1">
                  <c:v>Ireland</c:v>
                </c:pt>
                <c:pt idx="2">
                  <c:v>Puerto Rico</c:v>
                </c:pt>
                <c:pt idx="3">
                  <c:v>Singapore</c:v>
                </c:pt>
                <c:pt idx="4">
                  <c:v>Hong Kong</c:v>
                </c:pt>
                <c:pt idx="5">
                  <c:v>Netherlands</c:v>
                </c:pt>
                <c:pt idx="6">
                  <c:v>Belgium</c:v>
                </c:pt>
                <c:pt idx="7">
                  <c:v>Germany</c:v>
                </c:pt>
                <c:pt idx="8">
                  <c:v>Switzerland</c:v>
                </c:pt>
              </c:strCache>
            </c:strRef>
          </c:cat>
          <c:val>
            <c:numRef>
              <c:f>DataF3!$F$2:$F$9</c:f>
              <c:numCache>
                <c:formatCode>0%</c:formatCode>
                <c:ptCount val="8"/>
                <c:pt idx="0">
                  <c:v>0.360816769376698</c:v>
                </c:pt>
                <c:pt idx="1">
                  <c:v>0.360816769376698</c:v>
                </c:pt>
                <c:pt idx="2">
                  <c:v>0.360816769376698</c:v>
                </c:pt>
                <c:pt idx="3">
                  <c:v>0.360816769376698</c:v>
                </c:pt>
                <c:pt idx="4">
                  <c:v>0.360816769376698</c:v>
                </c:pt>
                <c:pt idx="5">
                  <c:v>0.360816769376698</c:v>
                </c:pt>
                <c:pt idx="6">
                  <c:v>0.360816769376698</c:v>
                </c:pt>
                <c:pt idx="7">
                  <c:v>0.360816769376698</c:v>
                </c:pt>
              </c:numCache>
            </c:numRef>
          </c:val>
          <c:smooth val="0"/>
          <c:extLst xmlns:c16r2="http://schemas.microsoft.com/office/drawing/2015/06/chart">
            <c:ext xmlns:c16="http://schemas.microsoft.com/office/drawing/2014/chart" uri="{C3380CC4-5D6E-409C-BE32-E72D297353CC}">
              <c16:uniqueId val="{00000002-2C5B-419C-A742-51C7373EDC83}"/>
            </c:ext>
          </c:extLst>
        </c:ser>
        <c:dLbls>
          <c:showLegendKey val="0"/>
          <c:showVal val="0"/>
          <c:showCatName val="0"/>
          <c:showSerName val="0"/>
          <c:showPercent val="0"/>
          <c:showBubbleSize val="0"/>
        </c:dLbls>
        <c:marker val="1"/>
        <c:smooth val="0"/>
        <c:axId val="-2119354104"/>
        <c:axId val="2145427944"/>
      </c:lineChart>
      <c:catAx>
        <c:axId val="-2119354104"/>
        <c:scaling>
          <c:orientation val="minMax"/>
        </c:scaling>
        <c:delete val="0"/>
        <c:axPos val="b"/>
        <c:numFmt formatCode="General" sourceLinked="1"/>
        <c:majorTickMark val="none"/>
        <c:minorTickMark val="none"/>
        <c:tickLblPos val="nextTo"/>
        <c:txPr>
          <a:bodyPr rot="-2700000" vert="horz"/>
          <a:lstStyle/>
          <a:p>
            <a:pPr>
              <a:defRPr sz="1600"/>
            </a:pPr>
            <a:endParaRPr lang="en-US"/>
          </a:p>
        </c:txPr>
        <c:crossAx val="2145427944"/>
        <c:crosses val="autoZero"/>
        <c:auto val="1"/>
        <c:lblAlgn val="ctr"/>
        <c:lblOffset val="100"/>
        <c:noMultiLvlLbl val="0"/>
      </c:catAx>
      <c:valAx>
        <c:axId val="2145427944"/>
        <c:scaling>
          <c:orientation val="minMax"/>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19354104"/>
        <c:crosses val="autoZero"/>
        <c:crossBetween val="between"/>
      </c:valAx>
    </c:plotArea>
    <c:legend>
      <c:legendPos val="r"/>
      <c:layout>
        <c:manualLayout>
          <c:xMode val="edge"/>
          <c:yMode val="edge"/>
          <c:x val="0.622950819672131"/>
          <c:y val="0.167994102724607"/>
          <c:w val="0.16120218579235"/>
          <c:h val="0.0761455210358119"/>
        </c:manualLayout>
      </c:layout>
      <c:overlay val="0"/>
      <c:txPr>
        <a:bodyPr/>
        <a:lstStyle/>
        <a:p>
          <a:pPr>
            <a:defRPr sz="16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2"/>
          <c:y val="0.0601851851851852"/>
          <c:w val="0.838791776027996"/>
          <c:h val="0.87962962962963"/>
        </c:manualLayout>
      </c:layout>
      <c:lineChart>
        <c:grouping val="standard"/>
        <c:varyColors val="0"/>
        <c:ser>
          <c:idx val="0"/>
          <c:order val="0"/>
          <c:tx>
            <c:v>Net intra-group trade balance of US with Ireland (% Irish GDP) (lhs) (BEA survey)</c:v>
          </c:tx>
          <c:marker>
            <c:symbol val="none"/>
          </c:marker>
          <c:cat>
            <c:numRef>
              <c:f>DataF9!$A$18:$A$51</c:f>
              <c:numCache>
                <c:formatCode>General</c:formatCode>
                <c:ptCount val="34"/>
                <c:pt idx="0">
                  <c:v>1983.0</c:v>
                </c:pt>
                <c:pt idx="1">
                  <c:v>1984.0</c:v>
                </c:pt>
                <c:pt idx="2">
                  <c:v>1985.0</c:v>
                </c:pt>
                <c:pt idx="3">
                  <c:v>1986.0</c:v>
                </c:pt>
                <c:pt idx="4">
                  <c:v>1987.0</c:v>
                </c:pt>
                <c:pt idx="5">
                  <c:v>1988.0</c:v>
                </c:pt>
                <c:pt idx="6">
                  <c:v>1989.0</c:v>
                </c:pt>
                <c:pt idx="7">
                  <c:v>1990.0</c:v>
                </c:pt>
                <c:pt idx="8">
                  <c:v>1991.0</c:v>
                </c:pt>
                <c:pt idx="9">
                  <c:v>1992.0</c:v>
                </c:pt>
                <c:pt idx="10">
                  <c:v>1993.0</c:v>
                </c:pt>
                <c:pt idx="11">
                  <c:v>1994.0</c:v>
                </c:pt>
                <c:pt idx="12">
                  <c:v>1995.0</c:v>
                </c:pt>
                <c:pt idx="13">
                  <c:v>1996.0</c:v>
                </c:pt>
                <c:pt idx="14">
                  <c:v>1997.0</c:v>
                </c:pt>
                <c:pt idx="15">
                  <c:v>1998.0</c:v>
                </c:pt>
                <c:pt idx="16">
                  <c:v>1999.0</c:v>
                </c:pt>
                <c:pt idx="17">
                  <c:v>2000.0</c:v>
                </c:pt>
                <c:pt idx="18">
                  <c:v>2001.0</c:v>
                </c:pt>
                <c:pt idx="19">
                  <c:v>2002.0</c:v>
                </c:pt>
                <c:pt idx="20">
                  <c:v>2003.0</c:v>
                </c:pt>
                <c:pt idx="21">
                  <c:v>2004.0</c:v>
                </c:pt>
                <c:pt idx="22">
                  <c:v>2005.0</c:v>
                </c:pt>
                <c:pt idx="23">
                  <c:v>2006.0</c:v>
                </c:pt>
                <c:pt idx="24">
                  <c:v>2007.0</c:v>
                </c:pt>
                <c:pt idx="25">
                  <c:v>2008.0</c:v>
                </c:pt>
                <c:pt idx="26">
                  <c:v>2009.0</c:v>
                </c:pt>
                <c:pt idx="27">
                  <c:v>2010.0</c:v>
                </c:pt>
                <c:pt idx="28">
                  <c:v>2011.0</c:v>
                </c:pt>
                <c:pt idx="29">
                  <c:v>2012.0</c:v>
                </c:pt>
                <c:pt idx="30">
                  <c:v>2013.0</c:v>
                </c:pt>
                <c:pt idx="31">
                  <c:v>2014.0</c:v>
                </c:pt>
                <c:pt idx="32">
                  <c:v>2015.0</c:v>
                </c:pt>
                <c:pt idx="33">
                  <c:v>2016.0</c:v>
                </c:pt>
              </c:numCache>
            </c:numRef>
          </c:cat>
          <c:val>
            <c:numRef>
              <c:f>DataF9!$DK$18:$DK$51</c:f>
              <c:numCache>
                <c:formatCode>0%</c:formatCode>
                <c:ptCount val="34"/>
                <c:pt idx="0">
                  <c:v>0.0105405102845867</c:v>
                </c:pt>
                <c:pt idx="1">
                  <c:v>0.0187829834556225</c:v>
                </c:pt>
                <c:pt idx="2">
                  <c:v>0.0133327469107843</c:v>
                </c:pt>
                <c:pt idx="3">
                  <c:v>0.0113005861464683</c:v>
                </c:pt>
                <c:pt idx="4">
                  <c:v>0.0149792982764843</c:v>
                </c:pt>
                <c:pt idx="5">
                  <c:v>0.00259698716672367</c:v>
                </c:pt>
                <c:pt idx="6">
                  <c:v>0.0150471984274486</c:v>
                </c:pt>
                <c:pt idx="7">
                  <c:v>0.00956555122744622</c:v>
                </c:pt>
                <c:pt idx="8">
                  <c:v>-0.00277358495175899</c:v>
                </c:pt>
                <c:pt idx="9">
                  <c:v>-0.00580893774945785</c:v>
                </c:pt>
                <c:pt idx="10">
                  <c:v>-0.00574531214467001</c:v>
                </c:pt>
                <c:pt idx="11">
                  <c:v>0.00112161194544606</c:v>
                </c:pt>
                <c:pt idx="12">
                  <c:v>-0.0182487321328585</c:v>
                </c:pt>
                <c:pt idx="13">
                  <c:v>-0.0186126750648152</c:v>
                </c:pt>
                <c:pt idx="14">
                  <c:v>-0.0188604175171551</c:v>
                </c:pt>
                <c:pt idx="15">
                  <c:v>-0.0442892687241247</c:v>
                </c:pt>
                <c:pt idx="16">
                  <c:v>-0.0290448429005332</c:v>
                </c:pt>
                <c:pt idx="17">
                  <c:v>-0.0458814013075542</c:v>
                </c:pt>
                <c:pt idx="18">
                  <c:v>-0.0681552707456885</c:v>
                </c:pt>
                <c:pt idx="19">
                  <c:v>-0.0869808791280194</c:v>
                </c:pt>
                <c:pt idx="20">
                  <c:v>-0.0799766407575726</c:v>
                </c:pt>
                <c:pt idx="21">
                  <c:v>-0.0670570138141715</c:v>
                </c:pt>
                <c:pt idx="22">
                  <c:v>-0.0738946106123983</c:v>
                </c:pt>
                <c:pt idx="23">
                  <c:v>-0.0691862470482705</c:v>
                </c:pt>
                <c:pt idx="24">
                  <c:v>-0.0626563327766317</c:v>
                </c:pt>
                <c:pt idx="25">
                  <c:v>-0.0690905930618604</c:v>
                </c:pt>
                <c:pt idx="26">
                  <c:v>-0.0811957384211111</c:v>
                </c:pt>
                <c:pt idx="27">
                  <c:v>-0.101692795914047</c:v>
                </c:pt>
                <c:pt idx="28">
                  <c:v>-0.102738910028954</c:v>
                </c:pt>
                <c:pt idx="29">
                  <c:v>-0.105123705884018</c:v>
                </c:pt>
                <c:pt idx="30">
                  <c:v>-0.0890037563974022</c:v>
                </c:pt>
                <c:pt idx="31">
                  <c:v>-0.109820862777876</c:v>
                </c:pt>
              </c:numCache>
            </c:numRef>
          </c:val>
          <c:smooth val="0"/>
          <c:extLst xmlns:c16r2="http://schemas.microsoft.com/office/drawing/2015/06/chart">
            <c:ext xmlns:c16="http://schemas.microsoft.com/office/drawing/2014/chart" uri="{C3380CC4-5D6E-409C-BE32-E72D297353CC}">
              <c16:uniqueId val="{00000000-B3B6-4CF8-BB84-C4D30EA8C025}"/>
            </c:ext>
          </c:extLst>
        </c:ser>
        <c:ser>
          <c:idx val="1"/>
          <c:order val="1"/>
          <c:tx>
            <c:v>Gap Irish minus US corporate tax rate</c:v>
          </c:tx>
          <c:marker>
            <c:symbol val="none"/>
          </c:marker>
          <c:val>
            <c:numRef>
              <c:f>DataF9!$DW$18:$DW$51</c:f>
              <c:numCache>
                <c:formatCode>0.0%</c:formatCode>
                <c:ptCount val="34"/>
                <c:pt idx="0">
                  <c:v>0.04</c:v>
                </c:pt>
                <c:pt idx="1">
                  <c:v>0.04</c:v>
                </c:pt>
                <c:pt idx="2">
                  <c:v>0.04</c:v>
                </c:pt>
                <c:pt idx="3">
                  <c:v>0.04</c:v>
                </c:pt>
                <c:pt idx="4">
                  <c:v>0.1</c:v>
                </c:pt>
                <c:pt idx="5">
                  <c:v>0.13</c:v>
                </c:pt>
                <c:pt idx="6">
                  <c:v>0.09</c:v>
                </c:pt>
                <c:pt idx="7">
                  <c:v>0.09</c:v>
                </c:pt>
                <c:pt idx="8">
                  <c:v>0.06</c:v>
                </c:pt>
                <c:pt idx="9">
                  <c:v>0.06</c:v>
                </c:pt>
                <c:pt idx="10">
                  <c:v>0.05</c:v>
                </c:pt>
                <c:pt idx="11">
                  <c:v>0.05</c:v>
                </c:pt>
                <c:pt idx="12">
                  <c:v>0.03</c:v>
                </c:pt>
                <c:pt idx="13">
                  <c:v>0.01</c:v>
                </c:pt>
                <c:pt idx="14">
                  <c:v>0.01</c:v>
                </c:pt>
                <c:pt idx="15">
                  <c:v>-0.03</c:v>
                </c:pt>
                <c:pt idx="16">
                  <c:v>-0.0699999999999999</c:v>
                </c:pt>
                <c:pt idx="17">
                  <c:v>-0.11</c:v>
                </c:pt>
                <c:pt idx="18">
                  <c:v>-0.15</c:v>
                </c:pt>
                <c:pt idx="19">
                  <c:v>-0.19</c:v>
                </c:pt>
                <c:pt idx="20">
                  <c:v>-0.225</c:v>
                </c:pt>
                <c:pt idx="21">
                  <c:v>-0.225</c:v>
                </c:pt>
                <c:pt idx="22">
                  <c:v>-0.225</c:v>
                </c:pt>
                <c:pt idx="23">
                  <c:v>-0.225</c:v>
                </c:pt>
                <c:pt idx="24">
                  <c:v>-0.225</c:v>
                </c:pt>
                <c:pt idx="25">
                  <c:v>-0.225</c:v>
                </c:pt>
                <c:pt idx="26">
                  <c:v>-0.225</c:v>
                </c:pt>
                <c:pt idx="27">
                  <c:v>-0.225</c:v>
                </c:pt>
                <c:pt idx="28">
                  <c:v>-0.225</c:v>
                </c:pt>
                <c:pt idx="29">
                  <c:v>-0.225</c:v>
                </c:pt>
                <c:pt idx="30">
                  <c:v>-0.225</c:v>
                </c:pt>
                <c:pt idx="31">
                  <c:v>-0.225</c:v>
                </c:pt>
                <c:pt idx="32">
                  <c:v>-0.225</c:v>
                </c:pt>
                <c:pt idx="33">
                  <c:v>-0.225</c:v>
                </c:pt>
              </c:numCache>
            </c:numRef>
          </c:val>
          <c:smooth val="0"/>
          <c:extLst xmlns:c16r2="http://schemas.microsoft.com/office/drawing/2015/06/chart">
            <c:ext xmlns:c16="http://schemas.microsoft.com/office/drawing/2014/chart" uri="{C3380CC4-5D6E-409C-BE32-E72D297353CC}">
              <c16:uniqueId val="{00000001-B3B6-4CF8-BB84-C4D30EA8C025}"/>
            </c:ext>
          </c:extLst>
        </c:ser>
        <c:dLbls>
          <c:showLegendKey val="0"/>
          <c:showVal val="0"/>
          <c:showCatName val="0"/>
          <c:showSerName val="0"/>
          <c:showPercent val="0"/>
          <c:showBubbleSize val="0"/>
        </c:dLbls>
        <c:marker val="1"/>
        <c:smooth val="0"/>
        <c:axId val="2097246216"/>
        <c:axId val="2097249224"/>
      </c:lineChart>
      <c:catAx>
        <c:axId val="2097246216"/>
        <c:scaling>
          <c:orientation val="minMax"/>
        </c:scaling>
        <c:delete val="0"/>
        <c:axPos val="b"/>
        <c:numFmt formatCode="General" sourceLinked="1"/>
        <c:majorTickMark val="out"/>
        <c:minorTickMark val="none"/>
        <c:tickLblPos val="low"/>
        <c:txPr>
          <a:bodyPr rot="-5400000" vert="horz"/>
          <a:lstStyle/>
          <a:p>
            <a:pPr>
              <a:defRPr/>
            </a:pPr>
            <a:endParaRPr lang="en-US"/>
          </a:p>
        </c:txPr>
        <c:crossAx val="2097249224"/>
        <c:crosses val="autoZero"/>
        <c:auto val="1"/>
        <c:lblAlgn val="ctr"/>
        <c:lblOffset val="100"/>
        <c:noMultiLvlLbl val="0"/>
      </c:catAx>
      <c:valAx>
        <c:axId val="2097249224"/>
        <c:scaling>
          <c:orientation val="minMax"/>
        </c:scaling>
        <c:delete val="0"/>
        <c:axPos val="l"/>
        <c:majorGridlines/>
        <c:numFmt formatCode="0%" sourceLinked="1"/>
        <c:majorTickMark val="out"/>
        <c:minorTickMark val="none"/>
        <c:tickLblPos val="nextTo"/>
        <c:crossAx val="2097246216"/>
        <c:crosses val="autoZero"/>
        <c:crossBetween val="between"/>
        <c:majorUnit val="0.05"/>
      </c:valAx>
    </c:plotArea>
    <c:legend>
      <c:legendPos val="r"/>
      <c:layout>
        <c:manualLayout>
          <c:xMode val="edge"/>
          <c:yMode val="edge"/>
          <c:x val="0.0706809793307087"/>
          <c:y val="0.462467577582214"/>
          <c:w val="0.380257135826772"/>
          <c:h val="0.327243322525861"/>
        </c:manualLayout>
      </c:layout>
      <c:overlay val="0"/>
    </c:legend>
    <c:plotVisOnly val="1"/>
    <c:dispBlanksAs val="gap"/>
    <c:showDLblsOverMax val="0"/>
  </c:chart>
  <c:printSettings>
    <c:headerFooter/>
    <c:pageMargins b="1.0" l="0.75" r="0.75" t="1.0"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2"/>
          <c:y val="0.0601851851851852"/>
          <c:w val="0.85592760279965"/>
          <c:h val="0.907407407407407"/>
        </c:manualLayout>
      </c:layout>
      <c:lineChart>
        <c:grouping val="standard"/>
        <c:varyColors val="0"/>
        <c:ser>
          <c:idx val="0"/>
          <c:order val="0"/>
          <c:tx>
            <c:v>MNE trade balance, related</c:v>
          </c:tx>
          <c:marker>
            <c:symbol val="none"/>
          </c:marker>
          <c:cat>
            <c:numRef>
              <c:f>DataF9!$A$18:$A$49</c:f>
              <c:numCache>
                <c:formatCode>General</c:formatCode>
                <c:ptCount val="32"/>
                <c:pt idx="0">
                  <c:v>1983.0</c:v>
                </c:pt>
                <c:pt idx="1">
                  <c:v>1984.0</c:v>
                </c:pt>
                <c:pt idx="2">
                  <c:v>1985.0</c:v>
                </c:pt>
                <c:pt idx="3">
                  <c:v>1986.0</c:v>
                </c:pt>
                <c:pt idx="4">
                  <c:v>1987.0</c:v>
                </c:pt>
                <c:pt idx="5">
                  <c:v>1988.0</c:v>
                </c:pt>
                <c:pt idx="6">
                  <c:v>1989.0</c:v>
                </c:pt>
                <c:pt idx="7">
                  <c:v>1990.0</c:v>
                </c:pt>
                <c:pt idx="8">
                  <c:v>1991.0</c:v>
                </c:pt>
                <c:pt idx="9">
                  <c:v>1992.0</c:v>
                </c:pt>
                <c:pt idx="10">
                  <c:v>1993.0</c:v>
                </c:pt>
                <c:pt idx="11">
                  <c:v>1994.0</c:v>
                </c:pt>
                <c:pt idx="12">
                  <c:v>1995.0</c:v>
                </c:pt>
                <c:pt idx="13">
                  <c:v>1996.0</c:v>
                </c:pt>
                <c:pt idx="14">
                  <c:v>1997.0</c:v>
                </c:pt>
                <c:pt idx="15">
                  <c:v>1998.0</c:v>
                </c:pt>
                <c:pt idx="16">
                  <c:v>1999.0</c:v>
                </c:pt>
                <c:pt idx="17">
                  <c:v>2000.0</c:v>
                </c:pt>
                <c:pt idx="18">
                  <c:v>2001.0</c:v>
                </c:pt>
                <c:pt idx="19">
                  <c:v>2002.0</c:v>
                </c:pt>
                <c:pt idx="20">
                  <c:v>2003.0</c:v>
                </c:pt>
                <c:pt idx="21">
                  <c:v>2004.0</c:v>
                </c:pt>
                <c:pt idx="22">
                  <c:v>2005.0</c:v>
                </c:pt>
                <c:pt idx="23">
                  <c:v>2006.0</c:v>
                </c:pt>
                <c:pt idx="24">
                  <c:v>2007.0</c:v>
                </c:pt>
                <c:pt idx="25">
                  <c:v>2008.0</c:v>
                </c:pt>
                <c:pt idx="26">
                  <c:v>2009.0</c:v>
                </c:pt>
                <c:pt idx="27">
                  <c:v>2010.0</c:v>
                </c:pt>
                <c:pt idx="28">
                  <c:v>2011.0</c:v>
                </c:pt>
                <c:pt idx="29">
                  <c:v>2012.0</c:v>
                </c:pt>
                <c:pt idx="30">
                  <c:v>2013.0</c:v>
                </c:pt>
                <c:pt idx="31">
                  <c:v>2014.0</c:v>
                </c:pt>
              </c:numCache>
            </c:numRef>
          </c:cat>
          <c:val>
            <c:numRef>
              <c:f>DataF9!$DK$18:$DK$49</c:f>
              <c:numCache>
                <c:formatCode>0%</c:formatCode>
                <c:ptCount val="32"/>
                <c:pt idx="0">
                  <c:v>0.0105405102845867</c:v>
                </c:pt>
                <c:pt idx="1">
                  <c:v>0.0187829834556225</c:v>
                </c:pt>
                <c:pt idx="2">
                  <c:v>0.0133327469107843</c:v>
                </c:pt>
                <c:pt idx="3">
                  <c:v>0.0113005861464683</c:v>
                </c:pt>
                <c:pt idx="4">
                  <c:v>0.0149792982764843</c:v>
                </c:pt>
                <c:pt idx="5">
                  <c:v>0.00259698716672367</c:v>
                </c:pt>
                <c:pt idx="6">
                  <c:v>0.0150471984274486</c:v>
                </c:pt>
                <c:pt idx="7">
                  <c:v>0.00956555122744622</c:v>
                </c:pt>
                <c:pt idx="8">
                  <c:v>-0.00277358495175899</c:v>
                </c:pt>
                <c:pt idx="9">
                  <c:v>-0.00580893774945785</c:v>
                </c:pt>
                <c:pt idx="10">
                  <c:v>-0.00574531214467001</c:v>
                </c:pt>
                <c:pt idx="11">
                  <c:v>0.00112161194544606</c:v>
                </c:pt>
                <c:pt idx="12">
                  <c:v>-0.0182487321328585</c:v>
                </c:pt>
                <c:pt idx="13">
                  <c:v>-0.0186126750648152</c:v>
                </c:pt>
                <c:pt idx="14">
                  <c:v>-0.0188604175171551</c:v>
                </c:pt>
                <c:pt idx="15">
                  <c:v>-0.0442892687241247</c:v>
                </c:pt>
                <c:pt idx="16">
                  <c:v>-0.0290448429005332</c:v>
                </c:pt>
                <c:pt idx="17">
                  <c:v>-0.0458814013075542</c:v>
                </c:pt>
                <c:pt idx="18">
                  <c:v>-0.0681552707456885</c:v>
                </c:pt>
                <c:pt idx="19">
                  <c:v>-0.0869808791280194</c:v>
                </c:pt>
                <c:pt idx="20">
                  <c:v>-0.0799766407575726</c:v>
                </c:pt>
                <c:pt idx="21">
                  <c:v>-0.0670570138141715</c:v>
                </c:pt>
                <c:pt idx="22">
                  <c:v>-0.0738946106123983</c:v>
                </c:pt>
                <c:pt idx="23">
                  <c:v>-0.0691862470482705</c:v>
                </c:pt>
                <c:pt idx="24">
                  <c:v>-0.0626563327766317</c:v>
                </c:pt>
                <c:pt idx="25">
                  <c:v>-0.0690905930618604</c:v>
                </c:pt>
                <c:pt idx="26">
                  <c:v>-0.0811957384211111</c:v>
                </c:pt>
                <c:pt idx="27">
                  <c:v>-0.101692795914047</c:v>
                </c:pt>
                <c:pt idx="28">
                  <c:v>-0.102738910028954</c:v>
                </c:pt>
                <c:pt idx="29">
                  <c:v>-0.105123705884018</c:v>
                </c:pt>
                <c:pt idx="30">
                  <c:v>-0.0890037563974022</c:v>
                </c:pt>
                <c:pt idx="31">
                  <c:v>-0.109820862777876</c:v>
                </c:pt>
              </c:numCache>
            </c:numRef>
          </c:val>
          <c:smooth val="0"/>
          <c:extLst xmlns:c16r2="http://schemas.microsoft.com/office/drawing/2015/06/chart">
            <c:ext xmlns:c16="http://schemas.microsoft.com/office/drawing/2014/chart" uri="{C3380CC4-5D6E-409C-BE32-E72D297353CC}">
              <c16:uniqueId val="{00000000-0191-4D52-93BB-7586947FFB0C}"/>
            </c:ext>
          </c:extLst>
        </c:ser>
        <c:ser>
          <c:idx val="1"/>
          <c:order val="1"/>
          <c:tx>
            <c:v>MNE trade balance, unrelated</c:v>
          </c:tx>
          <c:marker>
            <c:symbol val="none"/>
          </c:marker>
          <c:cat>
            <c:numRef>
              <c:f>DataF9!$A$18:$A$49</c:f>
              <c:numCache>
                <c:formatCode>General</c:formatCode>
                <c:ptCount val="32"/>
                <c:pt idx="0">
                  <c:v>1983.0</c:v>
                </c:pt>
                <c:pt idx="1">
                  <c:v>1984.0</c:v>
                </c:pt>
                <c:pt idx="2">
                  <c:v>1985.0</c:v>
                </c:pt>
                <c:pt idx="3">
                  <c:v>1986.0</c:v>
                </c:pt>
                <c:pt idx="4">
                  <c:v>1987.0</c:v>
                </c:pt>
                <c:pt idx="5">
                  <c:v>1988.0</c:v>
                </c:pt>
                <c:pt idx="6">
                  <c:v>1989.0</c:v>
                </c:pt>
                <c:pt idx="7">
                  <c:v>1990.0</c:v>
                </c:pt>
                <c:pt idx="8">
                  <c:v>1991.0</c:v>
                </c:pt>
                <c:pt idx="9">
                  <c:v>1992.0</c:v>
                </c:pt>
                <c:pt idx="10">
                  <c:v>1993.0</c:v>
                </c:pt>
                <c:pt idx="11">
                  <c:v>1994.0</c:v>
                </c:pt>
                <c:pt idx="12">
                  <c:v>1995.0</c:v>
                </c:pt>
                <c:pt idx="13">
                  <c:v>1996.0</c:v>
                </c:pt>
                <c:pt idx="14">
                  <c:v>1997.0</c:v>
                </c:pt>
                <c:pt idx="15">
                  <c:v>1998.0</c:v>
                </c:pt>
                <c:pt idx="16">
                  <c:v>1999.0</c:v>
                </c:pt>
                <c:pt idx="17">
                  <c:v>2000.0</c:v>
                </c:pt>
                <c:pt idx="18">
                  <c:v>2001.0</c:v>
                </c:pt>
                <c:pt idx="19">
                  <c:v>2002.0</c:v>
                </c:pt>
                <c:pt idx="20">
                  <c:v>2003.0</c:v>
                </c:pt>
                <c:pt idx="21">
                  <c:v>2004.0</c:v>
                </c:pt>
                <c:pt idx="22">
                  <c:v>2005.0</c:v>
                </c:pt>
                <c:pt idx="23">
                  <c:v>2006.0</c:v>
                </c:pt>
                <c:pt idx="24">
                  <c:v>2007.0</c:v>
                </c:pt>
                <c:pt idx="25">
                  <c:v>2008.0</c:v>
                </c:pt>
                <c:pt idx="26">
                  <c:v>2009.0</c:v>
                </c:pt>
                <c:pt idx="27">
                  <c:v>2010.0</c:v>
                </c:pt>
                <c:pt idx="28">
                  <c:v>2011.0</c:v>
                </c:pt>
                <c:pt idx="29">
                  <c:v>2012.0</c:v>
                </c:pt>
                <c:pt idx="30">
                  <c:v>2013.0</c:v>
                </c:pt>
                <c:pt idx="31">
                  <c:v>2014.0</c:v>
                </c:pt>
              </c:numCache>
            </c:numRef>
          </c:cat>
          <c:val>
            <c:numRef>
              <c:f>DataF9!$DM$18:$DM$49</c:f>
              <c:numCache>
                <c:formatCode>0%</c:formatCode>
                <c:ptCount val="32"/>
                <c:pt idx="0">
                  <c:v>0.00121137769773033</c:v>
                </c:pt>
                <c:pt idx="1">
                  <c:v>-0.000601700996939121</c:v>
                </c:pt>
                <c:pt idx="2">
                  <c:v>0.000320890703788493</c:v>
                </c:pt>
                <c:pt idx="3">
                  <c:v>0.000435927655501743</c:v>
                </c:pt>
                <c:pt idx="4">
                  <c:v>0.00477700756793961</c:v>
                </c:pt>
                <c:pt idx="5">
                  <c:v>0.00316044930155384</c:v>
                </c:pt>
                <c:pt idx="6">
                  <c:v>0.00666777383627179</c:v>
                </c:pt>
                <c:pt idx="7">
                  <c:v>0.00292426667795351</c:v>
                </c:pt>
                <c:pt idx="8">
                  <c:v>0.00180283021864335</c:v>
                </c:pt>
                <c:pt idx="9">
                  <c:v>-0.000494377680804924</c:v>
                </c:pt>
                <c:pt idx="10">
                  <c:v>0.00277877842291229</c:v>
                </c:pt>
                <c:pt idx="11">
                  <c:v>0.00293344662655122</c:v>
                </c:pt>
                <c:pt idx="12">
                  <c:v>0.00190723091174768</c:v>
                </c:pt>
                <c:pt idx="13">
                  <c:v>0.00287362830320802</c:v>
                </c:pt>
                <c:pt idx="14">
                  <c:v>0.00155761450685852</c:v>
                </c:pt>
                <c:pt idx="15">
                  <c:v>0.0015536200504579</c:v>
                </c:pt>
                <c:pt idx="16">
                  <c:v>0.00130595494394171</c:v>
                </c:pt>
                <c:pt idx="17">
                  <c:v>0.00353511615443995</c:v>
                </c:pt>
                <c:pt idx="18">
                  <c:v>0.00626841538120894</c:v>
                </c:pt>
                <c:pt idx="19">
                  <c:v>0.000226655179684838</c:v>
                </c:pt>
                <c:pt idx="20">
                  <c:v>-0.00106830311321338</c:v>
                </c:pt>
                <c:pt idx="21">
                  <c:v>-0.00247060300107593</c:v>
                </c:pt>
                <c:pt idx="22">
                  <c:v>-0.00220143770268365</c:v>
                </c:pt>
                <c:pt idx="23">
                  <c:v>0.00140853584763943</c:v>
                </c:pt>
                <c:pt idx="24">
                  <c:v>0.00200349169762739</c:v>
                </c:pt>
                <c:pt idx="25">
                  <c:v>-0.00958429653687823</c:v>
                </c:pt>
                <c:pt idx="26">
                  <c:v>0.00541248366029348</c:v>
                </c:pt>
                <c:pt idx="27">
                  <c:v>0.00721504265292697</c:v>
                </c:pt>
                <c:pt idx="28">
                  <c:v>0.00337503013769361</c:v>
                </c:pt>
                <c:pt idx="29">
                  <c:v>0.00201045378791626</c:v>
                </c:pt>
                <c:pt idx="30">
                  <c:v>0.00411667449527804</c:v>
                </c:pt>
                <c:pt idx="31">
                  <c:v>0.00744521767269001</c:v>
                </c:pt>
              </c:numCache>
            </c:numRef>
          </c:val>
          <c:smooth val="0"/>
          <c:extLst xmlns:c16r2="http://schemas.microsoft.com/office/drawing/2015/06/chart">
            <c:ext xmlns:c16="http://schemas.microsoft.com/office/drawing/2014/chart" uri="{C3380CC4-5D6E-409C-BE32-E72D297353CC}">
              <c16:uniqueId val="{00000001-0191-4D52-93BB-7586947FFB0C}"/>
            </c:ext>
          </c:extLst>
        </c:ser>
        <c:dLbls>
          <c:showLegendKey val="0"/>
          <c:showVal val="0"/>
          <c:showCatName val="0"/>
          <c:showSerName val="0"/>
          <c:showPercent val="0"/>
          <c:showBubbleSize val="0"/>
        </c:dLbls>
        <c:marker val="1"/>
        <c:smooth val="0"/>
        <c:axId val="-2096125848"/>
        <c:axId val="-2096122872"/>
      </c:lineChart>
      <c:catAx>
        <c:axId val="-2096125848"/>
        <c:scaling>
          <c:orientation val="minMax"/>
        </c:scaling>
        <c:delete val="0"/>
        <c:axPos val="b"/>
        <c:numFmt formatCode="General" sourceLinked="1"/>
        <c:majorTickMark val="out"/>
        <c:minorTickMark val="none"/>
        <c:tickLblPos val="nextTo"/>
        <c:crossAx val="-2096122872"/>
        <c:crosses val="autoZero"/>
        <c:auto val="1"/>
        <c:lblAlgn val="ctr"/>
        <c:lblOffset val="100"/>
        <c:noMultiLvlLbl val="0"/>
      </c:catAx>
      <c:valAx>
        <c:axId val="-2096122872"/>
        <c:scaling>
          <c:orientation val="minMax"/>
        </c:scaling>
        <c:delete val="0"/>
        <c:axPos val="l"/>
        <c:majorGridlines/>
        <c:numFmt formatCode="0%" sourceLinked="1"/>
        <c:majorTickMark val="out"/>
        <c:minorTickMark val="none"/>
        <c:tickLblPos val="nextTo"/>
        <c:crossAx val="-2096125848"/>
        <c:crosses val="autoZero"/>
        <c:crossBetween val="between"/>
      </c:valAx>
    </c:plotArea>
    <c:legend>
      <c:legendPos val="r"/>
      <c:layout>
        <c:manualLayout>
          <c:xMode val="edge"/>
          <c:yMode val="edge"/>
          <c:x val="0.179592738407699"/>
          <c:y val="0.58719524642753"/>
          <c:w val="0.312073928258968"/>
          <c:h val="0.297831729367162"/>
        </c:manualLayout>
      </c:layout>
      <c:overlay val="0"/>
    </c:legend>
    <c:plotVisOnly val="1"/>
    <c:dispBlanksAs val="gap"/>
    <c:showDLblsOverMax val="0"/>
  </c:chart>
  <c:printSettings>
    <c:headerFooter/>
    <c:pageMargins b="1.0" l="0.75" r="0.75" t="1.0"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Taxable</a:t>
            </a:r>
            <a:r>
              <a:rPr lang="en-US" baseline="0"/>
              <a:t> profits / compensation of employees</a:t>
            </a:r>
            <a:endParaRPr lang="en-US"/>
          </a:p>
        </c:rich>
      </c:tx>
      <c:layout>
        <c:manualLayout>
          <c:xMode val="edge"/>
          <c:yMode val="edge"/>
          <c:x val="0.1845260279965"/>
          <c:y val="0.0362537721229188"/>
        </c:manualLayout>
      </c:layout>
      <c:overlay val="0"/>
    </c:title>
    <c:autoTitleDeleted val="0"/>
    <c:plotArea>
      <c:layout>
        <c:manualLayout>
          <c:layoutTarget val="inner"/>
          <c:xMode val="edge"/>
          <c:yMode val="edge"/>
          <c:x val="0.107303587051619"/>
          <c:y val="0.290936521286424"/>
          <c:w val="0.819328302712161"/>
          <c:h val="0.555665062246942"/>
        </c:manualLayout>
      </c:layout>
      <c:lineChart>
        <c:grouping val="standard"/>
        <c:varyColors val="0"/>
        <c:ser>
          <c:idx val="0"/>
          <c:order val="0"/>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DataF9!$AR$5:$AR$50</c:f>
              <c:numCache>
                <c:formatCode>0%</c:formatCode>
                <c:ptCount val="46"/>
                <c:pt idx="0">
                  <c:v>0.230802689355303</c:v>
                </c:pt>
                <c:pt idx="1">
                  <c:v>0.218008520826155</c:v>
                </c:pt>
                <c:pt idx="2">
                  <c:v>0.267805368940518</c:v>
                </c:pt>
                <c:pt idx="3">
                  <c:v>0.313678495857883</c:v>
                </c:pt>
                <c:pt idx="4">
                  <c:v>0.308900591442647</c:v>
                </c:pt>
                <c:pt idx="5">
                  <c:v>0.257065260553243</c:v>
                </c:pt>
                <c:pt idx="6">
                  <c:v>0.312882440549649</c:v>
                </c:pt>
                <c:pt idx="7">
                  <c:v>0.363211407482666</c:v>
                </c:pt>
                <c:pt idx="8">
                  <c:v>0.368637795667393</c:v>
                </c:pt>
                <c:pt idx="9">
                  <c:v>0.34772114122129</c:v>
                </c:pt>
                <c:pt idx="10">
                  <c:v>0.272066626111744</c:v>
                </c:pt>
                <c:pt idx="11">
                  <c:v>0.322839758180684</c:v>
                </c:pt>
                <c:pt idx="12">
                  <c:v>0.31704570415383</c:v>
                </c:pt>
                <c:pt idx="13">
                  <c:v>0.34490192644405</c:v>
                </c:pt>
                <c:pt idx="14">
                  <c:v>0.404408382458586</c:v>
                </c:pt>
                <c:pt idx="15">
                  <c:v>0.451789881264015</c:v>
                </c:pt>
                <c:pt idx="16">
                  <c:v>0.4568731264887</c:v>
                </c:pt>
                <c:pt idx="17">
                  <c:v>0.486721085395032</c:v>
                </c:pt>
                <c:pt idx="18">
                  <c:v>0.510397059529391</c:v>
                </c:pt>
                <c:pt idx="19">
                  <c:v>0.557765012177858</c:v>
                </c:pt>
                <c:pt idx="20">
                  <c:v>0.541971999783351</c:v>
                </c:pt>
                <c:pt idx="21">
                  <c:v>0.530939983974337</c:v>
                </c:pt>
                <c:pt idx="22">
                  <c:v>0.539003035914728</c:v>
                </c:pt>
                <c:pt idx="23">
                  <c:v>0.594790008803713</c:v>
                </c:pt>
                <c:pt idx="24">
                  <c:v>0.673113940426424</c:v>
                </c:pt>
                <c:pt idx="25">
                  <c:v>0.837065238516932</c:v>
                </c:pt>
                <c:pt idx="26">
                  <c:v>0.790758093232367</c:v>
                </c:pt>
                <c:pt idx="27">
                  <c:v>0.947737917366196</c:v>
                </c:pt>
                <c:pt idx="28">
                  <c:v>1.352143847504216</c:v>
                </c:pt>
                <c:pt idx="29">
                  <c:v>1.347181008902077</c:v>
                </c:pt>
                <c:pt idx="30">
                  <c:v>1.460769763530227</c:v>
                </c:pt>
                <c:pt idx="31">
                  <c:v>1.41423019431988</c:v>
                </c:pt>
                <c:pt idx="32">
                  <c:v>1.526222729217168</c:v>
                </c:pt>
                <c:pt idx="33">
                  <c:v>1.471997042591957</c:v>
                </c:pt>
                <c:pt idx="34">
                  <c:v>1.37386949333852</c:v>
                </c:pt>
                <c:pt idx="35">
                  <c:v>1.275144279483678</c:v>
                </c:pt>
                <c:pt idx="36">
                  <c:v>1.2763318219044</c:v>
                </c:pt>
                <c:pt idx="37">
                  <c:v>1.304490570167439</c:v>
                </c:pt>
                <c:pt idx="38">
                  <c:v>1.029189052753038</c:v>
                </c:pt>
                <c:pt idx="39">
                  <c:v>0.985724773635696</c:v>
                </c:pt>
                <c:pt idx="40">
                  <c:v>1.199048408922258</c:v>
                </c:pt>
                <c:pt idx="41">
                  <c:v>1.271494587030569</c:v>
                </c:pt>
                <c:pt idx="42">
                  <c:v>1.305394618256727</c:v>
                </c:pt>
                <c:pt idx="43">
                  <c:v>1.323680494443649</c:v>
                </c:pt>
                <c:pt idx="44">
                  <c:v>1.426319463295459</c:v>
                </c:pt>
                <c:pt idx="45">
                  <c:v>1.765879626276526</c:v>
                </c:pt>
              </c:numCache>
            </c:numRef>
          </c:val>
          <c:smooth val="0"/>
          <c:extLst xmlns:c16r2="http://schemas.microsoft.com/office/drawing/2015/06/chart">
            <c:ext xmlns:c16="http://schemas.microsoft.com/office/drawing/2014/chart" uri="{C3380CC4-5D6E-409C-BE32-E72D297353CC}">
              <c16:uniqueId val="{00000000-429D-47FF-ADE6-C14A5810AB08}"/>
            </c:ext>
          </c:extLst>
        </c:ser>
        <c:dLbls>
          <c:showLegendKey val="0"/>
          <c:showVal val="0"/>
          <c:showCatName val="0"/>
          <c:showSerName val="0"/>
          <c:showPercent val="0"/>
          <c:showBubbleSize val="0"/>
        </c:dLbls>
        <c:marker val="1"/>
        <c:smooth val="0"/>
        <c:axId val="-2097071928"/>
        <c:axId val="-2097074856"/>
      </c:lineChart>
      <c:lineChart>
        <c:grouping val="standard"/>
        <c:varyColors val="0"/>
        <c:ser>
          <c:idx val="1"/>
          <c:order val="1"/>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DataF9!$BP$5:$BP$50</c:f>
              <c:numCache>
                <c:formatCode>General</c:formatCode>
                <c:ptCount val="46"/>
                <c:pt idx="0">
                  <c:v>50.0</c:v>
                </c:pt>
                <c:pt idx="1">
                  <c:v>50.0</c:v>
                </c:pt>
                <c:pt idx="2">
                  <c:v>50.0</c:v>
                </c:pt>
                <c:pt idx="3">
                  <c:v>50.0</c:v>
                </c:pt>
                <c:pt idx="4">
                  <c:v>50.0</c:v>
                </c:pt>
                <c:pt idx="5">
                  <c:v>50.0</c:v>
                </c:pt>
                <c:pt idx="6">
                  <c:v>50.0</c:v>
                </c:pt>
                <c:pt idx="7">
                  <c:v>45.0</c:v>
                </c:pt>
                <c:pt idx="8">
                  <c:v>45.0</c:v>
                </c:pt>
                <c:pt idx="9">
                  <c:v>45.0</c:v>
                </c:pt>
                <c:pt idx="10">
                  <c:v>45.0</c:v>
                </c:pt>
                <c:pt idx="11">
                  <c:v>45.0</c:v>
                </c:pt>
                <c:pt idx="12">
                  <c:v>50.0</c:v>
                </c:pt>
                <c:pt idx="13">
                  <c:v>50.0</c:v>
                </c:pt>
                <c:pt idx="14">
                  <c:v>50.0</c:v>
                </c:pt>
                <c:pt idx="15">
                  <c:v>50.0</c:v>
                </c:pt>
                <c:pt idx="16">
                  <c:v>50.0</c:v>
                </c:pt>
                <c:pt idx="17">
                  <c:v>50.0</c:v>
                </c:pt>
                <c:pt idx="18">
                  <c:v>47.0</c:v>
                </c:pt>
                <c:pt idx="19">
                  <c:v>43.0</c:v>
                </c:pt>
                <c:pt idx="20">
                  <c:v>43.0</c:v>
                </c:pt>
                <c:pt idx="21">
                  <c:v>40.0</c:v>
                </c:pt>
                <c:pt idx="22">
                  <c:v>40.0</c:v>
                </c:pt>
                <c:pt idx="23">
                  <c:v>40.0</c:v>
                </c:pt>
                <c:pt idx="24">
                  <c:v>40.0</c:v>
                </c:pt>
                <c:pt idx="25">
                  <c:v>38.0</c:v>
                </c:pt>
                <c:pt idx="26">
                  <c:v>36.0</c:v>
                </c:pt>
                <c:pt idx="27">
                  <c:v>36.0</c:v>
                </c:pt>
                <c:pt idx="28">
                  <c:v>32.0</c:v>
                </c:pt>
                <c:pt idx="29">
                  <c:v>28.0</c:v>
                </c:pt>
                <c:pt idx="30">
                  <c:v>24.0</c:v>
                </c:pt>
                <c:pt idx="31">
                  <c:v>20.0</c:v>
                </c:pt>
                <c:pt idx="32">
                  <c:v>16.0</c:v>
                </c:pt>
                <c:pt idx="33">
                  <c:v>12.5</c:v>
                </c:pt>
                <c:pt idx="34">
                  <c:v>12.5</c:v>
                </c:pt>
                <c:pt idx="35">
                  <c:v>12.5</c:v>
                </c:pt>
                <c:pt idx="36">
                  <c:v>12.5</c:v>
                </c:pt>
                <c:pt idx="37">
                  <c:v>12.5</c:v>
                </c:pt>
                <c:pt idx="38">
                  <c:v>12.5</c:v>
                </c:pt>
                <c:pt idx="39">
                  <c:v>12.5</c:v>
                </c:pt>
                <c:pt idx="40">
                  <c:v>12.5</c:v>
                </c:pt>
                <c:pt idx="41">
                  <c:v>12.5</c:v>
                </c:pt>
                <c:pt idx="42">
                  <c:v>12.5</c:v>
                </c:pt>
                <c:pt idx="43">
                  <c:v>12.5</c:v>
                </c:pt>
                <c:pt idx="44">
                  <c:v>12.5</c:v>
                </c:pt>
                <c:pt idx="45">
                  <c:v>12.5</c:v>
                </c:pt>
              </c:numCache>
            </c:numRef>
          </c:val>
          <c:smooth val="0"/>
          <c:extLst xmlns:c16r2="http://schemas.microsoft.com/office/drawing/2015/06/chart">
            <c:ext xmlns:c16="http://schemas.microsoft.com/office/drawing/2014/chart" uri="{C3380CC4-5D6E-409C-BE32-E72D297353CC}">
              <c16:uniqueId val="{00000001-429D-47FF-ADE6-C14A5810AB08}"/>
            </c:ext>
          </c:extLst>
        </c:ser>
        <c:dLbls>
          <c:showLegendKey val="0"/>
          <c:showVal val="0"/>
          <c:showCatName val="0"/>
          <c:showSerName val="0"/>
          <c:showPercent val="0"/>
          <c:showBubbleSize val="0"/>
        </c:dLbls>
        <c:marker val="1"/>
        <c:smooth val="0"/>
        <c:axId val="-2097081256"/>
        <c:axId val="-2097077992"/>
      </c:lineChart>
      <c:catAx>
        <c:axId val="-2097071928"/>
        <c:scaling>
          <c:orientation val="minMax"/>
        </c:scaling>
        <c:delete val="0"/>
        <c:axPos val="b"/>
        <c:numFmt formatCode="General" sourceLinked="1"/>
        <c:majorTickMark val="out"/>
        <c:minorTickMark val="none"/>
        <c:tickLblPos val="nextTo"/>
        <c:crossAx val="-2097074856"/>
        <c:crosses val="autoZero"/>
        <c:auto val="1"/>
        <c:lblAlgn val="ctr"/>
        <c:lblOffset val="100"/>
        <c:noMultiLvlLbl val="0"/>
      </c:catAx>
      <c:valAx>
        <c:axId val="-2097074856"/>
        <c:scaling>
          <c:orientation val="minMax"/>
        </c:scaling>
        <c:delete val="0"/>
        <c:axPos val="l"/>
        <c:majorGridlines/>
        <c:numFmt formatCode="0%" sourceLinked="1"/>
        <c:majorTickMark val="out"/>
        <c:minorTickMark val="none"/>
        <c:tickLblPos val="nextTo"/>
        <c:crossAx val="-2097071928"/>
        <c:crosses val="autoZero"/>
        <c:crossBetween val="between"/>
      </c:valAx>
      <c:valAx>
        <c:axId val="-2097077992"/>
        <c:scaling>
          <c:orientation val="minMax"/>
        </c:scaling>
        <c:delete val="0"/>
        <c:axPos val="r"/>
        <c:numFmt formatCode="General" sourceLinked="1"/>
        <c:majorTickMark val="out"/>
        <c:minorTickMark val="none"/>
        <c:tickLblPos val="nextTo"/>
        <c:crossAx val="-2097081256"/>
        <c:crosses val="max"/>
        <c:crossBetween val="between"/>
      </c:valAx>
      <c:catAx>
        <c:axId val="-2097081256"/>
        <c:scaling>
          <c:orientation val="minMax"/>
        </c:scaling>
        <c:delete val="1"/>
        <c:axPos val="b"/>
        <c:numFmt formatCode="General" sourceLinked="1"/>
        <c:majorTickMark val="out"/>
        <c:minorTickMark val="none"/>
        <c:tickLblPos val="nextTo"/>
        <c:crossAx val="-2097077992"/>
        <c:crosses val="autoZero"/>
        <c:auto val="1"/>
        <c:lblAlgn val="ctr"/>
        <c:lblOffset val="100"/>
        <c:noMultiLvlLbl val="0"/>
      </c:catAx>
    </c:plotArea>
    <c:plotVisOnly val="1"/>
    <c:dispBlanksAs val="gap"/>
    <c:showDLblsOverMax val="0"/>
  </c:chart>
  <c:printSettings>
    <c:headerFooter/>
    <c:pageMargins b="1.0" l="0.75" r="0.75" t="1.0"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latin typeface="Garamond" panose="02020404030301010803" pitchFamily="18" charset="0"/>
              </a:defRPr>
            </a:pPr>
            <a:r>
              <a:rPr lang="en-US" sz="2200" b="1">
                <a:latin typeface="Garamond" panose="02020404030301010803" pitchFamily="18" charset="0"/>
              </a:rPr>
              <a:t>Corporate income tax revenue                                                    </a:t>
            </a:r>
            <a:r>
              <a:rPr lang="en-US" sz="2200" b="0">
                <a:latin typeface="Garamond" panose="02020404030301010803" pitchFamily="18" charset="0"/>
              </a:rPr>
              <a:t>(% net national</a:t>
            </a:r>
            <a:r>
              <a:rPr lang="en-US" sz="2200" b="0" baseline="0">
                <a:latin typeface="Garamond" panose="02020404030301010803" pitchFamily="18" charset="0"/>
              </a:rPr>
              <a:t> income</a:t>
            </a:r>
            <a:r>
              <a:rPr lang="en-US" sz="2200" b="0">
                <a:latin typeface="Garamond" panose="02020404030301010803" pitchFamily="18" charset="0"/>
              </a:rPr>
              <a:t>)</a:t>
            </a:r>
          </a:p>
        </c:rich>
      </c:tx>
      <c:layout>
        <c:manualLayout>
          <c:xMode val="edge"/>
          <c:yMode val="edge"/>
          <c:x val="0.351526690198208"/>
          <c:y val="0.00223946271421955"/>
        </c:manualLayout>
      </c:layout>
      <c:overlay val="0"/>
    </c:title>
    <c:autoTitleDeleted val="0"/>
    <c:plotArea>
      <c:layout>
        <c:manualLayout>
          <c:layoutTarget val="inner"/>
          <c:xMode val="edge"/>
          <c:yMode val="edge"/>
          <c:x val="0.072287753069129"/>
          <c:y val="0.13112238088883"/>
          <c:w val="0.92165104534347"/>
          <c:h val="0.772299319485517"/>
        </c:manualLayout>
      </c:layout>
      <c:lineChart>
        <c:grouping val="standard"/>
        <c:varyColors val="0"/>
        <c:ser>
          <c:idx val="1"/>
          <c:order val="0"/>
          <c:tx>
            <c:v>Ireland</c:v>
          </c:tx>
          <c:spPr>
            <a:ln w="15875">
              <a:solidFill>
                <a:schemeClr val="tx1"/>
              </a:solidFill>
            </a:ln>
          </c:spPr>
          <c:marker>
            <c:symbol val="circle"/>
            <c:size val="10"/>
            <c:spPr>
              <a:solidFill>
                <a:schemeClr val="accent2">
                  <a:lumMod val="60000"/>
                  <a:lumOff val="40000"/>
                </a:schemeClr>
              </a:solidFill>
              <a:ln>
                <a:solidFill>
                  <a:schemeClr val="tx1"/>
                </a:solidFill>
              </a:ln>
            </c:spPr>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DataF9!$BH$5:$BH$50</c:f>
              <c:numCache>
                <c:formatCode>0.0%</c:formatCode>
                <c:ptCount val="46"/>
                <c:pt idx="0">
                  <c:v>0.0259051168297123</c:v>
                </c:pt>
                <c:pt idx="1">
                  <c:v>0.0187623322234628</c:v>
                </c:pt>
                <c:pt idx="2">
                  <c:v>0.0164146763217989</c:v>
                </c:pt>
                <c:pt idx="3">
                  <c:v>0.0164204106336825</c:v>
                </c:pt>
                <c:pt idx="4">
                  <c:v>0.0205132691740517</c:v>
                </c:pt>
                <c:pt idx="5">
                  <c:v>0.0142330869273797</c:v>
                </c:pt>
                <c:pt idx="6">
                  <c:v>0.0144566159154384</c:v>
                </c:pt>
                <c:pt idx="7">
                  <c:v>0.0129157083688016</c:v>
                </c:pt>
                <c:pt idx="8">
                  <c:v>0.0151563626063436</c:v>
                </c:pt>
                <c:pt idx="9">
                  <c:v>0.0170345768594503</c:v>
                </c:pt>
                <c:pt idx="10">
                  <c:v>0.0149478875860461</c:v>
                </c:pt>
                <c:pt idx="11">
                  <c:v>0.0172750962535587</c:v>
                </c:pt>
                <c:pt idx="12">
                  <c:v>0.017240313421112</c:v>
                </c:pt>
                <c:pt idx="13">
                  <c:v>0.0146867648993342</c:v>
                </c:pt>
                <c:pt idx="14">
                  <c:v>0.0130798940777867</c:v>
                </c:pt>
                <c:pt idx="15">
                  <c:v>0.0126117765080824</c:v>
                </c:pt>
                <c:pt idx="16">
                  <c:v>0.0139932014161852</c:v>
                </c:pt>
                <c:pt idx="17">
                  <c:v>0.0131744575851236</c:v>
                </c:pt>
                <c:pt idx="18">
                  <c:v>0.0162943215250585</c:v>
                </c:pt>
                <c:pt idx="19">
                  <c:v>0.01360176607438</c:v>
                </c:pt>
                <c:pt idx="20">
                  <c:v>0.0193094023609003</c:v>
                </c:pt>
                <c:pt idx="21">
                  <c:v>0.0232225226290563</c:v>
                </c:pt>
                <c:pt idx="22">
                  <c:v>0.0275492307395596</c:v>
                </c:pt>
                <c:pt idx="23">
                  <c:v>0.0325931908330831</c:v>
                </c:pt>
                <c:pt idx="24">
                  <c:v>0.0362761083605814</c:v>
                </c:pt>
                <c:pt idx="25">
                  <c:v>0.0332468758629727</c:v>
                </c:pt>
                <c:pt idx="26">
                  <c:v>0.0373552315256183</c:v>
                </c:pt>
                <c:pt idx="27">
                  <c:v>0.0390839395169422</c:v>
                </c:pt>
                <c:pt idx="28">
                  <c:v>0.0412328053691337</c:v>
                </c:pt>
                <c:pt idx="29">
                  <c:v>0.0489156694994742</c:v>
                </c:pt>
                <c:pt idx="30">
                  <c:v>0.047551645510968</c:v>
                </c:pt>
                <c:pt idx="31">
                  <c:v>0.0461571439680935</c:v>
                </c:pt>
                <c:pt idx="32">
                  <c:v>0.0490276962582538</c:v>
                </c:pt>
                <c:pt idx="33">
                  <c:v>0.0479548613692113</c:v>
                </c:pt>
                <c:pt idx="34">
                  <c:v>0.0465510218310166</c:v>
                </c:pt>
                <c:pt idx="35">
                  <c:v>0.0445066056171972</c:v>
                </c:pt>
                <c:pt idx="36">
                  <c:v>0.0497511232778885</c:v>
                </c:pt>
                <c:pt idx="37">
                  <c:v>0.0449700206753963</c:v>
                </c:pt>
                <c:pt idx="38">
                  <c:v>0.0374130756924529</c:v>
                </c:pt>
                <c:pt idx="39">
                  <c:v>0.033372115557766</c:v>
                </c:pt>
                <c:pt idx="40">
                  <c:v>0.0343520006966517</c:v>
                </c:pt>
                <c:pt idx="41">
                  <c:v>0.0325204132038027</c:v>
                </c:pt>
                <c:pt idx="42">
                  <c:v>0.0340064667741603</c:v>
                </c:pt>
                <c:pt idx="43">
                  <c:v>0.0342839756755022</c:v>
                </c:pt>
                <c:pt idx="44">
                  <c:v>0.034566239268258</c:v>
                </c:pt>
                <c:pt idx="45">
                  <c:v>0.0482886742078269</c:v>
                </c:pt>
              </c:numCache>
            </c:numRef>
          </c:val>
          <c:smooth val="0"/>
          <c:extLst xmlns:c16r2="http://schemas.microsoft.com/office/drawing/2015/06/chart">
            <c:ext xmlns:c16="http://schemas.microsoft.com/office/drawing/2014/chart" uri="{C3380CC4-5D6E-409C-BE32-E72D297353CC}">
              <c16:uniqueId val="{00000000-AA07-4362-B6F1-17AC27602DC4}"/>
            </c:ext>
          </c:extLst>
        </c:ser>
        <c:ser>
          <c:idx val="2"/>
          <c:order val="1"/>
          <c:tx>
            <c:v>US</c:v>
          </c:tx>
          <c:spPr>
            <a:ln w="15875">
              <a:solidFill>
                <a:schemeClr val="tx1"/>
              </a:solidFill>
            </a:ln>
          </c:spPr>
          <c:marker>
            <c:symbol val="circle"/>
            <c:size val="10"/>
            <c:spPr>
              <a:solidFill>
                <a:schemeClr val="tx2">
                  <a:lumMod val="60000"/>
                  <a:lumOff val="40000"/>
                </a:schemeClr>
              </a:solidFill>
              <a:ln>
                <a:solidFill>
                  <a:schemeClr val="tx1"/>
                </a:solidFill>
              </a:ln>
            </c:spPr>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DataF9!$BJ$5:$BJ$50</c:f>
              <c:numCache>
                <c:formatCode>0.0%</c:formatCode>
                <c:ptCount val="46"/>
                <c:pt idx="0">
                  <c:v>0.0388969258589512</c:v>
                </c:pt>
                <c:pt idx="1">
                  <c:v>0.0297286135693215</c:v>
                </c:pt>
                <c:pt idx="2">
                  <c:v>0.0326251113089938</c:v>
                </c:pt>
                <c:pt idx="3">
                  <c:v>0.0331384248210024</c:v>
                </c:pt>
                <c:pt idx="4">
                  <c:v>0.0330952028427598</c:v>
                </c:pt>
                <c:pt idx="5">
                  <c:v>0.0325911377575632</c:v>
                </c:pt>
                <c:pt idx="6">
                  <c:v>0.0301857815209314</c:v>
                </c:pt>
                <c:pt idx="7">
                  <c:v>0.0356629788180352</c:v>
                </c:pt>
                <c:pt idx="8">
                  <c:v>0.0348696980146805</c:v>
                </c:pt>
                <c:pt idx="9">
                  <c:v>0.0349114847433502</c:v>
                </c:pt>
                <c:pt idx="10">
                  <c:v>0.0323982198780287</c:v>
                </c:pt>
                <c:pt idx="11">
                  <c:v>0.0279108041585541</c:v>
                </c:pt>
                <c:pt idx="12">
                  <c:v>0.022629207153922</c:v>
                </c:pt>
                <c:pt idx="13">
                  <c:v>0.0167590263028917</c:v>
                </c:pt>
                <c:pt idx="14">
                  <c:v>0.0214094076655052</c:v>
                </c:pt>
                <c:pt idx="15">
                  <c:v>0.0218739482112806</c:v>
                </c:pt>
                <c:pt idx="16">
                  <c:v>0.0216537601995738</c:v>
                </c:pt>
                <c:pt idx="17">
                  <c:v>0.0258945911827539</c:v>
                </c:pt>
                <c:pt idx="18">
                  <c:v>0.0262807673476655</c:v>
                </c:pt>
                <c:pt idx="19">
                  <c:v>0.0271067709422442</c:v>
                </c:pt>
                <c:pt idx="20">
                  <c:v>0.0232318659279998</c:v>
                </c:pt>
                <c:pt idx="21">
                  <c:v>0.0217504483137618</c:v>
                </c:pt>
                <c:pt idx="22">
                  <c:v>0.022978344273324</c:v>
                </c:pt>
                <c:pt idx="23">
                  <c:v>0.0259588517411552</c:v>
                </c:pt>
                <c:pt idx="24">
                  <c:v>0.0270712680368718</c:v>
                </c:pt>
                <c:pt idx="25">
                  <c:v>0.0289508449726059</c:v>
                </c:pt>
                <c:pt idx="26">
                  <c:v>0.0295043047221497</c:v>
                </c:pt>
                <c:pt idx="27">
                  <c:v>0.0293318790309468</c:v>
                </c:pt>
                <c:pt idx="28">
                  <c:v>0.0270595497180965</c:v>
                </c:pt>
                <c:pt idx="29">
                  <c:v>0.0268311229638172</c:v>
                </c:pt>
                <c:pt idx="30">
                  <c:v>0.0257468283372628</c:v>
                </c:pt>
                <c:pt idx="31">
                  <c:v>0.0181209851272783</c:v>
                </c:pt>
                <c:pt idx="32">
                  <c:v>0.0166186631061377</c:v>
                </c:pt>
                <c:pt idx="33">
                  <c:v>0.0212668031872833</c:v>
                </c:pt>
                <c:pt idx="34">
                  <c:v>0.0259856369000749</c:v>
                </c:pt>
                <c:pt idx="35">
                  <c:v>0.033313137244435</c:v>
                </c:pt>
                <c:pt idx="36">
                  <c:v>0.0354192489670798</c:v>
                </c:pt>
                <c:pt idx="37">
                  <c:v>0.0313372668690246</c:v>
                </c:pt>
                <c:pt idx="38">
                  <c:v>0.0200674294726339</c:v>
                </c:pt>
                <c:pt idx="39">
                  <c:v>0.0163744320102918</c:v>
                </c:pt>
                <c:pt idx="40">
                  <c:v>0.0209623376113662</c:v>
                </c:pt>
                <c:pt idx="41">
                  <c:v>0.020532548699475</c:v>
                </c:pt>
                <c:pt idx="42">
                  <c:v>0.0232675698163122</c:v>
                </c:pt>
                <c:pt idx="43">
                  <c:v>0.0245831046466549</c:v>
                </c:pt>
                <c:pt idx="44">
                  <c:v>0.0250299091323026</c:v>
                </c:pt>
                <c:pt idx="45">
                  <c:v>0.0252716781676699</c:v>
                </c:pt>
              </c:numCache>
            </c:numRef>
          </c:val>
          <c:smooth val="0"/>
          <c:extLst xmlns:c16r2="http://schemas.microsoft.com/office/drawing/2015/06/chart">
            <c:ext xmlns:c16="http://schemas.microsoft.com/office/drawing/2014/chart" uri="{C3380CC4-5D6E-409C-BE32-E72D297353CC}">
              <c16:uniqueId val="{00000001-AA07-4362-B6F1-17AC27602DC4}"/>
            </c:ext>
          </c:extLst>
        </c:ser>
        <c:dLbls>
          <c:showLegendKey val="0"/>
          <c:showVal val="0"/>
          <c:showCatName val="0"/>
          <c:showSerName val="0"/>
          <c:showPercent val="0"/>
          <c:showBubbleSize val="0"/>
        </c:dLbls>
        <c:marker val="1"/>
        <c:smooth val="0"/>
        <c:axId val="-2128999960"/>
        <c:axId val="-2128931944"/>
      </c:lineChart>
      <c:catAx>
        <c:axId val="-2128999960"/>
        <c:scaling>
          <c:orientation val="minMax"/>
        </c:scaling>
        <c:delete val="0"/>
        <c:axPos val="b"/>
        <c:numFmt formatCode="General" sourceLinked="1"/>
        <c:majorTickMark val="none"/>
        <c:minorTickMark val="none"/>
        <c:tickLblPos val="nextTo"/>
        <c:txPr>
          <a:bodyPr/>
          <a:lstStyle/>
          <a:p>
            <a:pPr>
              <a:defRPr sz="1800">
                <a:latin typeface="Garamond" panose="02020404030301010803" pitchFamily="18" charset="0"/>
              </a:defRPr>
            </a:pPr>
            <a:endParaRPr lang="en-US"/>
          </a:p>
        </c:txPr>
        <c:crossAx val="-2128931944"/>
        <c:crosses val="autoZero"/>
        <c:auto val="1"/>
        <c:lblAlgn val="ctr"/>
        <c:lblOffset val="100"/>
        <c:tickLblSkip val="5"/>
        <c:tickMarkSkip val="5"/>
        <c:noMultiLvlLbl val="0"/>
      </c:catAx>
      <c:valAx>
        <c:axId val="-2128931944"/>
        <c:scaling>
          <c:orientation val="minMax"/>
          <c:max val="0.055"/>
          <c:min val="0.0"/>
        </c:scaling>
        <c:delete val="0"/>
        <c:axPos val="l"/>
        <c:majorGridlines>
          <c:spPr>
            <a:ln>
              <a:noFill/>
            </a:ln>
          </c:spPr>
        </c:majorGridlines>
        <c:numFmt formatCode="0%" sourceLinked="0"/>
        <c:majorTickMark val="none"/>
        <c:minorTickMark val="none"/>
        <c:tickLblPos val="nextTo"/>
        <c:txPr>
          <a:bodyPr/>
          <a:lstStyle/>
          <a:p>
            <a:pPr>
              <a:defRPr sz="1800">
                <a:latin typeface="Garamond" panose="02020404030301010803" pitchFamily="18" charset="0"/>
              </a:defRPr>
            </a:pPr>
            <a:endParaRPr lang="en-US"/>
          </a:p>
        </c:txPr>
        <c:crossAx val="-2128999960"/>
        <c:crosses val="autoZero"/>
        <c:crossBetween val="between"/>
      </c:valAx>
    </c:plotArea>
    <c:plotVisOnly val="1"/>
    <c:dispBlanksAs val="gap"/>
    <c:showDLblsOverMax val="0"/>
  </c:chart>
  <c:spPr>
    <a:ln>
      <a:noFill/>
    </a:ln>
  </c:spPr>
  <c:txPr>
    <a:bodyPr/>
    <a:lstStyle/>
    <a:p>
      <a:pPr>
        <a:defRPr>
          <a:latin typeface="Arial"/>
          <a:cs typeface="Arial"/>
        </a:defRPr>
      </a:pPr>
      <a:endParaRPr lang="en-US"/>
    </a:p>
  </c:txPr>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b="1">
                <a:latin typeface="Garamond"/>
                <a:cs typeface="Garamond"/>
              </a:rPr>
              <a:t>Corporate income tax revenue vs. tax rate in Ireland</a:t>
            </a:r>
          </a:p>
        </c:rich>
      </c:tx>
      <c:layout>
        <c:manualLayout>
          <c:xMode val="edge"/>
          <c:yMode val="edge"/>
          <c:x val="0.127928258967629"/>
          <c:y val="0.0"/>
        </c:manualLayout>
      </c:layout>
      <c:overlay val="0"/>
    </c:title>
    <c:autoTitleDeleted val="0"/>
    <c:plotArea>
      <c:layout>
        <c:manualLayout>
          <c:layoutTarget val="inner"/>
          <c:xMode val="edge"/>
          <c:yMode val="edge"/>
          <c:x val="0.0652106153397492"/>
          <c:y val="0.103722568645556"/>
          <c:w val="0.884170895304754"/>
          <c:h val="0.781465164157466"/>
        </c:manualLayout>
      </c:layout>
      <c:lineChart>
        <c:grouping val="standard"/>
        <c:varyColors val="0"/>
        <c:ser>
          <c:idx val="2"/>
          <c:order val="1"/>
          <c:tx>
            <c:v>Tax revenue, % of national income (left)</c:v>
          </c:tx>
          <c:spPr>
            <a:ln w="15875">
              <a:solidFill>
                <a:schemeClr val="tx1"/>
              </a:solidFill>
            </a:ln>
            <a:effectLst/>
          </c:spPr>
          <c:marker>
            <c:symbol val="circle"/>
            <c:size val="10"/>
            <c:spPr>
              <a:solidFill>
                <a:schemeClr val="accent2">
                  <a:lumMod val="60000"/>
                  <a:lumOff val="40000"/>
                </a:schemeClr>
              </a:solidFill>
              <a:ln>
                <a:solidFill>
                  <a:schemeClr val="tx1"/>
                </a:solidFill>
              </a:ln>
              <a:effectLst/>
            </c:spPr>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DataF9!$BH$5:$BH$50</c:f>
              <c:numCache>
                <c:formatCode>0.0%</c:formatCode>
                <c:ptCount val="46"/>
                <c:pt idx="0">
                  <c:v>0.0259051168297123</c:v>
                </c:pt>
                <c:pt idx="1">
                  <c:v>0.0187623322234628</c:v>
                </c:pt>
                <c:pt idx="2">
                  <c:v>0.0164146763217989</c:v>
                </c:pt>
                <c:pt idx="3">
                  <c:v>0.0164204106336825</c:v>
                </c:pt>
                <c:pt idx="4">
                  <c:v>0.0205132691740517</c:v>
                </c:pt>
                <c:pt idx="5">
                  <c:v>0.0142330869273797</c:v>
                </c:pt>
                <c:pt idx="6">
                  <c:v>0.0144566159154384</c:v>
                </c:pt>
                <c:pt idx="7">
                  <c:v>0.0129157083688016</c:v>
                </c:pt>
                <c:pt idx="8">
                  <c:v>0.0151563626063436</c:v>
                </c:pt>
                <c:pt idx="9">
                  <c:v>0.0170345768594503</c:v>
                </c:pt>
                <c:pt idx="10">
                  <c:v>0.0149478875860461</c:v>
                </c:pt>
                <c:pt idx="11">
                  <c:v>0.0172750962535587</c:v>
                </c:pt>
                <c:pt idx="12">
                  <c:v>0.017240313421112</c:v>
                </c:pt>
                <c:pt idx="13">
                  <c:v>0.0146867648993342</c:v>
                </c:pt>
                <c:pt idx="14">
                  <c:v>0.0130798940777867</c:v>
                </c:pt>
                <c:pt idx="15">
                  <c:v>0.0126117765080824</c:v>
                </c:pt>
                <c:pt idx="16">
                  <c:v>0.0139932014161852</c:v>
                </c:pt>
                <c:pt idx="17">
                  <c:v>0.0131744575851236</c:v>
                </c:pt>
                <c:pt idx="18">
                  <c:v>0.0162943215250585</c:v>
                </c:pt>
                <c:pt idx="19">
                  <c:v>0.01360176607438</c:v>
                </c:pt>
                <c:pt idx="20">
                  <c:v>0.0193094023609003</c:v>
                </c:pt>
                <c:pt idx="21">
                  <c:v>0.0232225226290563</c:v>
                </c:pt>
                <c:pt idx="22">
                  <c:v>0.0275492307395596</c:v>
                </c:pt>
                <c:pt idx="23">
                  <c:v>0.0325931908330831</c:v>
                </c:pt>
                <c:pt idx="24">
                  <c:v>0.0362761083605814</c:v>
                </c:pt>
                <c:pt idx="25">
                  <c:v>0.0332468758629727</c:v>
                </c:pt>
                <c:pt idx="26">
                  <c:v>0.0373552315256183</c:v>
                </c:pt>
                <c:pt idx="27">
                  <c:v>0.0390839395169422</c:v>
                </c:pt>
                <c:pt idx="28">
                  <c:v>0.0412328053691337</c:v>
                </c:pt>
                <c:pt idx="29">
                  <c:v>0.0489156694994742</c:v>
                </c:pt>
                <c:pt idx="30">
                  <c:v>0.047551645510968</c:v>
                </c:pt>
                <c:pt idx="31">
                  <c:v>0.0461571439680935</c:v>
                </c:pt>
                <c:pt idx="32">
                  <c:v>0.0490276962582538</c:v>
                </c:pt>
                <c:pt idx="33">
                  <c:v>0.0479548613692113</c:v>
                </c:pt>
                <c:pt idx="34">
                  <c:v>0.0465510218310166</c:v>
                </c:pt>
                <c:pt idx="35">
                  <c:v>0.0445066056171972</c:v>
                </c:pt>
                <c:pt idx="36">
                  <c:v>0.0497511232778885</c:v>
                </c:pt>
                <c:pt idx="37">
                  <c:v>0.0449700206753963</c:v>
                </c:pt>
                <c:pt idx="38">
                  <c:v>0.0374130756924529</c:v>
                </c:pt>
                <c:pt idx="39">
                  <c:v>0.033372115557766</c:v>
                </c:pt>
                <c:pt idx="40">
                  <c:v>0.0343520006966517</c:v>
                </c:pt>
                <c:pt idx="41">
                  <c:v>0.0325204132038027</c:v>
                </c:pt>
                <c:pt idx="42">
                  <c:v>0.0340064667741603</c:v>
                </c:pt>
                <c:pt idx="43">
                  <c:v>0.0342839756755022</c:v>
                </c:pt>
                <c:pt idx="44">
                  <c:v>0.034566239268258</c:v>
                </c:pt>
                <c:pt idx="45">
                  <c:v>0.0482886742078269</c:v>
                </c:pt>
              </c:numCache>
            </c:numRef>
          </c:val>
          <c:smooth val="0"/>
          <c:extLst xmlns:c16r2="http://schemas.microsoft.com/office/drawing/2015/06/chart">
            <c:ext xmlns:c16="http://schemas.microsoft.com/office/drawing/2014/chart" uri="{C3380CC4-5D6E-409C-BE32-E72D297353CC}">
              <c16:uniqueId val="{00000000-2E25-4C81-9A62-F5165D9C617A}"/>
            </c:ext>
          </c:extLst>
        </c:ser>
        <c:dLbls>
          <c:showLegendKey val="0"/>
          <c:showVal val="0"/>
          <c:showCatName val="0"/>
          <c:showSerName val="0"/>
          <c:showPercent val="0"/>
          <c:showBubbleSize val="0"/>
        </c:dLbls>
        <c:marker val="1"/>
        <c:smooth val="0"/>
        <c:axId val="-2129085608"/>
        <c:axId val="-2129480296"/>
      </c:lineChart>
      <c:lineChart>
        <c:grouping val="standard"/>
        <c:varyColors val="0"/>
        <c:ser>
          <c:idx val="1"/>
          <c:order val="0"/>
          <c:tx>
            <c:v>Corporate tax rate (right)</c:v>
          </c:tx>
          <c:spPr>
            <a:ln w="25400">
              <a:solidFill>
                <a:schemeClr val="tx1"/>
              </a:solidFill>
            </a:ln>
          </c:spPr>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DataF9!$BP$5:$BP$50</c:f>
              <c:numCache>
                <c:formatCode>General</c:formatCode>
                <c:ptCount val="46"/>
                <c:pt idx="0">
                  <c:v>50.0</c:v>
                </c:pt>
                <c:pt idx="1">
                  <c:v>50.0</c:v>
                </c:pt>
                <c:pt idx="2">
                  <c:v>50.0</c:v>
                </c:pt>
                <c:pt idx="3">
                  <c:v>50.0</c:v>
                </c:pt>
                <c:pt idx="4">
                  <c:v>50.0</c:v>
                </c:pt>
                <c:pt idx="5">
                  <c:v>50.0</c:v>
                </c:pt>
                <c:pt idx="6">
                  <c:v>50.0</c:v>
                </c:pt>
                <c:pt idx="7">
                  <c:v>45.0</c:v>
                </c:pt>
                <c:pt idx="8">
                  <c:v>45.0</c:v>
                </c:pt>
                <c:pt idx="9">
                  <c:v>45.0</c:v>
                </c:pt>
                <c:pt idx="10">
                  <c:v>45.0</c:v>
                </c:pt>
                <c:pt idx="11">
                  <c:v>45.0</c:v>
                </c:pt>
                <c:pt idx="12">
                  <c:v>50.0</c:v>
                </c:pt>
                <c:pt idx="13">
                  <c:v>50.0</c:v>
                </c:pt>
                <c:pt idx="14">
                  <c:v>50.0</c:v>
                </c:pt>
                <c:pt idx="15">
                  <c:v>50.0</c:v>
                </c:pt>
                <c:pt idx="16">
                  <c:v>50.0</c:v>
                </c:pt>
                <c:pt idx="17">
                  <c:v>50.0</c:v>
                </c:pt>
                <c:pt idx="18">
                  <c:v>47.0</c:v>
                </c:pt>
                <c:pt idx="19">
                  <c:v>43.0</c:v>
                </c:pt>
                <c:pt idx="20">
                  <c:v>43.0</c:v>
                </c:pt>
                <c:pt idx="21">
                  <c:v>40.0</c:v>
                </c:pt>
                <c:pt idx="22">
                  <c:v>40.0</c:v>
                </c:pt>
                <c:pt idx="23">
                  <c:v>40.0</c:v>
                </c:pt>
                <c:pt idx="24">
                  <c:v>40.0</c:v>
                </c:pt>
                <c:pt idx="25">
                  <c:v>38.0</c:v>
                </c:pt>
                <c:pt idx="26">
                  <c:v>36.0</c:v>
                </c:pt>
                <c:pt idx="27">
                  <c:v>36.0</c:v>
                </c:pt>
                <c:pt idx="28">
                  <c:v>32.0</c:v>
                </c:pt>
                <c:pt idx="29">
                  <c:v>28.0</c:v>
                </c:pt>
                <c:pt idx="30">
                  <c:v>24.0</c:v>
                </c:pt>
                <c:pt idx="31">
                  <c:v>20.0</c:v>
                </c:pt>
                <c:pt idx="32">
                  <c:v>16.0</c:v>
                </c:pt>
                <c:pt idx="33">
                  <c:v>12.5</c:v>
                </c:pt>
                <c:pt idx="34">
                  <c:v>12.5</c:v>
                </c:pt>
                <c:pt idx="35">
                  <c:v>12.5</c:v>
                </c:pt>
                <c:pt idx="36">
                  <c:v>12.5</c:v>
                </c:pt>
                <c:pt idx="37">
                  <c:v>12.5</c:v>
                </c:pt>
                <c:pt idx="38">
                  <c:v>12.5</c:v>
                </c:pt>
                <c:pt idx="39">
                  <c:v>12.5</c:v>
                </c:pt>
                <c:pt idx="40">
                  <c:v>12.5</c:v>
                </c:pt>
                <c:pt idx="41">
                  <c:v>12.5</c:v>
                </c:pt>
                <c:pt idx="42">
                  <c:v>12.5</c:v>
                </c:pt>
                <c:pt idx="43">
                  <c:v>12.5</c:v>
                </c:pt>
                <c:pt idx="44">
                  <c:v>12.5</c:v>
                </c:pt>
                <c:pt idx="45">
                  <c:v>12.5</c:v>
                </c:pt>
              </c:numCache>
            </c:numRef>
          </c:val>
          <c:smooth val="0"/>
          <c:extLst xmlns:c16r2="http://schemas.microsoft.com/office/drawing/2015/06/chart">
            <c:ext xmlns:c16="http://schemas.microsoft.com/office/drawing/2014/chart" uri="{C3380CC4-5D6E-409C-BE32-E72D297353CC}">
              <c16:uniqueId val="{00000001-2E25-4C81-9A62-F5165D9C617A}"/>
            </c:ext>
          </c:extLst>
        </c:ser>
        <c:dLbls>
          <c:showLegendKey val="0"/>
          <c:showVal val="0"/>
          <c:showCatName val="0"/>
          <c:showSerName val="0"/>
          <c:showPercent val="0"/>
          <c:showBubbleSize val="0"/>
        </c:dLbls>
        <c:marker val="1"/>
        <c:smooth val="0"/>
        <c:axId val="-2129604904"/>
        <c:axId val="-2129095032"/>
      </c:lineChart>
      <c:catAx>
        <c:axId val="-2129085608"/>
        <c:scaling>
          <c:orientation val="minMax"/>
        </c:scaling>
        <c:delete val="0"/>
        <c:axPos val="b"/>
        <c:numFmt formatCode="General" sourceLinked="1"/>
        <c:majorTickMark val="none"/>
        <c:minorTickMark val="none"/>
        <c:tickLblPos val="nextTo"/>
        <c:txPr>
          <a:bodyPr/>
          <a:lstStyle/>
          <a:p>
            <a:pPr>
              <a:defRPr sz="1800">
                <a:latin typeface="Garamond"/>
                <a:cs typeface="Garamond"/>
              </a:defRPr>
            </a:pPr>
            <a:endParaRPr lang="en-US"/>
          </a:p>
        </c:txPr>
        <c:crossAx val="-2129480296"/>
        <c:crosses val="autoZero"/>
        <c:auto val="1"/>
        <c:lblAlgn val="ctr"/>
        <c:lblOffset val="100"/>
        <c:tickLblSkip val="5"/>
        <c:tickMarkSkip val="5"/>
        <c:noMultiLvlLbl val="0"/>
      </c:catAx>
      <c:valAx>
        <c:axId val="-2129480296"/>
        <c:scaling>
          <c:orientation val="minMax"/>
          <c:max val="0.055"/>
          <c:min val="0.0"/>
        </c:scaling>
        <c:delete val="0"/>
        <c:axPos val="l"/>
        <c:numFmt formatCode="0%" sourceLinked="0"/>
        <c:majorTickMark val="none"/>
        <c:minorTickMark val="none"/>
        <c:tickLblPos val="nextTo"/>
        <c:txPr>
          <a:bodyPr/>
          <a:lstStyle/>
          <a:p>
            <a:pPr>
              <a:defRPr sz="1800">
                <a:latin typeface="Garamond"/>
                <a:cs typeface="Garamond"/>
              </a:defRPr>
            </a:pPr>
            <a:endParaRPr lang="en-US"/>
          </a:p>
        </c:txPr>
        <c:crossAx val="-2129085608"/>
        <c:crosses val="autoZero"/>
        <c:crossBetween val="between"/>
      </c:valAx>
      <c:valAx>
        <c:axId val="-2129095032"/>
        <c:scaling>
          <c:orientation val="minMax"/>
          <c:max val="55.0"/>
          <c:min val="0.0"/>
        </c:scaling>
        <c:delete val="0"/>
        <c:axPos val="r"/>
        <c:numFmt formatCode="General" sourceLinked="1"/>
        <c:majorTickMark val="none"/>
        <c:minorTickMark val="none"/>
        <c:tickLblPos val="nextTo"/>
        <c:txPr>
          <a:bodyPr/>
          <a:lstStyle/>
          <a:p>
            <a:pPr>
              <a:defRPr sz="1800">
                <a:latin typeface="Garamond"/>
                <a:cs typeface="Garamond"/>
              </a:defRPr>
            </a:pPr>
            <a:endParaRPr lang="en-US"/>
          </a:p>
        </c:txPr>
        <c:crossAx val="-2129604904"/>
        <c:crosses val="max"/>
        <c:crossBetween val="between"/>
        <c:majorUnit val="10.0"/>
      </c:valAx>
      <c:catAx>
        <c:axId val="-2129604904"/>
        <c:scaling>
          <c:orientation val="minMax"/>
        </c:scaling>
        <c:delete val="1"/>
        <c:axPos val="b"/>
        <c:numFmt formatCode="General" sourceLinked="1"/>
        <c:majorTickMark val="out"/>
        <c:minorTickMark val="none"/>
        <c:tickLblPos val="nextTo"/>
        <c:crossAx val="-2129095032"/>
        <c:crosses val="autoZero"/>
        <c:auto val="1"/>
        <c:lblAlgn val="ctr"/>
        <c:lblOffset val="100"/>
        <c:noMultiLvlLbl val="0"/>
      </c:catAx>
    </c:plotArea>
    <c:plotVisOnly val="1"/>
    <c:dispBlanksAs val="gap"/>
    <c:showDLblsOverMax val="0"/>
  </c:chart>
  <c:spPr>
    <a:ln>
      <a:noFill/>
    </a:ln>
  </c:spPr>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b="1">
                <a:latin typeface="Garamond"/>
                <a:cs typeface="Garamond"/>
              </a:rPr>
              <a:t>Corporate income tax revenue vs. tax rate in Ireland</a:t>
            </a:r>
          </a:p>
        </c:rich>
      </c:tx>
      <c:layout>
        <c:manualLayout>
          <c:xMode val="edge"/>
          <c:yMode val="edge"/>
          <c:x val="0.127928258967629"/>
          <c:y val="0.0"/>
        </c:manualLayout>
      </c:layout>
      <c:overlay val="0"/>
    </c:title>
    <c:autoTitleDeleted val="0"/>
    <c:plotArea>
      <c:layout>
        <c:manualLayout>
          <c:layoutTarget val="inner"/>
          <c:xMode val="edge"/>
          <c:yMode val="edge"/>
          <c:x val="0.0652106153397492"/>
          <c:y val="0.103722568645556"/>
          <c:w val="0.884170895304754"/>
          <c:h val="0.781465164157466"/>
        </c:manualLayout>
      </c:layout>
      <c:lineChart>
        <c:grouping val="standard"/>
        <c:varyColors val="0"/>
        <c:ser>
          <c:idx val="2"/>
          <c:order val="1"/>
          <c:tx>
            <c:v>Tax revenue, % of national income (left)</c:v>
          </c:tx>
          <c:spPr>
            <a:ln w="15875">
              <a:solidFill>
                <a:schemeClr val="tx1"/>
              </a:solidFill>
            </a:ln>
            <a:effectLst/>
          </c:spPr>
          <c:marker>
            <c:symbol val="circle"/>
            <c:size val="10"/>
            <c:spPr>
              <a:solidFill>
                <a:schemeClr val="accent2">
                  <a:lumMod val="60000"/>
                  <a:lumOff val="40000"/>
                </a:schemeClr>
              </a:solidFill>
              <a:ln>
                <a:solidFill>
                  <a:schemeClr val="tx1"/>
                </a:solidFill>
              </a:ln>
              <a:effectLst/>
            </c:spPr>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DataF9!$BI$5:$BI$50</c:f>
              <c:numCache>
                <c:formatCode>0.0%</c:formatCode>
                <c:ptCount val="46"/>
                <c:pt idx="2">
                  <c:v>0.0164146763217989</c:v>
                </c:pt>
                <c:pt idx="3">
                  <c:v>0.0164204106336825</c:v>
                </c:pt>
                <c:pt idx="4">
                  <c:v>0.0205132691740517</c:v>
                </c:pt>
                <c:pt idx="5">
                  <c:v>0.0142330869273797</c:v>
                </c:pt>
                <c:pt idx="6">
                  <c:v>0.0144566159154384</c:v>
                </c:pt>
                <c:pt idx="7">
                  <c:v>0.0129157083688016</c:v>
                </c:pt>
                <c:pt idx="8">
                  <c:v>0.0151563626063436</c:v>
                </c:pt>
                <c:pt idx="9">
                  <c:v>0.0170345768594503</c:v>
                </c:pt>
                <c:pt idx="10">
                  <c:v>0.0149478875860461</c:v>
                </c:pt>
                <c:pt idx="11">
                  <c:v>0.0172750962535587</c:v>
                </c:pt>
                <c:pt idx="12">
                  <c:v>0.017240313421112</c:v>
                </c:pt>
                <c:pt idx="13">
                  <c:v>0.0146867648993342</c:v>
                </c:pt>
                <c:pt idx="14">
                  <c:v>0.0130798940777867</c:v>
                </c:pt>
                <c:pt idx="15">
                  <c:v>0.0126117765080824</c:v>
                </c:pt>
                <c:pt idx="16">
                  <c:v>0.0139932014161852</c:v>
                </c:pt>
                <c:pt idx="17">
                  <c:v>0.0131744575851236</c:v>
                </c:pt>
                <c:pt idx="18">
                  <c:v>0.0162943215250585</c:v>
                </c:pt>
                <c:pt idx="19">
                  <c:v>0.01360176607438</c:v>
                </c:pt>
                <c:pt idx="20">
                  <c:v>0.0193094023609003</c:v>
                </c:pt>
                <c:pt idx="21">
                  <c:v>0.0232225226290563</c:v>
                </c:pt>
                <c:pt idx="22">
                  <c:v>0.0275492307395596</c:v>
                </c:pt>
                <c:pt idx="23">
                  <c:v>0.0325931908330831</c:v>
                </c:pt>
                <c:pt idx="24">
                  <c:v>0.0362761083605814</c:v>
                </c:pt>
                <c:pt idx="25">
                  <c:v>0.0332468758629727</c:v>
                </c:pt>
                <c:pt idx="26">
                  <c:v>0.0373552315256183</c:v>
                </c:pt>
                <c:pt idx="27">
                  <c:v>0.0390839395169422</c:v>
                </c:pt>
                <c:pt idx="28">
                  <c:v>0.0412328053691337</c:v>
                </c:pt>
                <c:pt idx="29">
                  <c:v>0.0489156694994742</c:v>
                </c:pt>
                <c:pt idx="30">
                  <c:v>0.047551645510968</c:v>
                </c:pt>
                <c:pt idx="31">
                  <c:v>0.0461571439680935</c:v>
                </c:pt>
                <c:pt idx="32">
                  <c:v>0.0490276962582538</c:v>
                </c:pt>
                <c:pt idx="33">
                  <c:v>0.0479548613692113</c:v>
                </c:pt>
                <c:pt idx="34">
                  <c:v>0.0465510218310166</c:v>
                </c:pt>
                <c:pt idx="35">
                  <c:v>0.0445066056171972</c:v>
                </c:pt>
                <c:pt idx="36">
                  <c:v>0.0497511232778885</c:v>
                </c:pt>
                <c:pt idx="37">
                  <c:v>0.0449700206753963</c:v>
                </c:pt>
                <c:pt idx="38">
                  <c:v>0.0374130756924529</c:v>
                </c:pt>
                <c:pt idx="39">
                  <c:v>0.033372115557766</c:v>
                </c:pt>
                <c:pt idx="40">
                  <c:v>0.0343520006966517</c:v>
                </c:pt>
                <c:pt idx="41">
                  <c:v>0.0325204132038027</c:v>
                </c:pt>
                <c:pt idx="42">
                  <c:v>0.0340064667741603</c:v>
                </c:pt>
                <c:pt idx="43">
                  <c:v>0.0342839756755022</c:v>
                </c:pt>
                <c:pt idx="44">
                  <c:v>0.034566239268258</c:v>
                </c:pt>
                <c:pt idx="45">
                  <c:v>0.0482886742078269</c:v>
                </c:pt>
              </c:numCache>
            </c:numRef>
          </c:val>
          <c:smooth val="0"/>
          <c:extLst xmlns:c16r2="http://schemas.microsoft.com/office/drawing/2015/06/chart">
            <c:ext xmlns:c16="http://schemas.microsoft.com/office/drawing/2014/chart" uri="{C3380CC4-5D6E-409C-BE32-E72D297353CC}">
              <c16:uniqueId val="{00000000-214B-4CCD-B344-FEF2E65D022E}"/>
            </c:ext>
          </c:extLst>
        </c:ser>
        <c:dLbls>
          <c:showLegendKey val="0"/>
          <c:showVal val="0"/>
          <c:showCatName val="0"/>
          <c:showSerName val="0"/>
          <c:showPercent val="0"/>
          <c:showBubbleSize val="0"/>
        </c:dLbls>
        <c:marker val="1"/>
        <c:smooth val="0"/>
        <c:axId val="-2128662920"/>
        <c:axId val="-2128659816"/>
      </c:lineChart>
      <c:lineChart>
        <c:grouping val="standard"/>
        <c:varyColors val="0"/>
        <c:ser>
          <c:idx val="1"/>
          <c:order val="0"/>
          <c:tx>
            <c:v>Corporate tax rate (right)</c:v>
          </c:tx>
          <c:spPr>
            <a:ln w="25400">
              <a:solidFill>
                <a:schemeClr val="tx1"/>
              </a:solidFill>
            </a:ln>
          </c:spPr>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DataF9!$BE$5:$BE$50</c:f>
              <c:numCache>
                <c:formatCode>0.0%</c:formatCode>
                <c:ptCount val="46"/>
                <c:pt idx="2">
                  <c:v>0.178863873833622</c:v>
                </c:pt>
                <c:pt idx="3">
                  <c:v>0.151647293604209</c:v>
                </c:pt>
                <c:pt idx="4">
                  <c:v>0.177842606558972</c:v>
                </c:pt>
                <c:pt idx="5">
                  <c:v>0.147269477418846</c:v>
                </c:pt>
                <c:pt idx="6">
                  <c:v>0.12575634654021</c:v>
                </c:pt>
                <c:pt idx="7">
                  <c:v>0.0998359944702427</c:v>
                </c:pt>
                <c:pt idx="8">
                  <c:v>0.112408902000587</c:v>
                </c:pt>
                <c:pt idx="9">
                  <c:v>0.127385082421622</c:v>
                </c:pt>
                <c:pt idx="10">
                  <c:v>0.134785375017049</c:v>
                </c:pt>
                <c:pt idx="11">
                  <c:v>0.13219137571539</c:v>
                </c:pt>
                <c:pt idx="12">
                  <c:v>0.136979022820401</c:v>
                </c:pt>
                <c:pt idx="13">
                  <c:v>0.106587895024259</c:v>
                </c:pt>
                <c:pt idx="14">
                  <c:v>0.081634978625799</c:v>
                </c:pt>
                <c:pt idx="15">
                  <c:v>0.0706546797930119</c:v>
                </c:pt>
                <c:pt idx="16">
                  <c:v>0.0774918215029678</c:v>
                </c:pt>
                <c:pt idx="17">
                  <c:v>0.0684803556355677</c:v>
                </c:pt>
                <c:pt idx="18">
                  <c:v>0.0804678083209423</c:v>
                </c:pt>
                <c:pt idx="19">
                  <c:v>0.0623915777080916</c:v>
                </c:pt>
                <c:pt idx="20">
                  <c:v>0.093525464157008</c:v>
                </c:pt>
                <c:pt idx="21">
                  <c:v>0.112565690174843</c:v>
                </c:pt>
                <c:pt idx="22">
                  <c:v>0.128861156428917</c:v>
                </c:pt>
                <c:pt idx="23">
                  <c:v>0.139875742743847</c:v>
                </c:pt>
                <c:pt idx="24">
                  <c:v>0.159373344622514</c:v>
                </c:pt>
                <c:pt idx="25">
                  <c:v>0.119810935478833</c:v>
                </c:pt>
                <c:pt idx="26">
                  <c:v>0.146285544104161</c:v>
                </c:pt>
                <c:pt idx="27">
                  <c:v>0.131012999740808</c:v>
                </c:pt>
                <c:pt idx="28">
                  <c:v>0.125998683884865</c:v>
                </c:pt>
                <c:pt idx="29">
                  <c:v>0.133877868533644</c:v>
                </c:pt>
                <c:pt idx="30">
                  <c:v>0.127731092987455</c:v>
                </c:pt>
                <c:pt idx="31">
                  <c:v>0.11995793272701</c:v>
                </c:pt>
                <c:pt idx="32">
                  <c:v>0.116693313283694</c:v>
                </c:pt>
                <c:pt idx="33">
                  <c:v>0.121500400207166</c:v>
                </c:pt>
                <c:pt idx="34">
                  <c:v>0.122536693354133</c:v>
                </c:pt>
                <c:pt idx="35">
                  <c:v>0.121874994471717</c:v>
                </c:pt>
                <c:pt idx="36">
                  <c:v>0.143293638720459</c:v>
                </c:pt>
                <c:pt idx="37">
                  <c:v>0.132074416010905</c:v>
                </c:pt>
                <c:pt idx="38">
                  <c:v>0.132199624873004</c:v>
                </c:pt>
                <c:pt idx="39">
                  <c:v>0.10454402836727</c:v>
                </c:pt>
                <c:pt idx="40">
                  <c:v>0.0947793661853391</c:v>
                </c:pt>
                <c:pt idx="41">
                  <c:v>0.0791429505430771</c:v>
                </c:pt>
                <c:pt idx="42">
                  <c:v>0.0828721496499112</c:v>
                </c:pt>
                <c:pt idx="43">
                  <c:v>0.0869767569657867</c:v>
                </c:pt>
                <c:pt idx="44">
                  <c:v>0.0869240687409415</c:v>
                </c:pt>
                <c:pt idx="45">
                  <c:v>0.0905225814948963</c:v>
                </c:pt>
              </c:numCache>
            </c:numRef>
          </c:val>
          <c:smooth val="0"/>
          <c:extLst xmlns:c16r2="http://schemas.microsoft.com/office/drawing/2015/06/chart">
            <c:ext xmlns:c16="http://schemas.microsoft.com/office/drawing/2014/chart" uri="{C3380CC4-5D6E-409C-BE32-E72D297353CC}">
              <c16:uniqueId val="{00000001-214B-4CCD-B344-FEF2E65D022E}"/>
            </c:ext>
          </c:extLst>
        </c:ser>
        <c:dLbls>
          <c:showLegendKey val="0"/>
          <c:showVal val="0"/>
          <c:showCatName val="0"/>
          <c:showSerName val="0"/>
          <c:showPercent val="0"/>
          <c:showBubbleSize val="0"/>
        </c:dLbls>
        <c:marker val="1"/>
        <c:smooth val="0"/>
        <c:axId val="-2128653480"/>
        <c:axId val="-2128656744"/>
      </c:lineChart>
      <c:catAx>
        <c:axId val="-2128662920"/>
        <c:scaling>
          <c:orientation val="minMax"/>
        </c:scaling>
        <c:delete val="0"/>
        <c:axPos val="b"/>
        <c:numFmt formatCode="General" sourceLinked="1"/>
        <c:majorTickMark val="none"/>
        <c:minorTickMark val="none"/>
        <c:tickLblPos val="nextTo"/>
        <c:txPr>
          <a:bodyPr/>
          <a:lstStyle/>
          <a:p>
            <a:pPr>
              <a:defRPr sz="1800">
                <a:latin typeface="Garamond"/>
                <a:cs typeface="Garamond"/>
              </a:defRPr>
            </a:pPr>
            <a:endParaRPr lang="en-US"/>
          </a:p>
        </c:txPr>
        <c:crossAx val="-2128659816"/>
        <c:crosses val="autoZero"/>
        <c:auto val="1"/>
        <c:lblAlgn val="ctr"/>
        <c:lblOffset val="100"/>
        <c:tickLblSkip val="5"/>
        <c:tickMarkSkip val="5"/>
        <c:noMultiLvlLbl val="0"/>
      </c:catAx>
      <c:valAx>
        <c:axId val="-2128659816"/>
        <c:scaling>
          <c:orientation val="minMax"/>
          <c:max val="0.055"/>
          <c:min val="0.0"/>
        </c:scaling>
        <c:delete val="0"/>
        <c:axPos val="l"/>
        <c:numFmt formatCode="0%" sourceLinked="0"/>
        <c:majorTickMark val="none"/>
        <c:minorTickMark val="none"/>
        <c:tickLblPos val="nextTo"/>
        <c:txPr>
          <a:bodyPr/>
          <a:lstStyle/>
          <a:p>
            <a:pPr>
              <a:defRPr sz="1800">
                <a:latin typeface="Garamond"/>
                <a:cs typeface="Garamond"/>
              </a:defRPr>
            </a:pPr>
            <a:endParaRPr lang="en-US"/>
          </a:p>
        </c:txPr>
        <c:crossAx val="-2128662920"/>
        <c:crosses val="autoZero"/>
        <c:crossBetween val="between"/>
      </c:valAx>
      <c:valAx>
        <c:axId val="-2128656744"/>
        <c:scaling>
          <c:orientation val="minMax"/>
          <c:max val="0.3"/>
          <c:min val="0.0"/>
        </c:scaling>
        <c:delete val="0"/>
        <c:axPos val="r"/>
        <c:numFmt formatCode="0%" sourceLinked="0"/>
        <c:majorTickMark val="none"/>
        <c:minorTickMark val="none"/>
        <c:tickLblPos val="nextTo"/>
        <c:txPr>
          <a:bodyPr/>
          <a:lstStyle/>
          <a:p>
            <a:pPr>
              <a:defRPr sz="1800">
                <a:latin typeface="Garamond"/>
                <a:cs typeface="Garamond"/>
              </a:defRPr>
            </a:pPr>
            <a:endParaRPr lang="en-US"/>
          </a:p>
        </c:txPr>
        <c:crossAx val="-2128653480"/>
        <c:crosses val="max"/>
        <c:crossBetween val="between"/>
        <c:majorUnit val="0.05"/>
      </c:valAx>
      <c:catAx>
        <c:axId val="-2128653480"/>
        <c:scaling>
          <c:orientation val="minMax"/>
        </c:scaling>
        <c:delete val="1"/>
        <c:axPos val="b"/>
        <c:numFmt formatCode="General" sourceLinked="1"/>
        <c:majorTickMark val="out"/>
        <c:minorTickMark val="none"/>
        <c:tickLblPos val="nextTo"/>
        <c:crossAx val="-2128656744"/>
        <c:crosses val="autoZero"/>
        <c:auto val="1"/>
        <c:lblAlgn val="ctr"/>
        <c:lblOffset val="100"/>
        <c:noMultiLvlLbl val="0"/>
      </c:catAx>
    </c:plotArea>
    <c:plotVisOnly val="1"/>
    <c:dispBlanksAs val="gap"/>
    <c:showDLblsOverMax val="0"/>
  </c:chart>
  <c:spPr>
    <a:ln>
      <a:noFill/>
    </a:ln>
  </c:spPr>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latin typeface="Garamond" panose="02020404030301010803" pitchFamily="18" charset="0"/>
              </a:defRPr>
            </a:pPr>
            <a:r>
              <a:rPr lang="en-US" sz="2200" b="1">
                <a:latin typeface="Garamond" panose="02020404030301010803" pitchFamily="18" charset="0"/>
              </a:rPr>
              <a:t>Corporate Income Tax Revenue                                               </a:t>
            </a:r>
            <a:r>
              <a:rPr lang="en-US" sz="2200" b="0">
                <a:latin typeface="Garamond" panose="02020404030301010803" pitchFamily="18" charset="0"/>
              </a:rPr>
              <a:t>(% National Income)</a:t>
            </a:r>
          </a:p>
        </c:rich>
      </c:tx>
      <c:layout>
        <c:manualLayout>
          <c:xMode val="edge"/>
          <c:yMode val="edge"/>
          <c:x val="0.304637740972034"/>
          <c:y val="0.00223180247265472"/>
        </c:manualLayout>
      </c:layout>
      <c:overlay val="0"/>
    </c:title>
    <c:autoTitleDeleted val="0"/>
    <c:plotArea>
      <c:layout>
        <c:manualLayout>
          <c:layoutTarget val="inner"/>
          <c:xMode val="edge"/>
          <c:yMode val="edge"/>
          <c:x val="0.0552599511267988"/>
          <c:y val="0.13112238088883"/>
          <c:w val="0.92165104534347"/>
          <c:h val="0.72705049156991"/>
        </c:manualLayout>
      </c:layout>
      <c:lineChart>
        <c:grouping val="standard"/>
        <c:varyColors val="0"/>
        <c:ser>
          <c:idx val="1"/>
          <c:order val="1"/>
          <c:tx>
            <c:v>Ireland</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DataF9!$BH$5:$BH$50</c:f>
              <c:numCache>
                <c:formatCode>0.0%</c:formatCode>
                <c:ptCount val="46"/>
                <c:pt idx="0">
                  <c:v>0.0259051168297123</c:v>
                </c:pt>
                <c:pt idx="1">
                  <c:v>0.0187623322234628</c:v>
                </c:pt>
                <c:pt idx="2">
                  <c:v>0.0164146763217989</c:v>
                </c:pt>
                <c:pt idx="3">
                  <c:v>0.0164204106336825</c:v>
                </c:pt>
                <c:pt idx="4">
                  <c:v>0.0205132691740517</c:v>
                </c:pt>
                <c:pt idx="5">
                  <c:v>0.0142330869273797</c:v>
                </c:pt>
                <c:pt idx="6">
                  <c:v>0.0144566159154384</c:v>
                </c:pt>
                <c:pt idx="7">
                  <c:v>0.0129157083688016</c:v>
                </c:pt>
                <c:pt idx="8">
                  <c:v>0.0151563626063436</c:v>
                </c:pt>
                <c:pt idx="9">
                  <c:v>0.0170345768594503</c:v>
                </c:pt>
                <c:pt idx="10">
                  <c:v>0.0149478875860461</c:v>
                </c:pt>
                <c:pt idx="11">
                  <c:v>0.0172750962535587</c:v>
                </c:pt>
                <c:pt idx="12">
                  <c:v>0.017240313421112</c:v>
                </c:pt>
                <c:pt idx="13">
                  <c:v>0.0146867648993342</c:v>
                </c:pt>
                <c:pt idx="14">
                  <c:v>0.0130798940777867</c:v>
                </c:pt>
                <c:pt idx="15">
                  <c:v>0.0126117765080824</c:v>
                </c:pt>
                <c:pt idx="16">
                  <c:v>0.0139932014161852</c:v>
                </c:pt>
                <c:pt idx="17">
                  <c:v>0.0131744575851236</c:v>
                </c:pt>
                <c:pt idx="18">
                  <c:v>0.0162943215250585</c:v>
                </c:pt>
                <c:pt idx="19">
                  <c:v>0.01360176607438</c:v>
                </c:pt>
                <c:pt idx="20">
                  <c:v>0.0193094023609003</c:v>
                </c:pt>
                <c:pt idx="21">
                  <c:v>0.0232225226290563</c:v>
                </c:pt>
                <c:pt idx="22">
                  <c:v>0.0275492307395596</c:v>
                </c:pt>
                <c:pt idx="23">
                  <c:v>0.0325931908330831</c:v>
                </c:pt>
                <c:pt idx="24">
                  <c:v>0.0362761083605814</c:v>
                </c:pt>
                <c:pt idx="25">
                  <c:v>0.0332468758629727</c:v>
                </c:pt>
                <c:pt idx="26">
                  <c:v>0.0373552315256183</c:v>
                </c:pt>
                <c:pt idx="27">
                  <c:v>0.0390839395169422</c:v>
                </c:pt>
                <c:pt idx="28">
                  <c:v>0.0412328053691337</c:v>
                </c:pt>
                <c:pt idx="29">
                  <c:v>0.0489156694994742</c:v>
                </c:pt>
                <c:pt idx="30">
                  <c:v>0.047551645510968</c:v>
                </c:pt>
                <c:pt idx="31">
                  <c:v>0.0461571439680935</c:v>
                </c:pt>
                <c:pt idx="32">
                  <c:v>0.0490276962582538</c:v>
                </c:pt>
                <c:pt idx="33">
                  <c:v>0.0479548613692113</c:v>
                </c:pt>
                <c:pt idx="34">
                  <c:v>0.0465510218310166</c:v>
                </c:pt>
                <c:pt idx="35">
                  <c:v>0.0445066056171972</c:v>
                </c:pt>
                <c:pt idx="36">
                  <c:v>0.0497511232778885</c:v>
                </c:pt>
                <c:pt idx="37">
                  <c:v>0.0449700206753963</c:v>
                </c:pt>
                <c:pt idx="38">
                  <c:v>0.0374130756924529</c:v>
                </c:pt>
                <c:pt idx="39">
                  <c:v>0.033372115557766</c:v>
                </c:pt>
                <c:pt idx="40">
                  <c:v>0.0343520006966517</c:v>
                </c:pt>
                <c:pt idx="41">
                  <c:v>0.0325204132038027</c:v>
                </c:pt>
                <c:pt idx="42">
                  <c:v>0.0340064667741603</c:v>
                </c:pt>
                <c:pt idx="43">
                  <c:v>0.0342839756755022</c:v>
                </c:pt>
                <c:pt idx="44">
                  <c:v>0.034566239268258</c:v>
                </c:pt>
                <c:pt idx="45">
                  <c:v>0.0482886742078269</c:v>
                </c:pt>
              </c:numCache>
            </c:numRef>
          </c:val>
          <c:smooth val="0"/>
          <c:extLst xmlns:c16r2="http://schemas.microsoft.com/office/drawing/2015/06/chart">
            <c:ext xmlns:c16="http://schemas.microsoft.com/office/drawing/2014/chart" uri="{C3380CC4-5D6E-409C-BE32-E72D297353CC}">
              <c16:uniqueId val="{00000000-E01E-4798-8B9A-C93A7EDFB210}"/>
            </c:ext>
          </c:extLst>
        </c:ser>
        <c:ser>
          <c:idx val="0"/>
          <c:order val="0"/>
          <c:tx>
            <c:v>France, Germany, Italy, United Kingdom</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Lit>
              <c:formatCode>General</c:formatCode>
              <c:ptCount val="46"/>
              <c:pt idx="0">
                <c:v>0.0243147338471847</c:v>
              </c:pt>
              <c:pt idx="1">
                <c:v>0.0213156201679975</c:v>
              </c:pt>
              <c:pt idx="2">
                <c:v>0.0212906509341323</c:v>
              </c:pt>
              <c:pt idx="3">
                <c:v>0.0228202752735272</c:v>
              </c:pt>
              <c:pt idx="4">
                <c:v>0.0250108068845046</c:v>
              </c:pt>
              <c:pt idx="5">
                <c:v>0.019747310295807</c:v>
              </c:pt>
              <c:pt idx="6">
                <c:v>0.020695115028048</c:v>
              </c:pt>
              <c:pt idx="7">
                <c:v>0.0230762900936476</c:v>
              </c:pt>
              <c:pt idx="8">
                <c:v>0.0240666230986629</c:v>
              </c:pt>
              <c:pt idx="9">
                <c:v>0.0244150543574976</c:v>
              </c:pt>
              <c:pt idx="10">
                <c:v>0.025592073859016</c:v>
              </c:pt>
              <c:pt idx="11">
                <c:v>0.0266369170587643</c:v>
              </c:pt>
              <c:pt idx="12">
                <c:v>0.0287014481003156</c:v>
              </c:pt>
              <c:pt idx="13">
                <c:v>0.0289139937156282</c:v>
              </c:pt>
              <c:pt idx="14">
                <c:v>0.0304051543677049</c:v>
              </c:pt>
              <c:pt idx="15">
                <c:v>0.0322662148435748</c:v>
              </c:pt>
              <c:pt idx="16">
                <c:v>0.0319396428127124</c:v>
              </c:pt>
              <c:pt idx="17">
                <c:v>0.0306333129193846</c:v>
              </c:pt>
              <c:pt idx="18">
                <c:v>0.0306835664655003</c:v>
              </c:pt>
              <c:pt idx="19">
                <c:v>0.0334701353147655</c:v>
              </c:pt>
              <c:pt idx="20">
                <c:v>0.0300277010241962</c:v>
              </c:pt>
              <c:pt idx="21">
                <c:v>0.0266083664687194</c:v>
              </c:pt>
              <c:pt idx="22">
                <c:v>0.026049167864583</c:v>
              </c:pt>
              <c:pt idx="23">
                <c:v>0.0235226793616857</c:v>
              </c:pt>
              <c:pt idx="24">
                <c:v>0.0223645074112018</c:v>
              </c:pt>
              <c:pt idx="25">
                <c:v>0.0230381787339871</c:v>
              </c:pt>
              <c:pt idx="26">
                <c:v>0.0272658150302024</c:v>
              </c:pt>
              <c:pt idx="27">
                <c:v>0.0311217824207703</c:v>
              </c:pt>
              <c:pt idx="28">
                <c:v>0.0293152291355971</c:v>
              </c:pt>
              <c:pt idx="29">
                <c:v>0.0308859449897987</c:v>
              </c:pt>
              <c:pt idx="30">
                <c:v>0.0305899535875448</c:v>
              </c:pt>
              <c:pt idx="31">
                <c:v>0.0280640536459935</c:v>
              </c:pt>
              <c:pt idx="32">
                <c:v>0.0258978593182987</c:v>
              </c:pt>
              <c:pt idx="33">
                <c:v>0.0246975862430679</c:v>
              </c:pt>
              <c:pt idx="34">
                <c:v>0.0268460071690258</c:v>
              </c:pt>
              <c:pt idx="35">
                <c:v>0.0269873957950152</c:v>
              </c:pt>
              <c:pt idx="36">
                <c:v>0.0327308522847932</c:v>
              </c:pt>
              <c:pt idx="37">
                <c:v>0.0323645540185104</c:v>
              </c:pt>
              <c:pt idx="38">
                <c:v>0.0311916617965484</c:v>
              </c:pt>
              <c:pt idx="39">
                <c:v>0.0213692994832424</c:v>
              </c:pt>
              <c:pt idx="40">
                <c:v>0.025183975566016</c:v>
              </c:pt>
              <c:pt idx="41">
                <c:v>0.0264435250422081</c:v>
              </c:pt>
              <c:pt idx="42">
                <c:v>0.0266397389145749</c:v>
              </c:pt>
              <c:pt idx="43">
                <c:v>0.0269616690406849</c:v>
              </c:pt>
              <c:pt idx="44">
                <c:v>0.0248750598464841</c:v>
              </c:pt>
              <c:pt idx="45">
                <c:v>0.024337142438079</c:v>
              </c:pt>
            </c:numLit>
          </c:val>
          <c:smooth val="0"/>
          <c:extLst xmlns:c16r2="http://schemas.microsoft.com/office/drawing/2015/06/chart">
            <c:ext xmlns:c16="http://schemas.microsoft.com/office/drawing/2014/chart" uri="{C3380CC4-5D6E-409C-BE32-E72D297353CC}">
              <c16:uniqueId val="{00000001-E01E-4798-8B9A-C93A7EDFB210}"/>
            </c:ext>
          </c:extLst>
        </c:ser>
        <c:dLbls>
          <c:showLegendKey val="0"/>
          <c:showVal val="0"/>
          <c:showCatName val="0"/>
          <c:showSerName val="0"/>
          <c:showPercent val="0"/>
          <c:showBubbleSize val="0"/>
        </c:dLbls>
        <c:marker val="1"/>
        <c:smooth val="0"/>
        <c:axId val="-2115093656"/>
        <c:axId val="2097256840"/>
      </c:lineChart>
      <c:catAx>
        <c:axId val="-2115093656"/>
        <c:scaling>
          <c:orientation val="minMax"/>
        </c:scaling>
        <c:delete val="0"/>
        <c:axPos val="b"/>
        <c:numFmt formatCode="General" sourceLinked="1"/>
        <c:majorTickMark val="none"/>
        <c:minorTickMark val="none"/>
        <c:tickLblPos val="nextTo"/>
        <c:txPr>
          <a:bodyPr/>
          <a:lstStyle/>
          <a:p>
            <a:pPr>
              <a:defRPr sz="1800">
                <a:latin typeface="Garamond" panose="02020404030301010803" pitchFamily="18" charset="0"/>
              </a:defRPr>
            </a:pPr>
            <a:endParaRPr lang="en-US"/>
          </a:p>
        </c:txPr>
        <c:crossAx val="2097256840"/>
        <c:crosses val="autoZero"/>
        <c:auto val="1"/>
        <c:lblAlgn val="ctr"/>
        <c:lblOffset val="100"/>
        <c:tickLblSkip val="5"/>
        <c:tickMarkSkip val="5"/>
        <c:noMultiLvlLbl val="0"/>
      </c:catAx>
      <c:valAx>
        <c:axId val="2097256840"/>
        <c:scaling>
          <c:orientation val="minMax"/>
          <c:max val="0.05"/>
          <c:min val="0.01"/>
        </c:scaling>
        <c:delete val="0"/>
        <c:axPos val="l"/>
        <c:majorGridlines>
          <c:spPr>
            <a:ln>
              <a:noFill/>
            </a:ln>
          </c:spPr>
        </c:majorGridlines>
        <c:numFmt formatCode="0%" sourceLinked="0"/>
        <c:majorTickMark val="none"/>
        <c:minorTickMark val="none"/>
        <c:tickLblPos val="nextTo"/>
        <c:txPr>
          <a:bodyPr/>
          <a:lstStyle/>
          <a:p>
            <a:pPr>
              <a:defRPr sz="1800">
                <a:latin typeface="Garamond" panose="02020404030301010803" pitchFamily="18" charset="0"/>
              </a:defRPr>
            </a:pPr>
            <a:endParaRPr lang="en-US"/>
          </a:p>
        </c:txPr>
        <c:crossAx val="-2115093656"/>
        <c:crosses val="autoZero"/>
        <c:crossBetween val="between"/>
        <c:majorUnit val="0.01"/>
      </c:valAx>
    </c:plotArea>
    <c:plotVisOnly val="1"/>
    <c:dispBlanksAs val="gap"/>
    <c:showDLblsOverMax val="0"/>
  </c:chart>
  <c:spPr>
    <a:ln>
      <a:noFill/>
    </a:ln>
  </c:spPr>
  <c:txPr>
    <a:bodyPr/>
    <a:lstStyle/>
    <a:p>
      <a:pPr>
        <a:defRPr>
          <a:latin typeface="Arial"/>
          <a:cs typeface="Arial"/>
        </a:defRPr>
      </a:pPr>
      <a:endParaRPr lang="en-US"/>
    </a:p>
  </c:txPr>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latin typeface="Garamond" panose="02020404030301010803" pitchFamily="18" charset="0"/>
              </a:defRPr>
            </a:pPr>
            <a:r>
              <a:rPr lang="en-US" sz="2200" b="1">
                <a:latin typeface="Garamond" panose="02020404030301010803" pitchFamily="18" charset="0"/>
              </a:rPr>
              <a:t>Corporate Income Tax Revenue                                                </a:t>
            </a:r>
            <a:r>
              <a:rPr lang="en-US" sz="2200" b="0">
                <a:latin typeface="Garamond" panose="02020404030301010803" pitchFamily="18" charset="0"/>
              </a:rPr>
              <a:t>(% Net National</a:t>
            </a:r>
            <a:r>
              <a:rPr lang="en-US" sz="2200" b="0" baseline="0">
                <a:latin typeface="Garamond" panose="02020404030301010803" pitchFamily="18" charset="0"/>
              </a:rPr>
              <a:t> Income</a:t>
            </a:r>
            <a:r>
              <a:rPr lang="en-US" sz="2200" b="0">
                <a:latin typeface="Garamond" panose="02020404030301010803" pitchFamily="18" charset="0"/>
              </a:rPr>
              <a:t>)</a:t>
            </a:r>
          </a:p>
        </c:rich>
      </c:tx>
      <c:layout>
        <c:manualLayout>
          <c:xMode val="edge"/>
          <c:yMode val="edge"/>
          <c:x val="0.322561158655582"/>
          <c:y val="0.0203389830508474"/>
        </c:manualLayout>
      </c:layout>
      <c:overlay val="0"/>
    </c:title>
    <c:autoTitleDeleted val="0"/>
    <c:plotArea>
      <c:layout>
        <c:manualLayout>
          <c:layoutTarget val="inner"/>
          <c:xMode val="edge"/>
          <c:yMode val="edge"/>
          <c:x val="0.072287753069129"/>
          <c:y val="0.13112238088883"/>
          <c:w val="0.92165104534347"/>
          <c:h val="0.72705049156991"/>
        </c:manualLayout>
      </c:layout>
      <c:lineChart>
        <c:grouping val="standard"/>
        <c:varyColors val="0"/>
        <c:ser>
          <c:idx val="1"/>
          <c:order val="1"/>
          <c:tx>
            <c:v>Ireland</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DataF9!$BH$5:$BH$50</c:f>
              <c:numCache>
                <c:formatCode>0.0%</c:formatCode>
                <c:ptCount val="46"/>
                <c:pt idx="0">
                  <c:v>0.0259051168297123</c:v>
                </c:pt>
                <c:pt idx="1">
                  <c:v>0.0187623322234628</c:v>
                </c:pt>
                <c:pt idx="2">
                  <c:v>0.0164146763217989</c:v>
                </c:pt>
                <c:pt idx="3">
                  <c:v>0.0164204106336825</c:v>
                </c:pt>
                <c:pt idx="4">
                  <c:v>0.0205132691740517</c:v>
                </c:pt>
                <c:pt idx="5">
                  <c:v>0.0142330869273797</c:v>
                </c:pt>
                <c:pt idx="6">
                  <c:v>0.0144566159154384</c:v>
                </c:pt>
                <c:pt idx="7">
                  <c:v>0.0129157083688016</c:v>
                </c:pt>
                <c:pt idx="8">
                  <c:v>0.0151563626063436</c:v>
                </c:pt>
                <c:pt idx="9">
                  <c:v>0.0170345768594503</c:v>
                </c:pt>
                <c:pt idx="10">
                  <c:v>0.0149478875860461</c:v>
                </c:pt>
                <c:pt idx="11">
                  <c:v>0.0172750962535587</c:v>
                </c:pt>
                <c:pt idx="12">
                  <c:v>0.017240313421112</c:v>
                </c:pt>
                <c:pt idx="13">
                  <c:v>0.0146867648993342</c:v>
                </c:pt>
                <c:pt idx="14">
                  <c:v>0.0130798940777867</c:v>
                </c:pt>
                <c:pt idx="15">
                  <c:v>0.0126117765080824</c:v>
                </c:pt>
                <c:pt idx="16">
                  <c:v>0.0139932014161852</c:v>
                </c:pt>
                <c:pt idx="17">
                  <c:v>0.0131744575851236</c:v>
                </c:pt>
                <c:pt idx="18">
                  <c:v>0.0162943215250585</c:v>
                </c:pt>
                <c:pt idx="19">
                  <c:v>0.01360176607438</c:v>
                </c:pt>
                <c:pt idx="20">
                  <c:v>0.0193094023609003</c:v>
                </c:pt>
                <c:pt idx="21">
                  <c:v>0.0232225226290563</c:v>
                </c:pt>
                <c:pt idx="22">
                  <c:v>0.0275492307395596</c:v>
                </c:pt>
                <c:pt idx="23">
                  <c:v>0.0325931908330831</c:v>
                </c:pt>
                <c:pt idx="24">
                  <c:v>0.0362761083605814</c:v>
                </c:pt>
                <c:pt idx="25">
                  <c:v>0.0332468758629727</c:v>
                </c:pt>
                <c:pt idx="26">
                  <c:v>0.0373552315256183</c:v>
                </c:pt>
                <c:pt idx="27">
                  <c:v>0.0390839395169422</c:v>
                </c:pt>
                <c:pt idx="28">
                  <c:v>0.0412328053691337</c:v>
                </c:pt>
                <c:pt idx="29">
                  <c:v>0.0489156694994742</c:v>
                </c:pt>
                <c:pt idx="30">
                  <c:v>0.047551645510968</c:v>
                </c:pt>
                <c:pt idx="31">
                  <c:v>0.0461571439680935</c:v>
                </c:pt>
                <c:pt idx="32">
                  <c:v>0.0490276962582538</c:v>
                </c:pt>
                <c:pt idx="33">
                  <c:v>0.0479548613692113</c:v>
                </c:pt>
                <c:pt idx="34">
                  <c:v>0.0465510218310166</c:v>
                </c:pt>
                <c:pt idx="35">
                  <c:v>0.0445066056171972</c:v>
                </c:pt>
                <c:pt idx="36">
                  <c:v>0.0497511232778885</c:v>
                </c:pt>
                <c:pt idx="37">
                  <c:v>0.0449700206753963</c:v>
                </c:pt>
                <c:pt idx="38">
                  <c:v>0.0374130756924529</c:v>
                </c:pt>
                <c:pt idx="39">
                  <c:v>0.033372115557766</c:v>
                </c:pt>
                <c:pt idx="40">
                  <c:v>0.0343520006966517</c:v>
                </c:pt>
                <c:pt idx="41">
                  <c:v>0.0325204132038027</c:v>
                </c:pt>
                <c:pt idx="42">
                  <c:v>0.0340064667741603</c:v>
                </c:pt>
                <c:pt idx="43">
                  <c:v>0.0342839756755022</c:v>
                </c:pt>
                <c:pt idx="44">
                  <c:v>0.034566239268258</c:v>
                </c:pt>
                <c:pt idx="45">
                  <c:v>0.0482886742078269</c:v>
                </c:pt>
              </c:numCache>
            </c:numRef>
          </c:val>
          <c:smooth val="0"/>
          <c:extLst xmlns:c16r2="http://schemas.microsoft.com/office/drawing/2015/06/chart">
            <c:ext xmlns:c16="http://schemas.microsoft.com/office/drawing/2014/chart" uri="{C3380CC4-5D6E-409C-BE32-E72D297353CC}">
              <c16:uniqueId val="{00000000-102D-4970-BF96-08B62CA0A9F1}"/>
            </c:ext>
          </c:extLst>
        </c:ser>
        <c:ser>
          <c:idx val="2"/>
          <c:order val="2"/>
          <c:tx>
            <c:v>US</c:v>
          </c:tx>
          <c:spPr>
            <a:ln>
              <a:solidFill>
                <a:schemeClr val="bg1">
                  <a:lumMod val="75000"/>
                </a:schemeClr>
              </a:solidFill>
            </a:ln>
          </c:spPr>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DataF9!$BJ$5:$BJ$50</c:f>
              <c:numCache>
                <c:formatCode>0.0%</c:formatCode>
                <c:ptCount val="46"/>
                <c:pt idx="0">
                  <c:v>0.0388969258589512</c:v>
                </c:pt>
                <c:pt idx="1">
                  <c:v>0.0297286135693215</c:v>
                </c:pt>
                <c:pt idx="2">
                  <c:v>0.0326251113089938</c:v>
                </c:pt>
                <c:pt idx="3">
                  <c:v>0.0331384248210024</c:v>
                </c:pt>
                <c:pt idx="4">
                  <c:v>0.0330952028427598</c:v>
                </c:pt>
                <c:pt idx="5">
                  <c:v>0.0325911377575632</c:v>
                </c:pt>
                <c:pt idx="6">
                  <c:v>0.0301857815209314</c:v>
                </c:pt>
                <c:pt idx="7">
                  <c:v>0.0356629788180352</c:v>
                </c:pt>
                <c:pt idx="8">
                  <c:v>0.0348696980146805</c:v>
                </c:pt>
                <c:pt idx="9">
                  <c:v>0.0349114847433502</c:v>
                </c:pt>
                <c:pt idx="10">
                  <c:v>0.0323982198780287</c:v>
                </c:pt>
                <c:pt idx="11">
                  <c:v>0.0279108041585541</c:v>
                </c:pt>
                <c:pt idx="12">
                  <c:v>0.022629207153922</c:v>
                </c:pt>
                <c:pt idx="13">
                  <c:v>0.0167590263028917</c:v>
                </c:pt>
                <c:pt idx="14">
                  <c:v>0.0214094076655052</c:v>
                </c:pt>
                <c:pt idx="15">
                  <c:v>0.0218739482112806</c:v>
                </c:pt>
                <c:pt idx="16">
                  <c:v>0.0216537601995738</c:v>
                </c:pt>
                <c:pt idx="17">
                  <c:v>0.0258945911827539</c:v>
                </c:pt>
                <c:pt idx="18">
                  <c:v>0.0262807673476655</c:v>
                </c:pt>
                <c:pt idx="19">
                  <c:v>0.0271067709422442</c:v>
                </c:pt>
                <c:pt idx="20">
                  <c:v>0.0232318659279998</c:v>
                </c:pt>
                <c:pt idx="21">
                  <c:v>0.0217504483137618</c:v>
                </c:pt>
                <c:pt idx="22">
                  <c:v>0.022978344273324</c:v>
                </c:pt>
                <c:pt idx="23">
                  <c:v>0.0259588517411552</c:v>
                </c:pt>
                <c:pt idx="24">
                  <c:v>0.0270712680368718</c:v>
                </c:pt>
                <c:pt idx="25">
                  <c:v>0.0289508449726059</c:v>
                </c:pt>
                <c:pt idx="26">
                  <c:v>0.0295043047221497</c:v>
                </c:pt>
                <c:pt idx="27">
                  <c:v>0.0293318790309468</c:v>
                </c:pt>
                <c:pt idx="28">
                  <c:v>0.0270595497180965</c:v>
                </c:pt>
                <c:pt idx="29">
                  <c:v>0.0268311229638172</c:v>
                </c:pt>
                <c:pt idx="30">
                  <c:v>0.0257468283372628</c:v>
                </c:pt>
                <c:pt idx="31">
                  <c:v>0.0181209851272783</c:v>
                </c:pt>
                <c:pt idx="32">
                  <c:v>0.0166186631061377</c:v>
                </c:pt>
                <c:pt idx="33">
                  <c:v>0.0212668031872833</c:v>
                </c:pt>
                <c:pt idx="34">
                  <c:v>0.0259856369000749</c:v>
                </c:pt>
                <c:pt idx="35">
                  <c:v>0.033313137244435</c:v>
                </c:pt>
                <c:pt idx="36">
                  <c:v>0.0354192489670798</c:v>
                </c:pt>
                <c:pt idx="37">
                  <c:v>0.0313372668690246</c:v>
                </c:pt>
                <c:pt idx="38">
                  <c:v>0.0200674294726339</c:v>
                </c:pt>
                <c:pt idx="39">
                  <c:v>0.0163744320102918</c:v>
                </c:pt>
                <c:pt idx="40">
                  <c:v>0.0209623376113662</c:v>
                </c:pt>
                <c:pt idx="41">
                  <c:v>0.020532548699475</c:v>
                </c:pt>
                <c:pt idx="42">
                  <c:v>0.0232675698163122</c:v>
                </c:pt>
                <c:pt idx="43">
                  <c:v>0.0245831046466549</c:v>
                </c:pt>
                <c:pt idx="44">
                  <c:v>0.0250299091323026</c:v>
                </c:pt>
                <c:pt idx="45">
                  <c:v>0.0252716781676699</c:v>
                </c:pt>
              </c:numCache>
            </c:numRef>
          </c:val>
          <c:smooth val="0"/>
          <c:extLst xmlns:c16r2="http://schemas.microsoft.com/office/drawing/2015/06/chart">
            <c:ext xmlns:c16="http://schemas.microsoft.com/office/drawing/2014/chart" uri="{C3380CC4-5D6E-409C-BE32-E72D297353CC}">
              <c16:uniqueId val="{00000001-102D-4970-BF96-08B62CA0A9F1}"/>
            </c:ext>
          </c:extLst>
        </c:ser>
        <c:ser>
          <c:idx val="0"/>
          <c:order val="0"/>
          <c:tx>
            <c:v>France, Germany, Italy, United Kingdom</c:v>
          </c:tx>
          <c:marker>
            <c:symbol val="none"/>
          </c:marker>
          <c:cat>
            <c:numRef>
              <c:f>DataF9!$A$5:$A$50</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Lit>
              <c:formatCode>General</c:formatCode>
              <c:ptCount val="46"/>
              <c:pt idx="0">
                <c:v>0.0243147338471847</c:v>
              </c:pt>
              <c:pt idx="1">
                <c:v>0.0213156201679975</c:v>
              </c:pt>
              <c:pt idx="2">
                <c:v>0.0212906509341323</c:v>
              </c:pt>
              <c:pt idx="3">
                <c:v>0.0228202752735272</c:v>
              </c:pt>
              <c:pt idx="4">
                <c:v>0.0250108068845046</c:v>
              </c:pt>
              <c:pt idx="5">
                <c:v>0.019747310295807</c:v>
              </c:pt>
              <c:pt idx="6">
                <c:v>0.020695115028048</c:v>
              </c:pt>
              <c:pt idx="7">
                <c:v>0.0230762900936476</c:v>
              </c:pt>
              <c:pt idx="8">
                <c:v>0.0240666230986629</c:v>
              </c:pt>
              <c:pt idx="9">
                <c:v>0.0244150543574976</c:v>
              </c:pt>
              <c:pt idx="10">
                <c:v>0.025592073859016</c:v>
              </c:pt>
              <c:pt idx="11">
                <c:v>0.0266369170587643</c:v>
              </c:pt>
              <c:pt idx="12">
                <c:v>0.0287014481003156</c:v>
              </c:pt>
              <c:pt idx="13">
                <c:v>0.0289139937156282</c:v>
              </c:pt>
              <c:pt idx="14">
                <c:v>0.0304051543677049</c:v>
              </c:pt>
              <c:pt idx="15">
                <c:v>0.0322662148435748</c:v>
              </c:pt>
              <c:pt idx="16">
                <c:v>0.0319396428127124</c:v>
              </c:pt>
              <c:pt idx="17">
                <c:v>0.0306333129193846</c:v>
              </c:pt>
              <c:pt idx="18">
                <c:v>0.0306835664655003</c:v>
              </c:pt>
              <c:pt idx="19">
                <c:v>0.0334701353147655</c:v>
              </c:pt>
              <c:pt idx="20">
                <c:v>0.0300277010241962</c:v>
              </c:pt>
              <c:pt idx="21">
                <c:v>0.0266083664687194</c:v>
              </c:pt>
              <c:pt idx="22">
                <c:v>0.026049167864583</c:v>
              </c:pt>
              <c:pt idx="23">
                <c:v>0.0235226793616857</c:v>
              </c:pt>
              <c:pt idx="24">
                <c:v>0.0223645074112018</c:v>
              </c:pt>
              <c:pt idx="25">
                <c:v>0.0230381787339871</c:v>
              </c:pt>
              <c:pt idx="26">
                <c:v>0.0272658150302024</c:v>
              </c:pt>
              <c:pt idx="27">
                <c:v>0.0311217824207703</c:v>
              </c:pt>
              <c:pt idx="28">
                <c:v>0.0293152291355971</c:v>
              </c:pt>
              <c:pt idx="29">
                <c:v>0.0308859449897987</c:v>
              </c:pt>
              <c:pt idx="30">
                <c:v>0.0305899535875448</c:v>
              </c:pt>
              <c:pt idx="31">
                <c:v>0.0280640536459935</c:v>
              </c:pt>
              <c:pt idx="32">
                <c:v>0.0258978593182987</c:v>
              </c:pt>
              <c:pt idx="33">
                <c:v>0.0246975862430679</c:v>
              </c:pt>
              <c:pt idx="34">
                <c:v>0.0268460071690258</c:v>
              </c:pt>
              <c:pt idx="35">
                <c:v>0.0269873957950152</c:v>
              </c:pt>
              <c:pt idx="36">
                <c:v>0.0327308522847932</c:v>
              </c:pt>
              <c:pt idx="37">
                <c:v>0.0323645540185104</c:v>
              </c:pt>
              <c:pt idx="38">
                <c:v>0.0311916617965484</c:v>
              </c:pt>
              <c:pt idx="39">
                <c:v>0.0213692994832424</c:v>
              </c:pt>
              <c:pt idx="40">
                <c:v>0.025183975566016</c:v>
              </c:pt>
              <c:pt idx="41">
                <c:v>0.0264435250422081</c:v>
              </c:pt>
              <c:pt idx="42">
                <c:v>0.0266397389145749</c:v>
              </c:pt>
              <c:pt idx="43">
                <c:v>0.0269616690406849</c:v>
              </c:pt>
              <c:pt idx="44">
                <c:v>0.0248750598464841</c:v>
              </c:pt>
              <c:pt idx="45">
                <c:v>0.024337142438079</c:v>
              </c:pt>
            </c:numLit>
          </c:val>
          <c:smooth val="0"/>
          <c:extLst xmlns:c16r2="http://schemas.microsoft.com/office/drawing/2015/06/chart">
            <c:ext xmlns:c16="http://schemas.microsoft.com/office/drawing/2014/chart" uri="{C3380CC4-5D6E-409C-BE32-E72D297353CC}">
              <c16:uniqueId val="{00000002-102D-4970-BF96-08B62CA0A9F1}"/>
            </c:ext>
          </c:extLst>
        </c:ser>
        <c:dLbls>
          <c:showLegendKey val="0"/>
          <c:showVal val="0"/>
          <c:showCatName val="0"/>
          <c:showSerName val="0"/>
          <c:showPercent val="0"/>
          <c:showBubbleSize val="0"/>
        </c:dLbls>
        <c:marker val="1"/>
        <c:smooth val="0"/>
        <c:axId val="-2128723624"/>
        <c:axId val="-2128729496"/>
      </c:lineChart>
      <c:catAx>
        <c:axId val="-2128723624"/>
        <c:scaling>
          <c:orientation val="minMax"/>
        </c:scaling>
        <c:delete val="0"/>
        <c:axPos val="b"/>
        <c:numFmt formatCode="General" sourceLinked="1"/>
        <c:majorTickMark val="none"/>
        <c:minorTickMark val="none"/>
        <c:tickLblPos val="nextTo"/>
        <c:txPr>
          <a:bodyPr/>
          <a:lstStyle/>
          <a:p>
            <a:pPr>
              <a:defRPr sz="1800">
                <a:latin typeface="Garamond" panose="02020404030301010803" pitchFamily="18" charset="0"/>
              </a:defRPr>
            </a:pPr>
            <a:endParaRPr lang="en-US"/>
          </a:p>
        </c:txPr>
        <c:crossAx val="-2128729496"/>
        <c:crosses val="autoZero"/>
        <c:auto val="1"/>
        <c:lblAlgn val="ctr"/>
        <c:lblOffset val="100"/>
        <c:tickLblSkip val="5"/>
        <c:tickMarkSkip val="5"/>
        <c:noMultiLvlLbl val="0"/>
      </c:catAx>
      <c:valAx>
        <c:axId val="-2128729496"/>
        <c:scaling>
          <c:orientation val="minMax"/>
          <c:max val="0.05"/>
          <c:min val="0.01"/>
        </c:scaling>
        <c:delete val="0"/>
        <c:axPos val="l"/>
        <c:majorGridlines>
          <c:spPr>
            <a:ln>
              <a:noFill/>
            </a:ln>
          </c:spPr>
        </c:majorGridlines>
        <c:numFmt formatCode="0.0%" sourceLinked="0"/>
        <c:majorTickMark val="none"/>
        <c:minorTickMark val="none"/>
        <c:tickLblPos val="nextTo"/>
        <c:txPr>
          <a:bodyPr/>
          <a:lstStyle/>
          <a:p>
            <a:pPr>
              <a:defRPr sz="1800">
                <a:latin typeface="Garamond" panose="02020404030301010803" pitchFamily="18" charset="0"/>
              </a:defRPr>
            </a:pPr>
            <a:endParaRPr lang="en-US"/>
          </a:p>
        </c:txPr>
        <c:crossAx val="-2128723624"/>
        <c:crosses val="autoZero"/>
        <c:crossBetween val="between"/>
      </c:valAx>
    </c:plotArea>
    <c:plotVisOnly val="1"/>
    <c:dispBlanksAs val="gap"/>
    <c:showDLblsOverMax val="0"/>
  </c:chart>
  <c:spPr>
    <a:ln>
      <a:noFill/>
    </a:ln>
  </c:spPr>
  <c:txPr>
    <a:bodyPr/>
    <a:lstStyle/>
    <a:p>
      <a:pPr>
        <a:defRPr>
          <a:latin typeface="Arial"/>
          <a:cs typeface="Arial"/>
        </a:defRPr>
      </a:pPr>
      <a:endParaRPr lang="en-US"/>
    </a:p>
  </c:txPr>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US" sz="2200" b="1"/>
              <a:t>Countries most often targeted in transfer price disputes</a:t>
            </a:r>
          </a:p>
        </c:rich>
      </c:tx>
      <c:layout>
        <c:manualLayout>
          <c:xMode val="edge"/>
          <c:yMode val="edge"/>
          <c:x val="0.195910244825954"/>
          <c:y val="0.00206799986821731"/>
        </c:manualLayout>
      </c:layout>
      <c:overlay val="0"/>
    </c:title>
    <c:autoTitleDeleted val="0"/>
    <c:plotArea>
      <c:layout>
        <c:manualLayout>
          <c:layoutTarget val="inner"/>
          <c:xMode val="edge"/>
          <c:yMode val="edge"/>
          <c:x val="0.0588148948116388"/>
          <c:y val="0.15044389043846"/>
          <c:w val="0.927161781338233"/>
          <c:h val="0.605236879385893"/>
        </c:manualLayout>
      </c:layout>
      <c:barChart>
        <c:barDir val="col"/>
        <c:grouping val="clustered"/>
        <c:varyColors val="0"/>
        <c:ser>
          <c:idx val="0"/>
          <c:order val="0"/>
          <c:tx>
            <c:strRef>
              <c:f>DataF10!$L$2</c:f>
              <c:strCache>
                <c:ptCount val="1"/>
                <c:pt idx="0">
                  <c:v># top 3 of other countries TP</c:v>
                </c:pt>
              </c:strCache>
            </c:strRef>
          </c:tx>
          <c:invertIfNegative val="0"/>
          <c:dPt>
            <c:idx val="3"/>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3ABD-4B35-A8FA-7969D65C8832}"/>
              </c:ext>
            </c:extLst>
          </c:dPt>
          <c:dPt>
            <c:idx val="4"/>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3-3ABD-4B35-A8FA-7969D65C8832}"/>
              </c:ext>
            </c:extLst>
          </c:dPt>
          <c:dPt>
            <c:idx val="12"/>
            <c:invertIfNegative val="0"/>
            <c:bubble3D val="0"/>
            <c:spPr>
              <a:solidFill>
                <a:srgbClr val="D99694"/>
              </a:solidFill>
            </c:spPr>
            <c:extLst xmlns:c16r2="http://schemas.microsoft.com/office/drawing/2015/06/chart">
              <c:ext xmlns:c16="http://schemas.microsoft.com/office/drawing/2014/chart" uri="{C3380CC4-5D6E-409C-BE32-E72D297353CC}">
                <c16:uniqueId val="{00000005-3ABD-4B35-A8FA-7969D65C8832}"/>
              </c:ext>
            </c:extLst>
          </c:dPt>
          <c:dPt>
            <c:idx val="13"/>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FBAF-474C-B2DE-69479A9C5CF1}"/>
              </c:ext>
            </c:extLst>
          </c:dPt>
          <c:dPt>
            <c:idx val="20"/>
            <c:invertIfNegative val="0"/>
            <c:bubble3D val="0"/>
            <c:spPr>
              <a:solidFill>
                <a:srgbClr val="D99694"/>
              </a:solidFill>
            </c:spPr>
            <c:extLst xmlns:c16r2="http://schemas.microsoft.com/office/drawing/2015/06/chart">
              <c:ext xmlns:c16="http://schemas.microsoft.com/office/drawing/2014/chart" uri="{C3380CC4-5D6E-409C-BE32-E72D297353CC}">
                <c16:uniqueId val="{00000009-FBAF-474C-B2DE-69479A9C5CF1}"/>
              </c:ext>
            </c:extLst>
          </c:dPt>
          <c:dPt>
            <c:idx val="21"/>
            <c:invertIfNegative val="0"/>
            <c:bubble3D val="0"/>
            <c:spPr>
              <a:solidFill>
                <a:srgbClr val="D99694"/>
              </a:solidFill>
            </c:spPr>
            <c:extLst xmlns:c16r2="http://schemas.microsoft.com/office/drawing/2015/06/chart">
              <c:ext xmlns:c16="http://schemas.microsoft.com/office/drawing/2014/chart" uri="{C3380CC4-5D6E-409C-BE32-E72D297353CC}">
                <c16:uniqueId val="{0000000B-FBAF-474C-B2DE-69479A9C5CF1}"/>
              </c:ext>
            </c:extLst>
          </c:dPt>
          <c:dPt>
            <c:idx val="22"/>
            <c:invertIfNegative val="0"/>
            <c:bubble3D val="0"/>
            <c:spPr>
              <a:solidFill>
                <a:srgbClr val="D99694"/>
              </a:solidFill>
            </c:spPr>
            <c:extLst xmlns:c16r2="http://schemas.microsoft.com/office/drawing/2015/06/chart">
              <c:ext xmlns:c16="http://schemas.microsoft.com/office/drawing/2014/chart" uri="{C3380CC4-5D6E-409C-BE32-E72D297353CC}">
                <c16:uniqueId val="{0000000D-FBAF-474C-B2DE-69479A9C5CF1}"/>
              </c:ext>
            </c:extLst>
          </c:dPt>
          <c:cat>
            <c:strRef>
              <c:f>DataF10!$L$3:$L$26</c:f>
              <c:strCache>
                <c:ptCount val="24"/>
                <c:pt idx="0">
                  <c:v>United States</c:v>
                </c:pt>
                <c:pt idx="1">
                  <c:v>Germany</c:v>
                </c:pt>
                <c:pt idx="2">
                  <c:v>Japan</c:v>
                </c:pt>
                <c:pt idx="3">
                  <c:v>Netherlands</c:v>
                </c:pt>
                <c:pt idx="4">
                  <c:v>Switzerland</c:v>
                </c:pt>
                <c:pt idx="5">
                  <c:v>France</c:v>
                </c:pt>
                <c:pt idx="6">
                  <c:v>Korea</c:v>
                </c:pt>
                <c:pt idx="7">
                  <c:v>UK</c:v>
                </c:pt>
                <c:pt idx="8">
                  <c:v>Australia</c:v>
                </c:pt>
                <c:pt idx="9">
                  <c:v>Austria</c:v>
                </c:pt>
                <c:pt idx="10">
                  <c:v>Norway</c:v>
                </c:pt>
                <c:pt idx="11">
                  <c:v>China</c:v>
                </c:pt>
                <c:pt idx="12">
                  <c:v>Singapore</c:v>
                </c:pt>
                <c:pt idx="13">
                  <c:v>Cayman Islands</c:v>
                </c:pt>
                <c:pt idx="14">
                  <c:v>Denmark</c:v>
                </c:pt>
                <c:pt idx="15">
                  <c:v>Canada</c:v>
                </c:pt>
                <c:pt idx="16">
                  <c:v>Czech Republic</c:v>
                </c:pt>
                <c:pt idx="17">
                  <c:v>Taiwan</c:v>
                </c:pt>
                <c:pt idx="18">
                  <c:v>Finland</c:v>
                </c:pt>
                <c:pt idx="19">
                  <c:v>Poland</c:v>
                </c:pt>
                <c:pt idx="20">
                  <c:v>British virgin islands</c:v>
                </c:pt>
                <c:pt idx="21">
                  <c:v>Hong Kong</c:v>
                </c:pt>
                <c:pt idx="22">
                  <c:v>Panama</c:v>
                </c:pt>
                <c:pt idx="23">
                  <c:v>Sweden</c:v>
                </c:pt>
              </c:strCache>
            </c:strRef>
          </c:cat>
          <c:val>
            <c:numRef>
              <c:f>DataF10!$M$3:$M$26</c:f>
              <c:numCache>
                <c:formatCode>General</c:formatCode>
                <c:ptCount val="24"/>
                <c:pt idx="0">
                  <c:v>13.0</c:v>
                </c:pt>
                <c:pt idx="1">
                  <c:v>11.0</c:v>
                </c:pt>
                <c:pt idx="2">
                  <c:v>8.0</c:v>
                </c:pt>
                <c:pt idx="3">
                  <c:v>6.0</c:v>
                </c:pt>
                <c:pt idx="4">
                  <c:v>6.0</c:v>
                </c:pt>
                <c:pt idx="5">
                  <c:v>3.0</c:v>
                </c:pt>
                <c:pt idx="6">
                  <c:v>3.0</c:v>
                </c:pt>
                <c:pt idx="7">
                  <c:v>3.0</c:v>
                </c:pt>
                <c:pt idx="8">
                  <c:v>2.0</c:v>
                </c:pt>
                <c:pt idx="9">
                  <c:v>2.0</c:v>
                </c:pt>
                <c:pt idx="10">
                  <c:v>2.0</c:v>
                </c:pt>
                <c:pt idx="11">
                  <c:v>2.0</c:v>
                </c:pt>
                <c:pt idx="12">
                  <c:v>2.0</c:v>
                </c:pt>
                <c:pt idx="13">
                  <c:v>2.0</c:v>
                </c:pt>
                <c:pt idx="14">
                  <c:v>1.0</c:v>
                </c:pt>
                <c:pt idx="15">
                  <c:v>1.0</c:v>
                </c:pt>
                <c:pt idx="16">
                  <c:v>1.0</c:v>
                </c:pt>
                <c:pt idx="17">
                  <c:v>1.0</c:v>
                </c:pt>
                <c:pt idx="18">
                  <c:v>1.0</c:v>
                </c:pt>
                <c:pt idx="19">
                  <c:v>1.0</c:v>
                </c:pt>
                <c:pt idx="20">
                  <c:v>1.0</c:v>
                </c:pt>
                <c:pt idx="21">
                  <c:v>1.0</c:v>
                </c:pt>
                <c:pt idx="22">
                  <c:v>1.0</c:v>
                </c:pt>
                <c:pt idx="23">
                  <c:v>1.0</c:v>
                </c:pt>
              </c:numCache>
            </c:numRef>
          </c:val>
          <c:extLst xmlns:c16r2="http://schemas.microsoft.com/office/drawing/2015/06/chart">
            <c:ext xmlns:c16="http://schemas.microsoft.com/office/drawing/2014/chart" uri="{C3380CC4-5D6E-409C-BE32-E72D297353CC}">
              <c16:uniqueId val="{00000000-7743-4EEB-96AA-DC2245F0BD53}"/>
            </c:ext>
          </c:extLst>
        </c:ser>
        <c:dLbls>
          <c:showLegendKey val="0"/>
          <c:showVal val="0"/>
          <c:showCatName val="0"/>
          <c:showSerName val="0"/>
          <c:showPercent val="0"/>
          <c:showBubbleSize val="0"/>
        </c:dLbls>
        <c:gapWidth val="150"/>
        <c:axId val="-2128847256"/>
        <c:axId val="-2128844168"/>
      </c:barChart>
      <c:catAx>
        <c:axId val="-2128847256"/>
        <c:scaling>
          <c:orientation val="minMax"/>
        </c:scaling>
        <c:delete val="0"/>
        <c:axPos val="b"/>
        <c:numFmt formatCode="General" sourceLinked="0"/>
        <c:majorTickMark val="none"/>
        <c:minorTickMark val="none"/>
        <c:tickLblPos val="nextTo"/>
        <c:txPr>
          <a:bodyPr/>
          <a:lstStyle/>
          <a:p>
            <a:pPr>
              <a:defRPr sz="1800"/>
            </a:pPr>
            <a:endParaRPr lang="en-US"/>
          </a:p>
        </c:txPr>
        <c:crossAx val="-2128844168"/>
        <c:crosses val="autoZero"/>
        <c:auto val="1"/>
        <c:lblAlgn val="ctr"/>
        <c:lblOffset val="100"/>
        <c:noMultiLvlLbl val="0"/>
      </c:catAx>
      <c:valAx>
        <c:axId val="-2128844168"/>
        <c:scaling>
          <c:orientation val="minMax"/>
        </c:scaling>
        <c:delete val="0"/>
        <c:axPos val="l"/>
        <c:majorGridlines>
          <c:spPr>
            <a:ln>
              <a:noFill/>
            </a:ln>
          </c:spPr>
        </c:majorGridlines>
        <c:title>
          <c:tx>
            <c:rich>
              <a:bodyPr rot="0" vert="horz"/>
              <a:lstStyle/>
              <a:p>
                <a:pPr>
                  <a:defRPr sz="1500" b="0"/>
                </a:pPr>
                <a:r>
                  <a:rPr lang="en-GB" sz="1500" b="0" baseline="0"/>
                  <a:t># of times country is among top 3 targets</a:t>
                </a:r>
              </a:p>
            </c:rich>
          </c:tx>
          <c:layout>
            <c:manualLayout>
              <c:xMode val="edge"/>
              <c:yMode val="edge"/>
              <c:x val="0.0"/>
              <c:y val="0.0379049846802622"/>
            </c:manualLayout>
          </c:layout>
          <c:overlay val="0"/>
        </c:title>
        <c:numFmt formatCode="General" sourceLinked="1"/>
        <c:majorTickMark val="none"/>
        <c:minorTickMark val="none"/>
        <c:tickLblPos val="nextTo"/>
        <c:txPr>
          <a:bodyPr/>
          <a:lstStyle/>
          <a:p>
            <a:pPr>
              <a:defRPr sz="1800"/>
            </a:pPr>
            <a:endParaRPr lang="en-US"/>
          </a:p>
        </c:txPr>
        <c:crossAx val="-2128847256"/>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GB" sz="2200" b="1" i="0" baseline="0">
                <a:effectLst/>
              </a:rPr>
              <a:t>Counterpart in Mutual Agreement Procedures  in the EU</a:t>
            </a:r>
            <a:endParaRPr lang="en-GB" sz="2200">
              <a:effectLst/>
            </a:endParaRPr>
          </a:p>
        </c:rich>
      </c:tx>
      <c:layout>
        <c:manualLayout>
          <c:xMode val="edge"/>
          <c:yMode val="edge"/>
          <c:x val="0.16897500556758"/>
          <c:y val="0.0229614611533945"/>
        </c:manualLayout>
      </c:layout>
      <c:overlay val="0"/>
    </c:title>
    <c:autoTitleDeleted val="0"/>
    <c:plotArea>
      <c:layout>
        <c:manualLayout>
          <c:layoutTarget val="inner"/>
          <c:xMode val="edge"/>
          <c:yMode val="edge"/>
          <c:x val="0.0520702864201725"/>
          <c:y val="0.0964164300987706"/>
          <c:w val="0.932910420722969"/>
          <c:h val="0.792519855505431"/>
        </c:manualLayout>
      </c:layout>
      <c:barChart>
        <c:barDir val="col"/>
        <c:grouping val="clustered"/>
        <c:varyColors val="0"/>
        <c:ser>
          <c:idx val="0"/>
          <c:order val="0"/>
          <c:tx>
            <c:strRef>
              <c:f>DataF10!$B$10</c:f>
              <c:strCache>
                <c:ptCount val="1"/>
                <c:pt idx="0">
                  <c:v>EU22</c:v>
                </c:pt>
              </c:strCache>
            </c:strRef>
          </c:tx>
          <c:invertIfNegative val="0"/>
          <c:dPt>
            <c:idx val="0"/>
            <c:invertIfNegative val="0"/>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1-87B5-452B-9424-04B80C46E7C0}"/>
              </c:ext>
            </c:extLst>
          </c:dPt>
          <c:dPt>
            <c:idx val="1"/>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3-87B5-452B-9424-04B80C46E7C0}"/>
              </c:ext>
            </c:extLst>
          </c:dPt>
          <c:cat>
            <c:strRef>
              <c:f>DataF10!$C$9:$D$9</c:f>
              <c:strCache>
                <c:ptCount val="2"/>
                <c:pt idx="0">
                  <c:v>EU high tax country</c:v>
                </c:pt>
                <c:pt idx="1">
                  <c:v>EU tax haven</c:v>
                </c:pt>
              </c:strCache>
            </c:strRef>
          </c:cat>
          <c:val>
            <c:numRef>
              <c:f>DataF10!$C$10:$D$10</c:f>
              <c:numCache>
                <c:formatCode>0%</c:formatCode>
                <c:ptCount val="2"/>
                <c:pt idx="0">
                  <c:v>0.9</c:v>
                </c:pt>
                <c:pt idx="1">
                  <c:v>0.1</c:v>
                </c:pt>
              </c:numCache>
            </c:numRef>
          </c:val>
          <c:extLst xmlns:c16r2="http://schemas.microsoft.com/office/drawing/2015/06/chart">
            <c:ext xmlns:c16="http://schemas.microsoft.com/office/drawing/2014/chart" uri="{C3380CC4-5D6E-409C-BE32-E72D297353CC}">
              <c16:uniqueId val="{00000000-503D-4D6E-9E7F-E1AD0C915A52}"/>
            </c:ext>
          </c:extLst>
        </c:ser>
        <c:dLbls>
          <c:showLegendKey val="0"/>
          <c:showVal val="0"/>
          <c:showCatName val="0"/>
          <c:showSerName val="0"/>
          <c:showPercent val="0"/>
          <c:showBubbleSize val="0"/>
        </c:dLbls>
        <c:gapWidth val="150"/>
        <c:axId val="-2128801176"/>
        <c:axId val="-2128798104"/>
      </c:barChart>
      <c:catAx>
        <c:axId val="-2128801176"/>
        <c:scaling>
          <c:orientation val="minMax"/>
        </c:scaling>
        <c:delete val="0"/>
        <c:axPos val="b"/>
        <c:numFmt formatCode="General" sourceLinked="0"/>
        <c:majorTickMark val="none"/>
        <c:minorTickMark val="none"/>
        <c:tickLblPos val="nextTo"/>
        <c:txPr>
          <a:bodyPr/>
          <a:lstStyle/>
          <a:p>
            <a:pPr>
              <a:defRPr sz="1800"/>
            </a:pPr>
            <a:endParaRPr lang="en-US"/>
          </a:p>
        </c:txPr>
        <c:crossAx val="-2128798104"/>
        <c:crosses val="autoZero"/>
        <c:auto val="1"/>
        <c:lblAlgn val="ctr"/>
        <c:lblOffset val="100"/>
        <c:noMultiLvlLbl val="0"/>
      </c:catAx>
      <c:valAx>
        <c:axId val="-2128798104"/>
        <c:scaling>
          <c:orientation val="minMax"/>
        </c:scaling>
        <c:delete val="0"/>
        <c:axPos val="l"/>
        <c:majorGridlines>
          <c:spPr>
            <a:ln>
              <a:noFill/>
            </a:ln>
          </c:spPr>
        </c:majorGridlines>
        <c:title>
          <c:tx>
            <c:rich>
              <a:bodyPr rot="0" vert="horz"/>
              <a:lstStyle/>
              <a:p>
                <a:pPr>
                  <a:defRPr sz="1800" b="0"/>
                </a:pPr>
                <a:r>
                  <a:rPr lang="en-US" sz="1800" b="0"/>
                  <a:t>% of total</a:t>
                </a:r>
              </a:p>
            </c:rich>
          </c:tx>
          <c:layout>
            <c:manualLayout>
              <c:xMode val="edge"/>
              <c:yMode val="edge"/>
              <c:x val="0.0"/>
              <c:y val="0.0175739127017186"/>
            </c:manualLayout>
          </c:layout>
          <c:overlay val="0"/>
        </c:title>
        <c:numFmt formatCode="0%" sourceLinked="0"/>
        <c:majorTickMark val="none"/>
        <c:minorTickMark val="none"/>
        <c:tickLblPos val="nextTo"/>
        <c:txPr>
          <a:bodyPr/>
          <a:lstStyle/>
          <a:p>
            <a:pPr>
              <a:defRPr sz="1800"/>
            </a:pPr>
            <a:endParaRPr lang="en-US"/>
          </a:p>
        </c:txPr>
        <c:crossAx val="-2128801176"/>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endParaRPr lang="en-US" sz="2200" b="0"/>
          </a:p>
        </c:rich>
      </c:tx>
      <c:layout>
        <c:manualLayout>
          <c:xMode val="edge"/>
          <c:yMode val="edge"/>
          <c:x val="0.33005346155501"/>
          <c:y val="0.00415774388034132"/>
        </c:manualLayout>
      </c:layout>
      <c:overlay val="1"/>
    </c:title>
    <c:autoTitleDeleted val="0"/>
    <c:plotArea>
      <c:layout>
        <c:manualLayout>
          <c:layoutTarget val="inner"/>
          <c:xMode val="edge"/>
          <c:yMode val="edge"/>
          <c:x val="0.102983885032014"/>
          <c:y val="0.0901934358518665"/>
          <c:w val="0.895649933720558"/>
          <c:h val="0.701453892531216"/>
        </c:manualLayout>
      </c:layout>
      <c:barChart>
        <c:barDir val="col"/>
        <c:grouping val="clustered"/>
        <c:varyColors val="0"/>
        <c:ser>
          <c:idx val="0"/>
          <c:order val="0"/>
          <c:tx>
            <c:v>Foreign firms</c:v>
          </c:tx>
          <c:spPr>
            <a:solidFill>
              <a:schemeClr val="accent2">
                <a:lumMod val="60000"/>
                <a:lumOff val="40000"/>
              </a:schemeClr>
            </a:solidFill>
            <a:ln>
              <a:noFill/>
            </a:ln>
          </c:spPr>
          <c:invertIfNegative val="0"/>
          <c:dLbls>
            <c:dLbl>
              <c:idx val="0"/>
              <c:layout>
                <c:manualLayout>
                  <c:x val="-0.0729661274678676"/>
                  <c:y val="0.0408607094997793"/>
                </c:manualLayout>
              </c:layout>
              <c:spPr/>
              <c:txPr>
                <a:bodyPr/>
                <a:lstStyle/>
                <a:p>
                  <a:pPr>
                    <a:defRPr sz="1800"/>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BA5A-4168-AE27-0BCB5698E1D2}"/>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A5A-4168-AE27-0BCB5698E1D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A5A-4168-AE27-0BCB5698E1D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A5A-4168-AE27-0BCB5698E1D2}"/>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A5A-4168-AE27-0BCB5698E1D2}"/>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A5A-4168-AE27-0BCB5698E1D2}"/>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A5A-4168-AE27-0BCB5698E1D2}"/>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A5A-4168-AE27-0BCB5698E1D2}"/>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A5A-4168-AE27-0BCB5698E1D2}"/>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A5A-4168-AE27-0BCB5698E1D2}"/>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A5A-4168-AE27-0BCB5698E1D2}"/>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A5A-4168-AE27-0BCB5698E1D2}"/>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A5A-4168-AE27-0BCB5698E1D2}"/>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A5A-4168-AE27-0BCB5698E1D2}"/>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BA5A-4168-AE27-0BCB5698E1D2}"/>
                </c:ext>
              </c:extLst>
            </c:dLbl>
            <c:dLbl>
              <c:idx val="15"/>
              <c:delete val="1"/>
            </c:dLbl>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DataF4c!$B$2:$B$17</c:f>
              <c:strCache>
                <c:ptCount val="16"/>
                <c:pt idx="0">
                  <c:v>Puerto Rico</c:v>
                </c:pt>
                <c:pt idx="1">
                  <c:v>Ireland</c:v>
                </c:pt>
                <c:pt idx="2">
                  <c:v>Luxembourg</c:v>
                </c:pt>
                <c:pt idx="3">
                  <c:v>Switzerland</c:v>
                </c:pt>
                <c:pt idx="4">
                  <c:v>Singapore</c:v>
                </c:pt>
                <c:pt idx="5">
                  <c:v>Hong Kong</c:v>
                </c:pt>
                <c:pt idx="6">
                  <c:v>Netherlands</c:v>
                </c:pt>
                <c:pt idx="7">
                  <c:v>Belgium</c:v>
                </c:pt>
                <c:pt idx="8">
                  <c:v>United States</c:v>
                </c:pt>
                <c:pt idx="9">
                  <c:v>Australia</c:v>
                </c:pt>
                <c:pt idx="10">
                  <c:v>United Kingdom</c:v>
                </c:pt>
                <c:pt idx="11">
                  <c:v>Spain</c:v>
                </c:pt>
                <c:pt idx="12">
                  <c:v>Japan</c:v>
                </c:pt>
                <c:pt idx="13">
                  <c:v>France</c:v>
                </c:pt>
                <c:pt idx="14">
                  <c:v>Germany</c:v>
                </c:pt>
                <c:pt idx="15">
                  <c:v>Italy</c:v>
                </c:pt>
              </c:strCache>
            </c:strRef>
          </c:cat>
          <c:val>
            <c:numRef>
              <c:f>DataF4c!$H$2:$H$17</c:f>
              <c:numCache>
                <c:formatCode>0%</c:formatCode>
                <c:ptCount val="16"/>
                <c:pt idx="0">
                  <c:v>16.74553462921869</c:v>
                </c:pt>
                <c:pt idx="1">
                  <c:v>7.999649057760928</c:v>
                </c:pt>
                <c:pt idx="2">
                  <c:v>4.607653981779084</c:v>
                </c:pt>
                <c:pt idx="3">
                  <c:v>3.193463983307394</c:v>
                </c:pt>
                <c:pt idx="4">
                  <c:v>2.181475531809882</c:v>
                </c:pt>
                <c:pt idx="5">
                  <c:v>2.134890638473585</c:v>
                </c:pt>
                <c:pt idx="6">
                  <c:v>1.149570596866521</c:v>
                </c:pt>
                <c:pt idx="7">
                  <c:v>0.679801033270383</c:v>
                </c:pt>
                <c:pt idx="8">
                  <c:v>0.283432726463305</c:v>
                </c:pt>
                <c:pt idx="9">
                  <c:v>0.273839403468978</c:v>
                </c:pt>
                <c:pt idx="10">
                  <c:v>0.257234074059998</c:v>
                </c:pt>
                <c:pt idx="11">
                  <c:v>0.246437539400627</c:v>
                </c:pt>
                <c:pt idx="12">
                  <c:v>0.237325661473842</c:v>
                </c:pt>
                <c:pt idx="13">
                  <c:v>0.207197261500873</c:v>
                </c:pt>
                <c:pt idx="14">
                  <c:v>0.183048508723601</c:v>
                </c:pt>
                <c:pt idx="15">
                  <c:v>0.162336026725156</c:v>
                </c:pt>
              </c:numCache>
            </c:numRef>
          </c:val>
          <c:extLst xmlns:c16r2="http://schemas.microsoft.com/office/drawing/2015/06/chart">
            <c:ext xmlns:c16="http://schemas.microsoft.com/office/drawing/2014/chart" uri="{C3380CC4-5D6E-409C-BE32-E72D297353CC}">
              <c16:uniqueId val="{00000000-2C5B-419C-A742-51C7373EDC83}"/>
            </c:ext>
          </c:extLst>
        </c:ser>
        <c:ser>
          <c:idx val="2"/>
          <c:order val="1"/>
          <c:tx>
            <c:v>Local firms</c:v>
          </c:tx>
          <c:spPr>
            <a:solidFill>
              <a:schemeClr val="tx1"/>
            </a:solidFill>
          </c:spPr>
          <c:invertIfNegative val="0"/>
          <c:cat>
            <c:strRef>
              <c:f>DataF4c!$B$2:$B$17</c:f>
              <c:strCache>
                <c:ptCount val="16"/>
                <c:pt idx="0">
                  <c:v>Puerto Rico</c:v>
                </c:pt>
                <c:pt idx="1">
                  <c:v>Ireland</c:v>
                </c:pt>
                <c:pt idx="2">
                  <c:v>Luxembourg</c:v>
                </c:pt>
                <c:pt idx="3">
                  <c:v>Switzerland</c:v>
                </c:pt>
                <c:pt idx="4">
                  <c:v>Singapore</c:v>
                </c:pt>
                <c:pt idx="5">
                  <c:v>Hong Kong</c:v>
                </c:pt>
                <c:pt idx="6">
                  <c:v>Netherlands</c:v>
                </c:pt>
                <c:pt idx="7">
                  <c:v>Belgium</c:v>
                </c:pt>
                <c:pt idx="8">
                  <c:v>United States</c:v>
                </c:pt>
                <c:pt idx="9">
                  <c:v>Australia</c:v>
                </c:pt>
                <c:pt idx="10">
                  <c:v>United Kingdom</c:v>
                </c:pt>
                <c:pt idx="11">
                  <c:v>Spain</c:v>
                </c:pt>
                <c:pt idx="12">
                  <c:v>Japan</c:v>
                </c:pt>
                <c:pt idx="13">
                  <c:v>France</c:v>
                </c:pt>
                <c:pt idx="14">
                  <c:v>Germany</c:v>
                </c:pt>
                <c:pt idx="15">
                  <c:v>Italy</c:v>
                </c:pt>
              </c:strCache>
            </c:strRef>
          </c:cat>
          <c:val>
            <c:numRef>
              <c:f>DataF4c!$G$2:$G$17</c:f>
              <c:numCache>
                <c:formatCode>0%</c:formatCode>
                <c:ptCount val="16"/>
                <c:pt idx="0">
                  <c:v>0.47996308817683</c:v>
                </c:pt>
                <c:pt idx="1">
                  <c:v>0.684163518670032</c:v>
                </c:pt>
                <c:pt idx="2">
                  <c:v>0.404614502758151</c:v>
                </c:pt>
                <c:pt idx="3">
                  <c:v>0.114389152026996</c:v>
                </c:pt>
                <c:pt idx="4">
                  <c:v>0.47996308817683</c:v>
                </c:pt>
                <c:pt idx="5">
                  <c:v>0.47996308817683</c:v>
                </c:pt>
                <c:pt idx="6">
                  <c:v>0.411533787608593</c:v>
                </c:pt>
                <c:pt idx="7">
                  <c:v>0.403148941770743</c:v>
                </c:pt>
                <c:pt idx="8">
                  <c:v>0.315917100192379</c:v>
                </c:pt>
                <c:pt idx="9">
                  <c:v>0.382449225473781</c:v>
                </c:pt>
                <c:pt idx="10">
                  <c:v>0.482102808447213</c:v>
                </c:pt>
                <c:pt idx="11">
                  <c:v>0.447550158167378</c:v>
                </c:pt>
                <c:pt idx="12">
                  <c:v>0.436644437702411</c:v>
                </c:pt>
                <c:pt idx="13">
                  <c:v>0.217100928964788</c:v>
                </c:pt>
                <c:pt idx="14">
                  <c:v>0.515892010534131</c:v>
                </c:pt>
                <c:pt idx="15">
                  <c:v>0.484157580189969</c:v>
                </c:pt>
              </c:numCache>
            </c:numRef>
          </c:val>
          <c:extLst xmlns:c16r2="http://schemas.microsoft.com/office/drawing/2015/06/chart">
            <c:ext xmlns:c16="http://schemas.microsoft.com/office/drawing/2014/chart" uri="{C3380CC4-5D6E-409C-BE32-E72D297353CC}">
              <c16:uniqueId val="{00000001-2C5B-419C-A742-51C7373EDC83}"/>
            </c:ext>
          </c:extLst>
        </c:ser>
        <c:dLbls>
          <c:showLegendKey val="0"/>
          <c:showVal val="0"/>
          <c:showCatName val="0"/>
          <c:showSerName val="0"/>
          <c:showPercent val="0"/>
          <c:showBubbleSize val="0"/>
        </c:dLbls>
        <c:gapWidth val="150"/>
        <c:axId val="-2096739848"/>
        <c:axId val="-2096736776"/>
      </c:barChart>
      <c:catAx>
        <c:axId val="-2096739848"/>
        <c:scaling>
          <c:orientation val="minMax"/>
        </c:scaling>
        <c:delete val="0"/>
        <c:axPos val="b"/>
        <c:numFmt formatCode="General" sourceLinked="1"/>
        <c:majorTickMark val="none"/>
        <c:minorTickMark val="none"/>
        <c:tickLblPos val="nextTo"/>
        <c:txPr>
          <a:bodyPr rot="-2700000" vert="horz"/>
          <a:lstStyle/>
          <a:p>
            <a:pPr>
              <a:defRPr sz="1800"/>
            </a:pPr>
            <a:endParaRPr lang="en-US"/>
          </a:p>
        </c:txPr>
        <c:crossAx val="-2096736776"/>
        <c:crosses val="autoZero"/>
        <c:auto val="1"/>
        <c:lblAlgn val="ctr"/>
        <c:lblOffset val="100"/>
        <c:noMultiLvlLbl val="0"/>
      </c:catAx>
      <c:valAx>
        <c:axId val="-2096736776"/>
        <c:scaling>
          <c:orientation val="minMax"/>
          <c:max val="9.0"/>
          <c:min val="0.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096739848"/>
        <c:crosses val="autoZero"/>
        <c:crossBetween val="between"/>
        <c:majorUnit val="2.0"/>
        <c:minorUnit val="0.2"/>
      </c:valAx>
    </c:plotArea>
    <c:legend>
      <c:legendPos val="r"/>
      <c:layout>
        <c:manualLayout>
          <c:xMode val="edge"/>
          <c:yMode val="edge"/>
          <c:x val="0.67896174863388"/>
          <c:y val="0.446236780548875"/>
          <c:w val="0.214309700540247"/>
          <c:h val="0.136802507836991"/>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0" b="0"/>
            </a:pPr>
            <a:r>
              <a:rPr lang="en-US" sz="3000" b="1"/>
              <a:t>Pre-tax</a:t>
            </a:r>
            <a:r>
              <a:rPr lang="en-US" sz="3000" b="1" baseline="0"/>
              <a:t> </a:t>
            </a:r>
            <a:r>
              <a:rPr lang="en-US" sz="3000" b="1"/>
              <a:t>corporate</a:t>
            </a:r>
            <a:r>
              <a:rPr lang="en-US" sz="3000" b="1" baseline="0"/>
              <a:t> profits                                                             </a:t>
            </a:r>
            <a:r>
              <a:rPr lang="en-US" sz="3000" b="0" baseline="0"/>
              <a:t>(% of compensation of employees)</a:t>
            </a:r>
            <a:endParaRPr lang="en-US" sz="3000" b="0"/>
          </a:p>
        </c:rich>
      </c:tx>
      <c:layout>
        <c:manualLayout>
          <c:xMode val="edge"/>
          <c:yMode val="edge"/>
          <c:x val="0.238523406910202"/>
          <c:y val="0.00415774388034132"/>
        </c:manualLayout>
      </c:layout>
      <c:overlay val="1"/>
    </c:title>
    <c:autoTitleDeleted val="0"/>
    <c:plotArea>
      <c:layout>
        <c:manualLayout>
          <c:layoutTarget val="inner"/>
          <c:xMode val="edge"/>
          <c:yMode val="edge"/>
          <c:x val="0.102983885032014"/>
          <c:y val="0.0901934358518665"/>
          <c:w val="0.895649933720558"/>
          <c:h val="0.701453892531216"/>
        </c:manualLayout>
      </c:layout>
      <c:barChart>
        <c:barDir val="col"/>
        <c:grouping val="clustered"/>
        <c:varyColors val="0"/>
        <c:ser>
          <c:idx val="0"/>
          <c:order val="0"/>
          <c:tx>
            <c:v>Foreign firms</c:v>
          </c:tx>
          <c:spPr>
            <a:solidFill>
              <a:schemeClr val="accent2">
                <a:lumMod val="60000"/>
                <a:lumOff val="40000"/>
              </a:schemeClr>
            </a:solidFill>
            <a:ln>
              <a:noFill/>
            </a:ln>
          </c:spPr>
          <c:invertIfNegative val="0"/>
          <c:dLbls>
            <c:dLbl>
              <c:idx val="0"/>
              <c:layout>
                <c:manualLayout>
                  <c:x val="-0.0729661274678676"/>
                  <c:y val="0.0408607094997793"/>
                </c:manualLayout>
              </c:layout>
              <c:spPr/>
              <c:txPr>
                <a:bodyPr/>
                <a:lstStyle/>
                <a:p>
                  <a:pPr>
                    <a:defRPr sz="1800"/>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BA5A-4168-AE27-0BCB5698E1D2}"/>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A5A-4168-AE27-0BCB5698E1D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A5A-4168-AE27-0BCB5698E1D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A5A-4168-AE27-0BCB5698E1D2}"/>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A5A-4168-AE27-0BCB5698E1D2}"/>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A5A-4168-AE27-0BCB5698E1D2}"/>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A5A-4168-AE27-0BCB5698E1D2}"/>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A5A-4168-AE27-0BCB5698E1D2}"/>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A5A-4168-AE27-0BCB5698E1D2}"/>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A5A-4168-AE27-0BCB5698E1D2}"/>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A5A-4168-AE27-0BCB5698E1D2}"/>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A5A-4168-AE27-0BCB5698E1D2}"/>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A5A-4168-AE27-0BCB5698E1D2}"/>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A5A-4168-AE27-0BCB5698E1D2}"/>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BA5A-4168-AE27-0BCB5698E1D2}"/>
                </c:ext>
              </c:extLst>
            </c:dLbl>
            <c:dLbl>
              <c:idx val="15"/>
              <c:delete val="1"/>
            </c:dLbl>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DataF4c!$A$2:$A$17</c:f>
              <c:strCache>
                <c:ptCount val="16"/>
                <c:pt idx="0">
                  <c:v>Puerto Rico</c:v>
                </c:pt>
                <c:pt idx="1">
                  <c:v>Ireland</c:v>
                </c:pt>
                <c:pt idx="2">
                  <c:v>Luxembourg</c:v>
                </c:pt>
                <c:pt idx="3">
                  <c:v>Switzerland</c:v>
                </c:pt>
                <c:pt idx="4">
                  <c:v>Singapore</c:v>
                </c:pt>
                <c:pt idx="5">
                  <c:v>Hong Kong</c:v>
                </c:pt>
                <c:pt idx="6">
                  <c:v>Netherlands</c:v>
                </c:pt>
                <c:pt idx="7">
                  <c:v>Belgium</c:v>
                </c:pt>
                <c:pt idx="8">
                  <c:v>US</c:v>
                </c:pt>
                <c:pt idx="9">
                  <c:v>Australia</c:v>
                </c:pt>
                <c:pt idx="10">
                  <c:v>UK</c:v>
                </c:pt>
                <c:pt idx="11">
                  <c:v>Spain</c:v>
                </c:pt>
                <c:pt idx="12">
                  <c:v>Japan</c:v>
                </c:pt>
                <c:pt idx="13">
                  <c:v>France</c:v>
                </c:pt>
                <c:pt idx="14">
                  <c:v>Germany</c:v>
                </c:pt>
                <c:pt idx="15">
                  <c:v>Italy</c:v>
                </c:pt>
              </c:strCache>
            </c:strRef>
          </c:cat>
          <c:val>
            <c:numRef>
              <c:f>DataF4c!$H$2:$H$17</c:f>
              <c:numCache>
                <c:formatCode>0%</c:formatCode>
                <c:ptCount val="16"/>
                <c:pt idx="0">
                  <c:v>16.74553462921869</c:v>
                </c:pt>
                <c:pt idx="1">
                  <c:v>7.999649057760928</c:v>
                </c:pt>
                <c:pt idx="2">
                  <c:v>4.607653981779084</c:v>
                </c:pt>
                <c:pt idx="3">
                  <c:v>3.193463983307394</c:v>
                </c:pt>
                <c:pt idx="4">
                  <c:v>2.181475531809882</c:v>
                </c:pt>
                <c:pt idx="5">
                  <c:v>2.134890638473585</c:v>
                </c:pt>
                <c:pt idx="6">
                  <c:v>1.149570596866521</c:v>
                </c:pt>
                <c:pt idx="7">
                  <c:v>0.679801033270383</c:v>
                </c:pt>
                <c:pt idx="8">
                  <c:v>0.283432726463305</c:v>
                </c:pt>
                <c:pt idx="9">
                  <c:v>0.273839403468978</c:v>
                </c:pt>
                <c:pt idx="10">
                  <c:v>0.257234074059998</c:v>
                </c:pt>
                <c:pt idx="11">
                  <c:v>0.246437539400627</c:v>
                </c:pt>
                <c:pt idx="12">
                  <c:v>0.237325661473842</c:v>
                </c:pt>
                <c:pt idx="13">
                  <c:v>0.207197261500873</c:v>
                </c:pt>
                <c:pt idx="14">
                  <c:v>0.183048508723601</c:v>
                </c:pt>
                <c:pt idx="15">
                  <c:v>0.162336026725156</c:v>
                </c:pt>
              </c:numCache>
            </c:numRef>
          </c:val>
          <c:extLst xmlns:c16r2="http://schemas.microsoft.com/office/drawing/2015/06/chart">
            <c:ext xmlns:c16="http://schemas.microsoft.com/office/drawing/2014/chart" uri="{C3380CC4-5D6E-409C-BE32-E72D297353CC}">
              <c16:uniqueId val="{00000000-2C5B-419C-A742-51C7373EDC83}"/>
            </c:ext>
          </c:extLst>
        </c:ser>
        <c:ser>
          <c:idx val="2"/>
          <c:order val="1"/>
          <c:tx>
            <c:v>Local firms</c:v>
          </c:tx>
          <c:spPr>
            <a:solidFill>
              <a:schemeClr val="tx1"/>
            </a:solidFill>
          </c:spPr>
          <c:invertIfNegative val="0"/>
          <c:cat>
            <c:strRef>
              <c:f>DataF4c!$A$2:$A$17</c:f>
              <c:strCache>
                <c:ptCount val="16"/>
                <c:pt idx="0">
                  <c:v>Puerto Rico</c:v>
                </c:pt>
                <c:pt idx="1">
                  <c:v>Ireland</c:v>
                </c:pt>
                <c:pt idx="2">
                  <c:v>Luxembourg</c:v>
                </c:pt>
                <c:pt idx="3">
                  <c:v>Switzerland</c:v>
                </c:pt>
                <c:pt idx="4">
                  <c:v>Singapore</c:v>
                </c:pt>
                <c:pt idx="5">
                  <c:v>Hong Kong</c:v>
                </c:pt>
                <c:pt idx="6">
                  <c:v>Netherlands</c:v>
                </c:pt>
                <c:pt idx="7">
                  <c:v>Belgium</c:v>
                </c:pt>
                <c:pt idx="8">
                  <c:v>US</c:v>
                </c:pt>
                <c:pt idx="9">
                  <c:v>Australia</c:v>
                </c:pt>
                <c:pt idx="10">
                  <c:v>UK</c:v>
                </c:pt>
                <c:pt idx="11">
                  <c:v>Spain</c:v>
                </c:pt>
                <c:pt idx="12">
                  <c:v>Japan</c:v>
                </c:pt>
                <c:pt idx="13">
                  <c:v>France</c:v>
                </c:pt>
                <c:pt idx="14">
                  <c:v>Germany</c:v>
                </c:pt>
                <c:pt idx="15">
                  <c:v>Italy</c:v>
                </c:pt>
              </c:strCache>
            </c:strRef>
          </c:cat>
          <c:val>
            <c:numRef>
              <c:f>DataF4c!$G$2:$G$17</c:f>
              <c:numCache>
                <c:formatCode>0%</c:formatCode>
                <c:ptCount val="16"/>
                <c:pt idx="0">
                  <c:v>0.47996308817683</c:v>
                </c:pt>
                <c:pt idx="1">
                  <c:v>0.684163518670032</c:v>
                </c:pt>
                <c:pt idx="2">
                  <c:v>0.404614502758151</c:v>
                </c:pt>
                <c:pt idx="3">
                  <c:v>0.114389152026996</c:v>
                </c:pt>
                <c:pt idx="4">
                  <c:v>0.47996308817683</c:v>
                </c:pt>
                <c:pt idx="5">
                  <c:v>0.47996308817683</c:v>
                </c:pt>
                <c:pt idx="6">
                  <c:v>0.411533787608593</c:v>
                </c:pt>
                <c:pt idx="7">
                  <c:v>0.403148941770743</c:v>
                </c:pt>
                <c:pt idx="8">
                  <c:v>0.315917100192379</c:v>
                </c:pt>
                <c:pt idx="9">
                  <c:v>0.382449225473781</c:v>
                </c:pt>
                <c:pt idx="10">
                  <c:v>0.482102808447213</c:v>
                </c:pt>
                <c:pt idx="11">
                  <c:v>0.447550158167378</c:v>
                </c:pt>
                <c:pt idx="12">
                  <c:v>0.436644437702411</c:v>
                </c:pt>
                <c:pt idx="13">
                  <c:v>0.217100928964788</c:v>
                </c:pt>
                <c:pt idx="14">
                  <c:v>0.515892010534131</c:v>
                </c:pt>
                <c:pt idx="15">
                  <c:v>0.484157580189969</c:v>
                </c:pt>
              </c:numCache>
            </c:numRef>
          </c:val>
          <c:extLst xmlns:c16r2="http://schemas.microsoft.com/office/drawing/2015/06/chart">
            <c:ext xmlns:c16="http://schemas.microsoft.com/office/drawing/2014/chart" uri="{C3380CC4-5D6E-409C-BE32-E72D297353CC}">
              <c16:uniqueId val="{00000001-2C5B-419C-A742-51C7373EDC83}"/>
            </c:ext>
          </c:extLst>
        </c:ser>
        <c:dLbls>
          <c:showLegendKey val="0"/>
          <c:showVal val="0"/>
          <c:showCatName val="0"/>
          <c:showSerName val="0"/>
          <c:showPercent val="0"/>
          <c:showBubbleSize val="0"/>
        </c:dLbls>
        <c:gapWidth val="150"/>
        <c:axId val="-2096653384"/>
        <c:axId val="-2119438488"/>
      </c:barChart>
      <c:catAx>
        <c:axId val="-2096653384"/>
        <c:scaling>
          <c:orientation val="minMax"/>
        </c:scaling>
        <c:delete val="0"/>
        <c:axPos val="b"/>
        <c:numFmt formatCode="General" sourceLinked="1"/>
        <c:majorTickMark val="none"/>
        <c:minorTickMark val="none"/>
        <c:tickLblPos val="nextTo"/>
        <c:txPr>
          <a:bodyPr rot="-2700000" vert="horz"/>
          <a:lstStyle/>
          <a:p>
            <a:pPr>
              <a:defRPr sz="2400"/>
            </a:pPr>
            <a:endParaRPr lang="en-US"/>
          </a:p>
        </c:txPr>
        <c:crossAx val="-2119438488"/>
        <c:crosses val="autoZero"/>
        <c:auto val="1"/>
        <c:lblAlgn val="ctr"/>
        <c:lblOffset val="100"/>
        <c:noMultiLvlLbl val="0"/>
      </c:catAx>
      <c:valAx>
        <c:axId val="-2119438488"/>
        <c:scaling>
          <c:orientation val="minMax"/>
          <c:max val="9.0"/>
          <c:min val="0.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096653384"/>
        <c:crosses val="autoZero"/>
        <c:crossBetween val="between"/>
        <c:majorUnit val="2.0"/>
        <c:minorUnit val="0.2"/>
      </c:valAx>
    </c:plotArea>
    <c:legend>
      <c:legendPos val="r"/>
      <c:layout>
        <c:manualLayout>
          <c:xMode val="edge"/>
          <c:yMode val="edge"/>
          <c:x val="0.594262295081967"/>
          <c:y val="0.358370671762264"/>
          <c:w val="0.299009186351706"/>
          <c:h val="0.224668566533786"/>
        </c:manualLayout>
      </c:layout>
      <c:overlay val="0"/>
      <c:txPr>
        <a:bodyPr/>
        <a:lstStyle/>
        <a:p>
          <a:pPr>
            <a:defRPr sz="30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t>Pre-tax corporate profits </a:t>
            </a:r>
          </a:p>
          <a:p>
            <a:pPr>
              <a:defRPr sz="2200" b="1"/>
            </a:pPr>
            <a:r>
              <a:rPr lang="en-US" sz="2200" b="0"/>
              <a:t>(%</a:t>
            </a:r>
            <a:r>
              <a:rPr lang="en-US" sz="2200" b="0" baseline="0"/>
              <a:t> of</a:t>
            </a:r>
            <a:r>
              <a:rPr lang="en-US" sz="2200" b="0"/>
              <a:t> compensation of employees)</a:t>
            </a:r>
          </a:p>
        </c:rich>
      </c:tx>
      <c:layout>
        <c:manualLayout>
          <c:xMode val="edge"/>
          <c:yMode val="edge"/>
          <c:x val="0.310687374423025"/>
          <c:y val="0.00448658567000392"/>
        </c:manualLayout>
      </c:layout>
      <c:overlay val="0"/>
    </c:title>
    <c:autoTitleDeleted val="0"/>
    <c:plotArea>
      <c:layout>
        <c:manualLayout>
          <c:layoutTarget val="inner"/>
          <c:xMode val="edge"/>
          <c:yMode val="edge"/>
          <c:x val="0.0700894342705611"/>
          <c:y val="0.156224743093554"/>
          <c:w val="0.924131401878798"/>
          <c:h val="0.740399128075092"/>
        </c:manualLayout>
      </c:layout>
      <c:lineChart>
        <c:grouping val="standard"/>
        <c:varyColors val="0"/>
        <c:ser>
          <c:idx val="0"/>
          <c:order val="0"/>
          <c:spPr>
            <a:ln w="12700">
              <a:solidFill>
                <a:sysClr val="windowText" lastClr="000000"/>
              </a:solidFill>
            </a:ln>
            <a:effectLst/>
          </c:spPr>
          <c:marker>
            <c:symbol val="circle"/>
            <c:size val="10"/>
            <c:spPr>
              <a:solidFill>
                <a:schemeClr val="accent2">
                  <a:lumMod val="60000"/>
                  <a:lumOff val="40000"/>
                </a:schemeClr>
              </a:solidFill>
              <a:ln>
                <a:solidFill>
                  <a:sysClr val="windowText" lastClr="000000"/>
                </a:solidFill>
              </a:ln>
              <a:effectLst/>
            </c:spPr>
          </c:marker>
          <c:cat>
            <c:numRef>
              <c:f>DataF5!$A$9:$A$54</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DataF5!$P$9:$P$54</c:f>
              <c:numCache>
                <c:formatCode>0%</c:formatCode>
                <c:ptCount val="46"/>
                <c:pt idx="0">
                  <c:v>0.230802689355303</c:v>
                </c:pt>
                <c:pt idx="1">
                  <c:v>0.218008520826155</c:v>
                </c:pt>
                <c:pt idx="2">
                  <c:v>0.267805368940518</c:v>
                </c:pt>
                <c:pt idx="3">
                  <c:v>0.313678495857883</c:v>
                </c:pt>
                <c:pt idx="4">
                  <c:v>0.308900591442646</c:v>
                </c:pt>
                <c:pt idx="5">
                  <c:v>0.257065260553243</c:v>
                </c:pt>
                <c:pt idx="6">
                  <c:v>0.312882440549649</c:v>
                </c:pt>
                <c:pt idx="7">
                  <c:v>0.363211407482666</c:v>
                </c:pt>
                <c:pt idx="8">
                  <c:v>0.368637795667393</c:v>
                </c:pt>
                <c:pt idx="9">
                  <c:v>0.34772114122129</c:v>
                </c:pt>
                <c:pt idx="10">
                  <c:v>0.272066626111744</c:v>
                </c:pt>
                <c:pt idx="11">
                  <c:v>0.322839758180684</c:v>
                </c:pt>
                <c:pt idx="12">
                  <c:v>0.317045704153829</c:v>
                </c:pt>
                <c:pt idx="13">
                  <c:v>0.34490192644405</c:v>
                </c:pt>
                <c:pt idx="14">
                  <c:v>0.404408382458586</c:v>
                </c:pt>
                <c:pt idx="15">
                  <c:v>0.451789881264015</c:v>
                </c:pt>
                <c:pt idx="16">
                  <c:v>0.4568731264887</c:v>
                </c:pt>
                <c:pt idx="17">
                  <c:v>0.486721085395032</c:v>
                </c:pt>
                <c:pt idx="18">
                  <c:v>0.510397059529391</c:v>
                </c:pt>
                <c:pt idx="19">
                  <c:v>0.557765012177858</c:v>
                </c:pt>
                <c:pt idx="20">
                  <c:v>0.541971999783351</c:v>
                </c:pt>
                <c:pt idx="21">
                  <c:v>0.530939983974337</c:v>
                </c:pt>
                <c:pt idx="22">
                  <c:v>0.539003035914728</c:v>
                </c:pt>
                <c:pt idx="23">
                  <c:v>0.594790008803713</c:v>
                </c:pt>
                <c:pt idx="24">
                  <c:v>0.673113940426424</c:v>
                </c:pt>
                <c:pt idx="25">
                  <c:v>0.837065238516932</c:v>
                </c:pt>
                <c:pt idx="26">
                  <c:v>0.790758093232367</c:v>
                </c:pt>
                <c:pt idx="27">
                  <c:v>0.947737917366196</c:v>
                </c:pt>
                <c:pt idx="28">
                  <c:v>1.352143847504216</c:v>
                </c:pt>
                <c:pt idx="29">
                  <c:v>1.347181008902077</c:v>
                </c:pt>
                <c:pt idx="30">
                  <c:v>1.460769763530227</c:v>
                </c:pt>
                <c:pt idx="31">
                  <c:v>1.41423019431988</c:v>
                </c:pt>
                <c:pt idx="32">
                  <c:v>1.526222729217168</c:v>
                </c:pt>
                <c:pt idx="33">
                  <c:v>1.471997042591957</c:v>
                </c:pt>
                <c:pt idx="34">
                  <c:v>1.37386949333852</c:v>
                </c:pt>
                <c:pt idx="35">
                  <c:v>1.275144279483678</c:v>
                </c:pt>
                <c:pt idx="36">
                  <c:v>1.2763318219044</c:v>
                </c:pt>
                <c:pt idx="37">
                  <c:v>1.304490570167439</c:v>
                </c:pt>
                <c:pt idx="38">
                  <c:v>1.029189052753038</c:v>
                </c:pt>
                <c:pt idx="39">
                  <c:v>1.038748895124795</c:v>
                </c:pt>
                <c:pt idx="40">
                  <c:v>1.305096651900455</c:v>
                </c:pt>
                <c:pt idx="41">
                  <c:v>1.430566951497865</c:v>
                </c:pt>
                <c:pt idx="42">
                  <c:v>1.517491104213123</c:v>
                </c:pt>
                <c:pt idx="43">
                  <c:v>1.588801101889143</c:v>
                </c:pt>
                <c:pt idx="44">
                  <c:v>1.744464192230052</c:v>
                </c:pt>
                <c:pt idx="45">
                  <c:v>2.417005305319382</c:v>
                </c:pt>
              </c:numCache>
            </c:numRef>
          </c:val>
          <c:smooth val="0"/>
          <c:extLst xmlns:c16r2="http://schemas.microsoft.com/office/drawing/2015/06/char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DataF5!$A$9:$A$54</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DataF5!$E$9:$E$54</c:f>
              <c:numCache>
                <c:formatCode>0%</c:formatCode>
                <c:ptCount val="46"/>
                <c:pt idx="0">
                  <c:v>0.208258586467677</c:v>
                </c:pt>
                <c:pt idx="1">
                  <c:v>0.228163168504684</c:v>
                </c:pt>
                <c:pt idx="2">
                  <c:v>0.238304462054382</c:v>
                </c:pt>
                <c:pt idx="3">
                  <c:v>0.234374524772651</c:v>
                </c:pt>
                <c:pt idx="4">
                  <c:v>0.198360706849903</c:v>
                </c:pt>
                <c:pt idx="5">
                  <c:v>0.217952113876381</c:v>
                </c:pt>
                <c:pt idx="6">
                  <c:v>0.242204731790048</c:v>
                </c:pt>
                <c:pt idx="7">
                  <c:v>0.249678629926811</c:v>
                </c:pt>
                <c:pt idx="8">
                  <c:v>0.252747265168453</c:v>
                </c:pt>
                <c:pt idx="9">
                  <c:v>0.224196344036135</c:v>
                </c:pt>
                <c:pt idx="10">
                  <c:v>0.181607491086685</c:v>
                </c:pt>
                <c:pt idx="11">
                  <c:v>0.190146210856275</c:v>
                </c:pt>
                <c:pt idx="12">
                  <c:v>0.167751275572223</c:v>
                </c:pt>
                <c:pt idx="13">
                  <c:v>0.195270440065633</c:v>
                </c:pt>
                <c:pt idx="14">
                  <c:v>0.218655067844847</c:v>
                </c:pt>
                <c:pt idx="15">
                  <c:v>0.214902740277896</c:v>
                </c:pt>
                <c:pt idx="16">
                  <c:v>0.182310298586535</c:v>
                </c:pt>
                <c:pt idx="17">
                  <c:v>0.185581606806521</c:v>
                </c:pt>
                <c:pt idx="18">
                  <c:v>0.191900950352818</c:v>
                </c:pt>
                <c:pt idx="19">
                  <c:v>0.17965047477224</c:v>
                </c:pt>
                <c:pt idx="20">
                  <c:v>0.167815847146617</c:v>
                </c:pt>
                <c:pt idx="21">
                  <c:v>0.179342968276686</c:v>
                </c:pt>
                <c:pt idx="22">
                  <c:v>0.180185599397145</c:v>
                </c:pt>
                <c:pt idx="23">
                  <c:v>0.189534045278165</c:v>
                </c:pt>
                <c:pt idx="24">
                  <c:v>0.217495264275689</c:v>
                </c:pt>
                <c:pt idx="25">
                  <c:v>0.232063316701878</c:v>
                </c:pt>
                <c:pt idx="26">
                  <c:v>0.246412885275639</c:v>
                </c:pt>
                <c:pt idx="27">
                  <c:v>0.249508118484734</c:v>
                </c:pt>
                <c:pt idx="28">
                  <c:v>0.218766977976093</c:v>
                </c:pt>
                <c:pt idx="29">
                  <c:v>0.206845945728809</c:v>
                </c:pt>
                <c:pt idx="30">
                  <c:v>0.176458688322337</c:v>
                </c:pt>
                <c:pt idx="31">
                  <c:v>0.166546510964799</c:v>
                </c:pt>
                <c:pt idx="32">
                  <c:v>0.203914891732385</c:v>
                </c:pt>
                <c:pt idx="33">
                  <c:v>0.232748125389191</c:v>
                </c:pt>
                <c:pt idx="34">
                  <c:v>0.267088484638152</c:v>
                </c:pt>
                <c:pt idx="35">
                  <c:v>0.29214590679432</c:v>
                </c:pt>
                <c:pt idx="36">
                  <c:v>0.30717164524095</c:v>
                </c:pt>
                <c:pt idx="37">
                  <c:v>0.254346337704911</c:v>
                </c:pt>
                <c:pt idx="38">
                  <c:v>0.197182665196133</c:v>
                </c:pt>
                <c:pt idx="39">
                  <c:v>0.246535104920832</c:v>
                </c:pt>
                <c:pt idx="40">
                  <c:v>0.308286733633132</c:v>
                </c:pt>
                <c:pt idx="41">
                  <c:v>0.304594456226417</c:v>
                </c:pt>
                <c:pt idx="42">
                  <c:v>0.318691385194577</c:v>
                </c:pt>
                <c:pt idx="43">
                  <c:v>0.316493275804112</c:v>
                </c:pt>
                <c:pt idx="44">
                  <c:v>0.326356510512236</c:v>
                </c:pt>
                <c:pt idx="45">
                  <c:v>0.313757665943573</c:v>
                </c:pt>
              </c:numCache>
            </c:numRef>
          </c:val>
          <c:smooth val="0"/>
          <c:extLst xmlns:c16r2="http://schemas.microsoft.com/office/drawing/2015/06/chart">
            <c:ext xmlns:c16="http://schemas.microsoft.com/office/drawing/2014/chart" uri="{C3380CC4-5D6E-409C-BE32-E72D297353CC}">
              <c16:uniqueId val="{00000001-031C-4692-A13B-43C6E9AFA7F4}"/>
            </c:ext>
          </c:extLst>
        </c:ser>
        <c:dLbls>
          <c:showLegendKey val="0"/>
          <c:showVal val="0"/>
          <c:showCatName val="0"/>
          <c:showSerName val="0"/>
          <c:showPercent val="0"/>
          <c:showBubbleSize val="0"/>
        </c:dLbls>
        <c:marker val="1"/>
        <c:smooth val="0"/>
        <c:axId val="-2119459016"/>
        <c:axId val="-2123881192"/>
      </c:lineChart>
      <c:catAx>
        <c:axId val="-2119459016"/>
        <c:scaling>
          <c:orientation val="minMax"/>
        </c:scaling>
        <c:delete val="0"/>
        <c:axPos val="b"/>
        <c:numFmt formatCode="General" sourceLinked="1"/>
        <c:majorTickMark val="none"/>
        <c:minorTickMark val="none"/>
        <c:tickLblPos val="nextTo"/>
        <c:txPr>
          <a:bodyPr/>
          <a:lstStyle/>
          <a:p>
            <a:pPr>
              <a:defRPr sz="1800"/>
            </a:pPr>
            <a:endParaRPr lang="en-US"/>
          </a:p>
        </c:txPr>
        <c:crossAx val="-2123881192"/>
        <c:crosses val="autoZero"/>
        <c:auto val="1"/>
        <c:lblAlgn val="ctr"/>
        <c:lblOffset val="100"/>
        <c:tickLblSkip val="5"/>
        <c:noMultiLvlLbl val="0"/>
      </c:catAx>
      <c:valAx>
        <c:axId val="-2123881192"/>
        <c:scaling>
          <c:orientation val="minMax"/>
          <c:max val="2.5"/>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19459016"/>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t>Pre-tax corporate profits </a:t>
            </a:r>
          </a:p>
          <a:p>
            <a:pPr>
              <a:defRPr sz="2200" b="1"/>
            </a:pPr>
            <a:r>
              <a:rPr lang="en-US" sz="2200" b="0"/>
              <a:t>(%</a:t>
            </a:r>
            <a:r>
              <a:rPr lang="en-US" sz="2200" b="0" baseline="0"/>
              <a:t> of</a:t>
            </a:r>
            <a:r>
              <a:rPr lang="en-US" sz="2200" b="0"/>
              <a:t> compensation of employees)</a:t>
            </a:r>
          </a:p>
        </c:rich>
      </c:tx>
      <c:layout>
        <c:manualLayout>
          <c:xMode val="edge"/>
          <c:yMode val="edge"/>
          <c:x val="0.310687374423025"/>
          <c:y val="0.00448658567000392"/>
        </c:manualLayout>
      </c:layout>
      <c:overlay val="0"/>
    </c:title>
    <c:autoTitleDeleted val="0"/>
    <c:plotArea>
      <c:layout>
        <c:manualLayout>
          <c:layoutTarget val="inner"/>
          <c:xMode val="edge"/>
          <c:yMode val="edge"/>
          <c:x val="0.0700894342705611"/>
          <c:y val="0.156224743093554"/>
          <c:w val="0.924131401878798"/>
          <c:h val="0.740399128075092"/>
        </c:manualLayout>
      </c:layout>
      <c:lineChart>
        <c:grouping val="standard"/>
        <c:varyColors val="0"/>
        <c:ser>
          <c:idx val="1"/>
          <c:order val="0"/>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DataF5!$A$9:$A$54</c:f>
              <c:numCache>
                <c:formatCode>General</c:formatCode>
                <c:ptCount val="46"/>
                <c:pt idx="0">
                  <c:v>1970.0</c:v>
                </c:pt>
                <c:pt idx="1">
                  <c:v>1971.0</c:v>
                </c:pt>
                <c:pt idx="2">
                  <c:v>1972.0</c:v>
                </c:pt>
                <c:pt idx="3">
                  <c:v>1973.0</c:v>
                </c:pt>
                <c:pt idx="4">
                  <c:v>1974.0</c:v>
                </c:pt>
                <c:pt idx="5">
                  <c:v>1975.0</c:v>
                </c:pt>
                <c:pt idx="6">
                  <c:v>1976.0</c:v>
                </c:pt>
                <c:pt idx="7">
                  <c:v>1977.0</c:v>
                </c:pt>
                <c:pt idx="8">
                  <c:v>1978.0</c:v>
                </c:pt>
                <c:pt idx="9">
                  <c:v>1979.0</c:v>
                </c:pt>
                <c:pt idx="10">
                  <c:v>1980.0</c:v>
                </c:pt>
                <c:pt idx="11">
                  <c:v>1981.0</c:v>
                </c:pt>
                <c:pt idx="12">
                  <c:v>1982.0</c:v>
                </c:pt>
                <c:pt idx="13">
                  <c:v>1983.0</c:v>
                </c:pt>
                <c:pt idx="14">
                  <c:v>1984.0</c:v>
                </c:pt>
                <c:pt idx="15">
                  <c:v>1985.0</c:v>
                </c:pt>
                <c:pt idx="16">
                  <c:v>1986.0</c:v>
                </c:pt>
                <c:pt idx="17">
                  <c:v>1987.0</c:v>
                </c:pt>
                <c:pt idx="18">
                  <c:v>1988.0</c:v>
                </c:pt>
                <c:pt idx="19">
                  <c:v>1989.0</c:v>
                </c:pt>
                <c:pt idx="20">
                  <c:v>1990.0</c:v>
                </c:pt>
                <c:pt idx="21">
                  <c:v>1991.0</c:v>
                </c:pt>
                <c:pt idx="22">
                  <c:v>1992.0</c:v>
                </c:pt>
                <c:pt idx="23">
                  <c:v>1993.0</c:v>
                </c:pt>
                <c:pt idx="24">
                  <c:v>1994.0</c:v>
                </c:pt>
                <c:pt idx="25">
                  <c:v>1995.0</c:v>
                </c:pt>
                <c:pt idx="26">
                  <c:v>1996.0</c:v>
                </c:pt>
                <c:pt idx="27">
                  <c:v>1997.0</c:v>
                </c:pt>
                <c:pt idx="28">
                  <c:v>1998.0</c:v>
                </c:pt>
                <c:pt idx="29">
                  <c:v>1999.0</c:v>
                </c:pt>
                <c:pt idx="30">
                  <c:v>2000.0</c:v>
                </c:pt>
                <c:pt idx="31">
                  <c:v>2001.0</c:v>
                </c:pt>
                <c:pt idx="32">
                  <c:v>2002.0</c:v>
                </c:pt>
                <c:pt idx="33">
                  <c:v>2003.0</c:v>
                </c:pt>
                <c:pt idx="34">
                  <c:v>2004.0</c:v>
                </c:pt>
                <c:pt idx="35">
                  <c:v>2005.0</c:v>
                </c:pt>
                <c:pt idx="36">
                  <c:v>2006.0</c:v>
                </c:pt>
                <c:pt idx="37">
                  <c:v>2007.0</c:v>
                </c:pt>
                <c:pt idx="38">
                  <c:v>2008.0</c:v>
                </c:pt>
                <c:pt idx="39">
                  <c:v>2009.0</c:v>
                </c:pt>
                <c:pt idx="40">
                  <c:v>2010.0</c:v>
                </c:pt>
                <c:pt idx="41">
                  <c:v>2011.0</c:v>
                </c:pt>
                <c:pt idx="42">
                  <c:v>2012.0</c:v>
                </c:pt>
                <c:pt idx="43">
                  <c:v>2013.0</c:v>
                </c:pt>
                <c:pt idx="44">
                  <c:v>2014.0</c:v>
                </c:pt>
                <c:pt idx="45">
                  <c:v>2015.0</c:v>
                </c:pt>
              </c:numCache>
            </c:numRef>
          </c:cat>
          <c:val>
            <c:numRef>
              <c:f>DataF5!$E$9:$E$54</c:f>
              <c:numCache>
                <c:formatCode>0%</c:formatCode>
                <c:ptCount val="46"/>
                <c:pt idx="0">
                  <c:v>0.208258586467677</c:v>
                </c:pt>
                <c:pt idx="1">
                  <c:v>0.228163168504684</c:v>
                </c:pt>
                <c:pt idx="2">
                  <c:v>0.238304462054382</c:v>
                </c:pt>
                <c:pt idx="3">
                  <c:v>0.234374524772651</c:v>
                </c:pt>
                <c:pt idx="4">
                  <c:v>0.198360706849903</c:v>
                </c:pt>
                <c:pt idx="5">
                  <c:v>0.217952113876381</c:v>
                </c:pt>
                <c:pt idx="6">
                  <c:v>0.242204731790048</c:v>
                </c:pt>
                <c:pt idx="7">
                  <c:v>0.249678629926811</c:v>
                </c:pt>
                <c:pt idx="8">
                  <c:v>0.252747265168453</c:v>
                </c:pt>
                <c:pt idx="9">
                  <c:v>0.224196344036135</c:v>
                </c:pt>
                <c:pt idx="10">
                  <c:v>0.181607491086685</c:v>
                </c:pt>
                <c:pt idx="11">
                  <c:v>0.190146210856275</c:v>
                </c:pt>
                <c:pt idx="12">
                  <c:v>0.167751275572223</c:v>
                </c:pt>
                <c:pt idx="13">
                  <c:v>0.195270440065633</c:v>
                </c:pt>
                <c:pt idx="14">
                  <c:v>0.218655067844847</c:v>
                </c:pt>
                <c:pt idx="15">
                  <c:v>0.214902740277896</c:v>
                </c:pt>
                <c:pt idx="16">
                  <c:v>0.182310298586535</c:v>
                </c:pt>
                <c:pt idx="17">
                  <c:v>0.185581606806521</c:v>
                </c:pt>
                <c:pt idx="18">
                  <c:v>0.191900950352818</c:v>
                </c:pt>
                <c:pt idx="19">
                  <c:v>0.17965047477224</c:v>
                </c:pt>
                <c:pt idx="20">
                  <c:v>0.167815847146617</c:v>
                </c:pt>
                <c:pt idx="21">
                  <c:v>0.179342968276686</c:v>
                </c:pt>
                <c:pt idx="22">
                  <c:v>0.180185599397145</c:v>
                </c:pt>
                <c:pt idx="23">
                  <c:v>0.189534045278165</c:v>
                </c:pt>
                <c:pt idx="24">
                  <c:v>0.217495264275689</c:v>
                </c:pt>
                <c:pt idx="25">
                  <c:v>0.232063316701878</c:v>
                </c:pt>
                <c:pt idx="26">
                  <c:v>0.246412885275639</c:v>
                </c:pt>
                <c:pt idx="27">
                  <c:v>0.249508118484734</c:v>
                </c:pt>
                <c:pt idx="28">
                  <c:v>0.218766977976093</c:v>
                </c:pt>
                <c:pt idx="29">
                  <c:v>0.206845945728809</c:v>
                </c:pt>
                <c:pt idx="30">
                  <c:v>0.176458688322337</c:v>
                </c:pt>
                <c:pt idx="31">
                  <c:v>0.166546510964799</c:v>
                </c:pt>
                <c:pt idx="32">
                  <c:v>0.203914891732385</c:v>
                </c:pt>
                <c:pt idx="33">
                  <c:v>0.232748125389191</c:v>
                </c:pt>
                <c:pt idx="34">
                  <c:v>0.267088484638152</c:v>
                </c:pt>
                <c:pt idx="35">
                  <c:v>0.29214590679432</c:v>
                </c:pt>
                <c:pt idx="36">
                  <c:v>0.30717164524095</c:v>
                </c:pt>
                <c:pt idx="37">
                  <c:v>0.254346337704911</c:v>
                </c:pt>
                <c:pt idx="38">
                  <c:v>0.197182665196133</c:v>
                </c:pt>
                <c:pt idx="39">
                  <c:v>0.246535104920832</c:v>
                </c:pt>
                <c:pt idx="40">
                  <c:v>0.308286733633132</c:v>
                </c:pt>
                <c:pt idx="41">
                  <c:v>0.304594456226417</c:v>
                </c:pt>
                <c:pt idx="42">
                  <c:v>0.318691385194577</c:v>
                </c:pt>
                <c:pt idx="43">
                  <c:v>0.316493275804112</c:v>
                </c:pt>
                <c:pt idx="44">
                  <c:v>0.326356510512236</c:v>
                </c:pt>
                <c:pt idx="45">
                  <c:v>0.313757665943573</c:v>
                </c:pt>
              </c:numCache>
            </c:numRef>
          </c:val>
          <c:smooth val="0"/>
          <c:extLst xmlns:c16r2="http://schemas.microsoft.com/office/drawing/2015/06/chart">
            <c:ext xmlns:c16="http://schemas.microsoft.com/office/drawing/2014/chart" uri="{C3380CC4-5D6E-409C-BE32-E72D297353CC}">
              <c16:uniqueId val="{00000001-031C-4692-A13B-43C6E9AFA7F4}"/>
            </c:ext>
          </c:extLst>
        </c:ser>
        <c:dLbls>
          <c:showLegendKey val="0"/>
          <c:showVal val="0"/>
          <c:showCatName val="0"/>
          <c:showSerName val="0"/>
          <c:showPercent val="0"/>
          <c:showBubbleSize val="0"/>
        </c:dLbls>
        <c:marker val="1"/>
        <c:smooth val="0"/>
        <c:axId val="-2096632296"/>
        <c:axId val="-2096626440"/>
      </c:lineChart>
      <c:catAx>
        <c:axId val="-2096632296"/>
        <c:scaling>
          <c:orientation val="minMax"/>
        </c:scaling>
        <c:delete val="0"/>
        <c:axPos val="b"/>
        <c:numFmt formatCode="General" sourceLinked="1"/>
        <c:majorTickMark val="none"/>
        <c:minorTickMark val="none"/>
        <c:tickLblPos val="nextTo"/>
        <c:txPr>
          <a:bodyPr/>
          <a:lstStyle/>
          <a:p>
            <a:pPr>
              <a:defRPr sz="1800"/>
            </a:pPr>
            <a:endParaRPr lang="en-US"/>
          </a:p>
        </c:txPr>
        <c:crossAx val="-2096626440"/>
        <c:crosses val="autoZero"/>
        <c:auto val="1"/>
        <c:lblAlgn val="ctr"/>
        <c:lblOffset val="100"/>
        <c:tickLblSkip val="5"/>
        <c:noMultiLvlLbl val="0"/>
      </c:catAx>
      <c:valAx>
        <c:axId val="-2096626440"/>
        <c:scaling>
          <c:orientation val="minMax"/>
          <c:max val="2.5"/>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096632296"/>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t>Pre-tax</a:t>
            </a:r>
            <a:r>
              <a:rPr lang="en-US" sz="2200" b="1" baseline="0"/>
              <a:t> </a:t>
            </a:r>
            <a:r>
              <a:rPr lang="en-US" sz="2200" b="1"/>
              <a:t>profits of affiliates</a:t>
            </a:r>
            <a:r>
              <a:rPr lang="en-US" sz="2200" b="1" baseline="0"/>
              <a:t> of U.S. multinationals</a:t>
            </a:r>
            <a:r>
              <a:rPr lang="en-US" sz="2200" b="1"/>
              <a:t> </a:t>
            </a:r>
          </a:p>
          <a:p>
            <a:pPr>
              <a:defRPr sz="2200" b="1"/>
            </a:pPr>
            <a:r>
              <a:rPr lang="en-US" sz="2200" b="0"/>
              <a:t>(%</a:t>
            </a:r>
            <a:r>
              <a:rPr lang="en-US" sz="2200" b="0" baseline="0"/>
              <a:t> of</a:t>
            </a:r>
            <a:r>
              <a:rPr lang="en-US" sz="2200" b="0"/>
              <a:t> compensation of employees)</a:t>
            </a:r>
          </a:p>
        </c:rich>
      </c:tx>
      <c:layout>
        <c:manualLayout>
          <c:xMode val="edge"/>
          <c:yMode val="edge"/>
          <c:x val="0.223790822698887"/>
          <c:y val="0.00674902910891794"/>
        </c:manualLayout>
      </c:layout>
      <c:overlay val="0"/>
    </c:title>
    <c:autoTitleDeleted val="0"/>
    <c:plotArea>
      <c:layout>
        <c:manualLayout>
          <c:layoutTarget val="inner"/>
          <c:xMode val="edge"/>
          <c:yMode val="edge"/>
          <c:x val="0.0700894342705611"/>
          <c:y val="0.156224743093554"/>
          <c:w val="0.924131401878798"/>
          <c:h val="0.740399128075092"/>
        </c:manualLayout>
      </c:layout>
      <c:lineChart>
        <c:grouping val="standard"/>
        <c:varyColors val="0"/>
        <c:ser>
          <c:idx val="0"/>
          <c:order val="0"/>
          <c:spPr>
            <a:ln w="12700">
              <a:solidFill>
                <a:sysClr val="windowText" lastClr="000000"/>
              </a:solidFill>
            </a:ln>
            <a:effectLst/>
          </c:spPr>
          <c:marker>
            <c:symbol val="circle"/>
            <c:size val="10"/>
            <c:spPr>
              <a:solidFill>
                <a:schemeClr val="accent2">
                  <a:lumMod val="60000"/>
                  <a:lumOff val="40000"/>
                </a:schemeClr>
              </a:solidFill>
              <a:ln>
                <a:solidFill>
                  <a:sysClr val="windowText" lastClr="000000"/>
                </a:solidFill>
              </a:ln>
              <a:effectLst/>
            </c:spPr>
          </c:marker>
          <c:cat>
            <c:numRef>
              <c:f>DataF5!$A$5:$A$55</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DataF5!$B$5:$B$55</c:f>
              <c:numCache>
                <c:formatCode>0%</c:formatCode>
                <c:ptCount val="51"/>
                <c:pt idx="0">
                  <c:v>0.495081072086241</c:v>
                </c:pt>
                <c:pt idx="1">
                  <c:v>0.532007431981818</c:v>
                </c:pt>
                <c:pt idx="2">
                  <c:v>0.52756150735357</c:v>
                </c:pt>
                <c:pt idx="3">
                  <c:v>0.555696238257219</c:v>
                </c:pt>
                <c:pt idx="4">
                  <c:v>0.70531986712939</c:v>
                </c:pt>
                <c:pt idx="5">
                  <c:v>0.828542236504122</c:v>
                </c:pt>
                <c:pt idx="6">
                  <c:v>0.828308415536702</c:v>
                </c:pt>
                <c:pt idx="7">
                  <c:v>0.877080901751807</c:v>
                </c:pt>
                <c:pt idx="8">
                  <c:v>0.878684335957208</c:v>
                </c:pt>
                <c:pt idx="9">
                  <c:v>0.848547531930028</c:v>
                </c:pt>
                <c:pt idx="10">
                  <c:v>0.902330233756043</c:v>
                </c:pt>
                <c:pt idx="11">
                  <c:v>0.86798182350929</c:v>
                </c:pt>
                <c:pt idx="12">
                  <c:v>1.073396363296081</c:v>
                </c:pt>
                <c:pt idx="13">
                  <c:v>1.379407321516226</c:v>
                </c:pt>
                <c:pt idx="14">
                  <c:v>1.486744533185297</c:v>
                </c:pt>
                <c:pt idx="15">
                  <c:v>1.273940649387876</c:v>
                </c:pt>
                <c:pt idx="16">
                  <c:v>1.334708680189494</c:v>
                </c:pt>
                <c:pt idx="17">
                  <c:v>1.421432767102015</c:v>
                </c:pt>
                <c:pt idx="18">
                  <c:v>1.551394354663544</c:v>
                </c:pt>
                <c:pt idx="19">
                  <c:v>1.678238991227445</c:v>
                </c:pt>
                <c:pt idx="20">
                  <c:v>1.372038065912929</c:v>
                </c:pt>
                <c:pt idx="21">
                  <c:v>1.681453993678892</c:v>
                </c:pt>
                <c:pt idx="22">
                  <c:v>1.425073880171702</c:v>
                </c:pt>
                <c:pt idx="23">
                  <c:v>1.584155194752868</c:v>
                </c:pt>
                <c:pt idx="24">
                  <c:v>1.549846169636861</c:v>
                </c:pt>
                <c:pt idx="25">
                  <c:v>1.29708616778208</c:v>
                </c:pt>
                <c:pt idx="26">
                  <c:v>1.116893961874085</c:v>
                </c:pt>
                <c:pt idx="27">
                  <c:v>1.104922858194326</c:v>
                </c:pt>
                <c:pt idx="28">
                  <c:v>1.092497290835724</c:v>
                </c:pt>
                <c:pt idx="29">
                  <c:v>1.460399477867374</c:v>
                </c:pt>
                <c:pt idx="30">
                  <c:v>1.45015016029363</c:v>
                </c:pt>
                <c:pt idx="31">
                  <c:v>1.83661436640687</c:v>
                </c:pt>
                <c:pt idx="32">
                  <c:v>1.854730943315459</c:v>
                </c:pt>
                <c:pt idx="33">
                  <c:v>1.694293169745939</c:v>
                </c:pt>
                <c:pt idx="34">
                  <c:v>2.001730597961344</c:v>
                </c:pt>
                <c:pt idx="35">
                  <c:v>1.817009836656776</c:v>
                </c:pt>
                <c:pt idx="36">
                  <c:v>1.926045446185717</c:v>
                </c:pt>
                <c:pt idx="37">
                  <c:v>2.264764860414849</c:v>
                </c:pt>
                <c:pt idx="38">
                  <c:v>2.603370127204285</c:v>
                </c:pt>
                <c:pt idx="39">
                  <c:v>2.551174231426764</c:v>
                </c:pt>
                <c:pt idx="40">
                  <c:v>2.775752976511287</c:v>
                </c:pt>
                <c:pt idx="41">
                  <c:v>2.952541488270101</c:v>
                </c:pt>
                <c:pt idx="42">
                  <c:v>2.475317708601427</c:v>
                </c:pt>
                <c:pt idx="43">
                  <c:v>2.731557318175955</c:v>
                </c:pt>
                <c:pt idx="44">
                  <c:v>2.684956521417541</c:v>
                </c:pt>
                <c:pt idx="45">
                  <c:v>3.112007671393882</c:v>
                </c:pt>
                <c:pt idx="46">
                  <c:v>3.16923485220422</c:v>
                </c:pt>
                <c:pt idx="47">
                  <c:v>2.816314373942114</c:v>
                </c:pt>
                <c:pt idx="48">
                  <c:v>3.015125544246132</c:v>
                </c:pt>
                <c:pt idx="49">
                  <c:v>3.571806937533643</c:v>
                </c:pt>
              </c:numCache>
            </c:numRef>
          </c:val>
          <c:smooth val="0"/>
          <c:extLst xmlns:c16r2="http://schemas.microsoft.com/office/drawing/2015/06/char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DataF5!$A$5:$A$55</c:f>
              <c:numCache>
                <c:formatCode>General</c:formatCode>
                <c:ptCount val="51"/>
                <c:pt idx="0">
                  <c:v>1966.0</c:v>
                </c:pt>
                <c:pt idx="1">
                  <c:v>1967.0</c:v>
                </c:pt>
                <c:pt idx="2">
                  <c:v>1968.0</c:v>
                </c:pt>
                <c:pt idx="3">
                  <c:v>1969.0</c:v>
                </c:pt>
                <c:pt idx="4">
                  <c:v>1970.0</c:v>
                </c:pt>
                <c:pt idx="5">
                  <c:v>1971.0</c:v>
                </c:pt>
                <c:pt idx="6">
                  <c:v>1972.0</c:v>
                </c:pt>
                <c:pt idx="7">
                  <c:v>1973.0</c:v>
                </c:pt>
                <c:pt idx="8">
                  <c:v>1974.0</c:v>
                </c:pt>
                <c:pt idx="9">
                  <c:v>1975.0</c:v>
                </c:pt>
                <c:pt idx="10">
                  <c:v>1976.0</c:v>
                </c:pt>
                <c:pt idx="11">
                  <c:v>1977.0</c:v>
                </c:pt>
                <c:pt idx="12">
                  <c:v>1978.0</c:v>
                </c:pt>
                <c:pt idx="13">
                  <c:v>1979.0</c:v>
                </c:pt>
                <c:pt idx="14">
                  <c:v>1980.0</c:v>
                </c:pt>
                <c:pt idx="15">
                  <c:v>1981.0</c:v>
                </c:pt>
                <c:pt idx="16">
                  <c:v>1982.0</c:v>
                </c:pt>
                <c:pt idx="17">
                  <c:v>1983.0</c:v>
                </c:pt>
                <c:pt idx="18">
                  <c:v>1984.0</c:v>
                </c:pt>
                <c:pt idx="19">
                  <c:v>1985.0</c:v>
                </c:pt>
                <c:pt idx="20">
                  <c:v>1986.0</c:v>
                </c:pt>
                <c:pt idx="21">
                  <c:v>1987.0</c:v>
                </c:pt>
                <c:pt idx="22">
                  <c:v>1988.0</c:v>
                </c:pt>
                <c:pt idx="23">
                  <c:v>1989.0</c:v>
                </c:pt>
                <c:pt idx="24">
                  <c:v>1990.0</c:v>
                </c:pt>
                <c:pt idx="25">
                  <c:v>1991.0</c:v>
                </c:pt>
                <c:pt idx="26">
                  <c:v>1992.0</c:v>
                </c:pt>
                <c:pt idx="27">
                  <c:v>1993.0</c:v>
                </c:pt>
                <c:pt idx="28">
                  <c:v>1994.0</c:v>
                </c:pt>
                <c:pt idx="29">
                  <c:v>1995.0</c:v>
                </c:pt>
                <c:pt idx="30">
                  <c:v>1996.0</c:v>
                </c:pt>
                <c:pt idx="31">
                  <c:v>1997.0</c:v>
                </c:pt>
                <c:pt idx="32">
                  <c:v>1998.0</c:v>
                </c:pt>
                <c:pt idx="33">
                  <c:v>1999.0</c:v>
                </c:pt>
                <c:pt idx="34">
                  <c:v>2000.0</c:v>
                </c:pt>
                <c:pt idx="35">
                  <c:v>2001.0</c:v>
                </c:pt>
                <c:pt idx="36">
                  <c:v>2002.0</c:v>
                </c:pt>
                <c:pt idx="37">
                  <c:v>2003.0</c:v>
                </c:pt>
                <c:pt idx="38">
                  <c:v>2004.0</c:v>
                </c:pt>
                <c:pt idx="39">
                  <c:v>2005.0</c:v>
                </c:pt>
                <c:pt idx="40">
                  <c:v>2006.0</c:v>
                </c:pt>
                <c:pt idx="41">
                  <c:v>2007.0</c:v>
                </c:pt>
                <c:pt idx="42">
                  <c:v>2008.0</c:v>
                </c:pt>
                <c:pt idx="43">
                  <c:v>2009.0</c:v>
                </c:pt>
                <c:pt idx="44">
                  <c:v>2010.0</c:v>
                </c:pt>
                <c:pt idx="45">
                  <c:v>2011.0</c:v>
                </c:pt>
                <c:pt idx="46">
                  <c:v>2012.0</c:v>
                </c:pt>
                <c:pt idx="47">
                  <c:v>2013.0</c:v>
                </c:pt>
                <c:pt idx="48">
                  <c:v>2014.0</c:v>
                </c:pt>
                <c:pt idx="49">
                  <c:v>2015.0</c:v>
                </c:pt>
                <c:pt idx="50">
                  <c:v>2016.0</c:v>
                </c:pt>
              </c:numCache>
            </c:numRef>
          </c:cat>
          <c:val>
            <c:numRef>
              <c:f>DataF5!$C$5:$C$55</c:f>
              <c:numCache>
                <c:formatCode>0%</c:formatCode>
                <c:ptCount val="51"/>
                <c:pt idx="0">
                  <c:v>0.468051431638426</c:v>
                </c:pt>
                <c:pt idx="1">
                  <c:v>0.428275204638223</c:v>
                </c:pt>
                <c:pt idx="2">
                  <c:v>0.418355360942191</c:v>
                </c:pt>
                <c:pt idx="3">
                  <c:v>0.429542189238878</c:v>
                </c:pt>
                <c:pt idx="4">
                  <c:v>0.416528088583029</c:v>
                </c:pt>
                <c:pt idx="5">
                  <c:v>0.46447188052527</c:v>
                </c:pt>
                <c:pt idx="6">
                  <c:v>0.466093990498824</c:v>
                </c:pt>
                <c:pt idx="7">
                  <c:v>0.486404536459278</c:v>
                </c:pt>
                <c:pt idx="8">
                  <c:v>0.418210926683792</c:v>
                </c:pt>
                <c:pt idx="9">
                  <c:v>0.411905614871768</c:v>
                </c:pt>
                <c:pt idx="10">
                  <c:v>0.436733270519517</c:v>
                </c:pt>
                <c:pt idx="11">
                  <c:v>0.362752766160307</c:v>
                </c:pt>
                <c:pt idx="12">
                  <c:v>0.406717313683002</c:v>
                </c:pt>
                <c:pt idx="13">
                  <c:v>0.424044412316496</c:v>
                </c:pt>
                <c:pt idx="14">
                  <c:v>0.40050534117077</c:v>
                </c:pt>
                <c:pt idx="15">
                  <c:v>0.316437505554569</c:v>
                </c:pt>
                <c:pt idx="16">
                  <c:v>0.244269206984911</c:v>
                </c:pt>
                <c:pt idx="17">
                  <c:v>0.313386562446583</c:v>
                </c:pt>
                <c:pt idx="18">
                  <c:v>0.378192352534777</c:v>
                </c:pt>
                <c:pt idx="19">
                  <c:v>0.371586851531777</c:v>
                </c:pt>
                <c:pt idx="20">
                  <c:v>0.420631177567856</c:v>
                </c:pt>
                <c:pt idx="21">
                  <c:v>0.480416060552496</c:v>
                </c:pt>
                <c:pt idx="22">
                  <c:v>0.55628659647633</c:v>
                </c:pt>
                <c:pt idx="23">
                  <c:v>0.503557717454099</c:v>
                </c:pt>
                <c:pt idx="24">
                  <c:v>0.382039947925736</c:v>
                </c:pt>
                <c:pt idx="25">
                  <c:v>0.305591016241486</c:v>
                </c:pt>
                <c:pt idx="26">
                  <c:v>0.280245125881453</c:v>
                </c:pt>
                <c:pt idx="27">
                  <c:v>0.296463827526751</c:v>
                </c:pt>
                <c:pt idx="28">
                  <c:v>0.337848479787674</c:v>
                </c:pt>
                <c:pt idx="29">
                  <c:v>0.420682933674257</c:v>
                </c:pt>
                <c:pt idx="30">
                  <c:v>0.432648722518402</c:v>
                </c:pt>
                <c:pt idx="31">
                  <c:v>0.451226587546566</c:v>
                </c:pt>
                <c:pt idx="32">
                  <c:v>0.396367562040573</c:v>
                </c:pt>
                <c:pt idx="33">
                  <c:v>0.388808111134138</c:v>
                </c:pt>
                <c:pt idx="34">
                  <c:v>0.376950174828874</c:v>
                </c:pt>
                <c:pt idx="35">
                  <c:v>0.286871156433281</c:v>
                </c:pt>
                <c:pt idx="36">
                  <c:v>0.331558243314579</c:v>
                </c:pt>
                <c:pt idx="37">
                  <c:v>0.416684792484094</c:v>
                </c:pt>
                <c:pt idx="38">
                  <c:v>0.415362296390671</c:v>
                </c:pt>
                <c:pt idx="39">
                  <c:v>0.498573457382782</c:v>
                </c:pt>
                <c:pt idx="40">
                  <c:v>0.491071932654763</c:v>
                </c:pt>
                <c:pt idx="41">
                  <c:v>0.516948094512087</c:v>
                </c:pt>
                <c:pt idx="42">
                  <c:v>0.484984219338283</c:v>
                </c:pt>
                <c:pt idx="43">
                  <c:v>0.450404991566059</c:v>
                </c:pt>
                <c:pt idx="44">
                  <c:v>0.520296689405034</c:v>
                </c:pt>
                <c:pt idx="45">
                  <c:v>0.547601347947186</c:v>
                </c:pt>
                <c:pt idx="46">
                  <c:v>0.501574313155204</c:v>
                </c:pt>
                <c:pt idx="47">
                  <c:v>0.476134026767887</c:v>
                </c:pt>
                <c:pt idx="48">
                  <c:v>0.486326700135502</c:v>
                </c:pt>
                <c:pt idx="49">
                  <c:v>0.446555820206451</c:v>
                </c:pt>
              </c:numCache>
            </c:numRef>
          </c:val>
          <c:smooth val="0"/>
          <c:extLst xmlns:c16r2="http://schemas.microsoft.com/office/drawing/2015/06/chart">
            <c:ext xmlns:c16="http://schemas.microsoft.com/office/drawing/2014/chart" uri="{C3380CC4-5D6E-409C-BE32-E72D297353CC}">
              <c16:uniqueId val="{00000001-031C-4692-A13B-43C6E9AFA7F4}"/>
            </c:ext>
          </c:extLst>
        </c:ser>
        <c:dLbls>
          <c:showLegendKey val="0"/>
          <c:showVal val="0"/>
          <c:showCatName val="0"/>
          <c:showSerName val="0"/>
          <c:showPercent val="0"/>
          <c:showBubbleSize val="0"/>
        </c:dLbls>
        <c:marker val="1"/>
        <c:smooth val="0"/>
        <c:axId val="-2115848344"/>
        <c:axId val="-2115842408"/>
      </c:lineChart>
      <c:catAx>
        <c:axId val="-2115848344"/>
        <c:scaling>
          <c:orientation val="minMax"/>
        </c:scaling>
        <c:delete val="0"/>
        <c:axPos val="b"/>
        <c:numFmt formatCode="General" sourceLinked="1"/>
        <c:majorTickMark val="none"/>
        <c:minorTickMark val="none"/>
        <c:tickLblPos val="nextTo"/>
        <c:txPr>
          <a:bodyPr/>
          <a:lstStyle/>
          <a:p>
            <a:pPr>
              <a:defRPr sz="1800"/>
            </a:pPr>
            <a:endParaRPr lang="en-US"/>
          </a:p>
        </c:txPr>
        <c:crossAx val="-2115842408"/>
        <c:crosses val="autoZero"/>
        <c:auto val="1"/>
        <c:lblAlgn val="ctr"/>
        <c:lblOffset val="100"/>
        <c:tickLblSkip val="5"/>
        <c:noMultiLvlLbl val="0"/>
      </c:catAx>
      <c:valAx>
        <c:axId val="-2115842408"/>
        <c:scaling>
          <c:orientation val="minMax"/>
          <c:max val="3.6"/>
          <c:min val="0.0"/>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15848344"/>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40.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42.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44.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46.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48.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50.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51.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sheetViews>
    <sheetView tabSelected="1" zoomScale="85" workbookViewId="0"/>
  </sheetViews>
  <pageMargins left="0.7" right="0.7" top="0.75" bottom="0.75" header="0.3" footer="0.3"/>
  <pageSetup paperSize="9" orientation="landscape"/>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12.xml><?xml version="1.0" encoding="utf-8"?>
<chartsheet xmlns="http://schemas.openxmlformats.org/spreadsheetml/2006/main" xmlns:r="http://schemas.openxmlformats.org/officeDocument/2006/relationships">
  <sheetPr/>
  <sheetViews>
    <sheetView zoomScale="75" workbookViewId="0"/>
  </sheetViews>
  <pageMargins left="0.75" right="0.75" top="1" bottom="1" header="0.5" footer="0.5"/>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drawing r:id="rId1"/>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drawing r:id="rId1"/>
</chartsheet>
</file>

<file path=xl/chartsheets/sheet16.xml><?xml version="1.0" encoding="utf-8"?>
<chartsheet xmlns="http://schemas.openxmlformats.org/spreadsheetml/2006/main" xmlns:r="http://schemas.openxmlformats.org/officeDocument/2006/relationships">
  <sheetPr codeName="Chart32"/>
  <sheetViews>
    <sheetView workbookViewId="0"/>
  </sheetViews>
  <pageMargins left="0.7" right="0.7" top="0.75" bottom="0.75" header="0.3" footer="0.3"/>
  <pageSetup paperSize="9" orientation="landscape"/>
  <drawing r:id="rId1"/>
</chartsheet>
</file>

<file path=xl/chartsheets/sheet1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1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1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 right="0.7" top="0.75" bottom="0.75" header="0.3" footer="0.3"/>
  <pageSetup paperSize="9" orientation="landscape"/>
  <drawing r:id="rId1"/>
</chartsheet>
</file>

<file path=xl/chartsheets/sheet2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21.xml><?xml version="1.0" encoding="utf-8"?>
<chartsheet xmlns="http://schemas.openxmlformats.org/spreadsheetml/2006/main" xmlns:r="http://schemas.openxmlformats.org/officeDocument/2006/relationships">
  <sheetPr codeName="Chart46"/>
  <sheetViews>
    <sheetView workbookViewId="0"/>
  </sheetViews>
  <pageMargins left="0.7" right="0.7" top="0.75" bottom="0.75" header="0.3" footer="0.3"/>
  <pageSetup paperSize="9" orientation="landscape"/>
  <drawing r:id="rId1"/>
</chartsheet>
</file>

<file path=xl/chartsheets/sheet2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2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drawing r:id="rId1"/>
</chartsheet>
</file>

<file path=xl/chartsheets/sheet24.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25.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26.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drawing r:id="rId1"/>
</chartsheet>
</file>

<file path=xl/chartsheets/sheet27.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drawing r:id="rId1"/>
</chartsheet>
</file>

<file path=xl/chartsheets/sheet28.xml><?xml version="1.0" encoding="utf-8"?>
<chartsheet xmlns="http://schemas.openxmlformats.org/spreadsheetml/2006/main" xmlns:r="http://schemas.openxmlformats.org/officeDocument/2006/relationships">
  <sheetPr codeName="Chart51"/>
  <sheetViews>
    <sheetView workbookViewId="0"/>
  </sheetViews>
  <pageMargins left="0.7" right="0.7" top="0.75" bottom="0.75" header="0.3" footer="0.3"/>
  <pageSetup paperSize="9" orientation="landscape"/>
  <drawing r:id="rId1"/>
</chartsheet>
</file>

<file path=xl/chartsheets/sheet29.xml><?xml version="1.0" encoding="utf-8"?>
<chartsheet xmlns="http://schemas.openxmlformats.org/spreadsheetml/2006/main" xmlns:r="http://schemas.openxmlformats.org/officeDocument/2006/relationships">
  <sheetPr codeName="Chart50"/>
  <sheetViews>
    <sheetView zoomScale="85" workbookViewId="0"/>
  </sheetViews>
  <pageMargins left="0.7" right="0.7" top="0.75" bottom="0.75"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9.xml.rels><?xml version="1.0" encoding="UTF-8" standalone="yes"?>
<Relationships xmlns="http://schemas.openxmlformats.org/package/2006/relationships"><Relationship Id="rId9" Type="http://schemas.openxmlformats.org/officeDocument/2006/relationships/chart" Target="../charts/chart31.xml"/><Relationship Id="rId20" Type="http://schemas.openxmlformats.org/officeDocument/2006/relationships/chart" Target="../charts/chart42.xml"/><Relationship Id="rId10" Type="http://schemas.openxmlformats.org/officeDocument/2006/relationships/chart" Target="../charts/chart32.xml"/><Relationship Id="rId11" Type="http://schemas.openxmlformats.org/officeDocument/2006/relationships/chart" Target="../charts/chart33.xml"/><Relationship Id="rId12" Type="http://schemas.openxmlformats.org/officeDocument/2006/relationships/chart" Target="../charts/chart34.xml"/><Relationship Id="rId13" Type="http://schemas.openxmlformats.org/officeDocument/2006/relationships/chart" Target="../charts/chart35.xml"/><Relationship Id="rId14" Type="http://schemas.openxmlformats.org/officeDocument/2006/relationships/chart" Target="../charts/chart36.xml"/><Relationship Id="rId15" Type="http://schemas.openxmlformats.org/officeDocument/2006/relationships/chart" Target="../charts/chart37.xml"/><Relationship Id="rId16" Type="http://schemas.openxmlformats.org/officeDocument/2006/relationships/chart" Target="../charts/chart38.xml"/><Relationship Id="rId17" Type="http://schemas.openxmlformats.org/officeDocument/2006/relationships/chart" Target="../charts/chart39.xml"/><Relationship Id="rId18" Type="http://schemas.openxmlformats.org/officeDocument/2006/relationships/chart" Target="../charts/chart40.xml"/><Relationship Id="rId19" Type="http://schemas.openxmlformats.org/officeDocument/2006/relationships/chart" Target="../charts/chart41.xml"/><Relationship Id="rId1" Type="http://schemas.openxmlformats.org/officeDocument/2006/relationships/chart" Target="../charts/chart23.xml"/><Relationship Id="rId2" Type="http://schemas.openxmlformats.org/officeDocument/2006/relationships/chart" Target="../charts/chart24.xml"/><Relationship Id="rId3" Type="http://schemas.openxmlformats.org/officeDocument/2006/relationships/chart" Target="../charts/chart25.xml"/><Relationship Id="rId4" Type="http://schemas.openxmlformats.org/officeDocument/2006/relationships/chart" Target="../charts/chart26.xml"/><Relationship Id="rId5" Type="http://schemas.openxmlformats.org/officeDocument/2006/relationships/chart" Target="../charts/chart27.xml"/><Relationship Id="rId6" Type="http://schemas.openxmlformats.org/officeDocument/2006/relationships/chart" Target="../charts/chart28.xml"/><Relationship Id="rId7" Type="http://schemas.openxmlformats.org/officeDocument/2006/relationships/chart" Target="../charts/chart29.xml"/><Relationship Id="rId8" Type="http://schemas.openxmlformats.org/officeDocument/2006/relationships/chart" Target="../charts/chart30.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0.10576</cdr:x>
      <cdr:y>0.12226</cdr:y>
    </cdr:from>
    <cdr:to>
      <cdr:x>0.13749</cdr:x>
      <cdr:y>0.1363</cdr:y>
    </cdr:to>
    <cdr:sp macro="" textlink="">
      <cdr:nvSpPr>
        <cdr:cNvPr id="4" name="Rectangle 3"/>
        <cdr:cNvSpPr/>
      </cdr:nvSpPr>
      <cdr:spPr>
        <a:xfrm xmlns:a="http://schemas.openxmlformats.org/drawingml/2006/main">
          <a:off x="984883" y="743927"/>
          <a:ext cx="295472" cy="85430"/>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0.09463</cdr:x>
      <cdr:y>0.12277</cdr:y>
    </cdr:from>
    <cdr:to>
      <cdr:x>0.10716</cdr:x>
      <cdr:y>0.13635</cdr:y>
    </cdr:to>
    <cdr:cxnSp macro="">
      <cdr:nvCxnSpPr>
        <cdr:cNvPr id="7" name="Straight Connector 6"/>
        <cdr:cNvCxnSpPr/>
      </cdr:nvCxnSpPr>
      <cdr:spPr>
        <a:xfrm xmlns:a="http://schemas.openxmlformats.org/drawingml/2006/main">
          <a:off x="881221" y="747015"/>
          <a:ext cx="116680" cy="82631"/>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0.0957</cdr:x>
      <cdr:y>0.10938</cdr:y>
    </cdr:from>
    <cdr:to>
      <cdr:x>0.10822</cdr:x>
      <cdr:y>0.12296</cdr:y>
    </cdr:to>
    <cdr:cxnSp macro="">
      <cdr:nvCxnSpPr>
        <cdr:cNvPr id="11" name="Straight Connector 10"/>
        <cdr:cNvCxnSpPr/>
      </cdr:nvCxnSpPr>
      <cdr:spPr>
        <a:xfrm xmlns:a="http://schemas.openxmlformats.org/drawingml/2006/main">
          <a:off x="891178" y="665557"/>
          <a:ext cx="116587" cy="82632"/>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0.10576</cdr:x>
      <cdr:y>0.12226</cdr:y>
    </cdr:from>
    <cdr:to>
      <cdr:x>0.13749</cdr:x>
      <cdr:y>0.1363</cdr:y>
    </cdr:to>
    <cdr:sp macro="" textlink="">
      <cdr:nvSpPr>
        <cdr:cNvPr id="4" name="Rectangle 3"/>
        <cdr:cNvSpPr/>
      </cdr:nvSpPr>
      <cdr:spPr>
        <a:xfrm xmlns:a="http://schemas.openxmlformats.org/drawingml/2006/main">
          <a:off x="984883" y="743927"/>
          <a:ext cx="295472" cy="85430"/>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0.09463</cdr:x>
      <cdr:y>0.12277</cdr:y>
    </cdr:from>
    <cdr:to>
      <cdr:x>0.10716</cdr:x>
      <cdr:y>0.13635</cdr:y>
    </cdr:to>
    <cdr:cxnSp macro="">
      <cdr:nvCxnSpPr>
        <cdr:cNvPr id="7" name="Straight Connector 6"/>
        <cdr:cNvCxnSpPr/>
      </cdr:nvCxnSpPr>
      <cdr:spPr>
        <a:xfrm xmlns:a="http://schemas.openxmlformats.org/drawingml/2006/main">
          <a:off x="881221" y="747015"/>
          <a:ext cx="116680" cy="82631"/>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0.0957</cdr:x>
      <cdr:y>0.10938</cdr:y>
    </cdr:from>
    <cdr:to>
      <cdr:x>0.10822</cdr:x>
      <cdr:y>0.12296</cdr:y>
    </cdr:to>
    <cdr:cxnSp macro="">
      <cdr:nvCxnSpPr>
        <cdr:cNvPr id="11" name="Straight Connector 10"/>
        <cdr:cNvCxnSpPr/>
      </cdr:nvCxnSpPr>
      <cdr:spPr>
        <a:xfrm xmlns:a="http://schemas.openxmlformats.org/drawingml/2006/main">
          <a:off x="891178" y="665557"/>
          <a:ext cx="116587" cy="82632"/>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0.57379</cdr:x>
      <cdr:y>0.37557</cdr:y>
    </cdr:from>
    <cdr:to>
      <cdr:x>0.67172</cdr:x>
      <cdr:y>0.44344</cdr:y>
    </cdr:to>
    <cdr:sp macro="" textlink="">
      <cdr:nvSpPr>
        <cdr:cNvPr id="2" name="Rectangle 1"/>
        <cdr:cNvSpPr/>
      </cdr:nvSpPr>
      <cdr:spPr>
        <a:xfrm xmlns:a="http://schemas.openxmlformats.org/drawingml/2006/main">
          <a:off x="5283194" y="2108212"/>
          <a:ext cx="90169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2">
                  <a:lumMod val="75000"/>
                </a:schemeClr>
              </a:solidFill>
              <a:latin typeface="Garamond" panose="02020404030301010803" pitchFamily="18" charset="0"/>
              <a:cs typeface="Arial"/>
            </a:rPr>
            <a:t>Ireland</a:t>
          </a:r>
        </a:p>
      </cdr:txBody>
    </cdr:sp>
  </cdr:relSizeAnchor>
  <cdr:relSizeAnchor xmlns:cdr="http://schemas.openxmlformats.org/drawingml/2006/chartDrawing">
    <cdr:from>
      <cdr:x>0.75724</cdr:x>
      <cdr:y>0.72171</cdr:y>
    </cdr:from>
    <cdr:to>
      <cdr:x>0.93517</cdr:x>
      <cdr:y>0.78958</cdr:y>
    </cdr:to>
    <cdr:sp macro="" textlink="">
      <cdr:nvSpPr>
        <cdr:cNvPr id="3" name="Rectangle 2"/>
        <cdr:cNvSpPr/>
      </cdr:nvSpPr>
      <cdr:spPr>
        <a:xfrm xmlns:a="http://schemas.openxmlformats.org/drawingml/2006/main">
          <a:off x="6972303" y="4051273"/>
          <a:ext cx="1638291"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United States</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0.75724</cdr:x>
      <cdr:y>0.72171</cdr:y>
    </cdr:from>
    <cdr:to>
      <cdr:x>0.93517</cdr:x>
      <cdr:y>0.78958</cdr:y>
    </cdr:to>
    <cdr:sp macro="" textlink="">
      <cdr:nvSpPr>
        <cdr:cNvPr id="3" name="Rectangle 2"/>
        <cdr:cNvSpPr/>
      </cdr:nvSpPr>
      <cdr:spPr>
        <a:xfrm xmlns:a="http://schemas.openxmlformats.org/drawingml/2006/main">
          <a:off x="6972303" y="4051273"/>
          <a:ext cx="1638291"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United States</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0.45793</cdr:x>
      <cdr:y>0.38688</cdr:y>
    </cdr:from>
    <cdr:to>
      <cdr:x>0.69103</cdr:x>
      <cdr:y>0.45475</cdr:y>
    </cdr:to>
    <cdr:sp macro="" textlink="">
      <cdr:nvSpPr>
        <cdr:cNvPr id="2" name="Rectangle 1"/>
        <cdr:cNvSpPr/>
      </cdr:nvSpPr>
      <cdr:spPr>
        <a:xfrm xmlns:a="http://schemas.openxmlformats.org/drawingml/2006/main">
          <a:off x="4216400" y="2171712"/>
          <a:ext cx="21463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2">
                  <a:lumMod val="75000"/>
                </a:schemeClr>
              </a:solidFill>
              <a:latin typeface="Garamond" panose="02020404030301010803" pitchFamily="18" charset="0"/>
              <a:cs typeface="Arial"/>
            </a:rPr>
            <a:t>Tax haven affiliates</a:t>
          </a:r>
        </a:p>
      </cdr:txBody>
    </cdr:sp>
  </cdr:relSizeAnchor>
  <cdr:relSizeAnchor xmlns:cdr="http://schemas.openxmlformats.org/drawingml/2006/chartDrawing">
    <cdr:from>
      <cdr:x>0.72828</cdr:x>
      <cdr:y>0.70814</cdr:y>
    </cdr:from>
    <cdr:to>
      <cdr:x>0.98207</cdr:x>
      <cdr:y>0.77601</cdr:y>
    </cdr:to>
    <cdr:sp macro="" textlink="">
      <cdr:nvSpPr>
        <cdr:cNvPr id="3" name="Rectangle 2"/>
        <cdr:cNvSpPr/>
      </cdr:nvSpPr>
      <cdr:spPr>
        <a:xfrm xmlns:a="http://schemas.openxmlformats.org/drawingml/2006/main">
          <a:off x="6705601" y="3975073"/>
          <a:ext cx="23368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Non-haven</a:t>
          </a:r>
          <a:r>
            <a:rPr lang="fr-FR" sz="2000" baseline="0">
              <a:solidFill>
                <a:schemeClr val="tx2">
                  <a:lumMod val="75000"/>
                </a:schemeClr>
              </a:solidFill>
              <a:latin typeface="Garamond" panose="02020404030301010803" pitchFamily="18" charset="0"/>
              <a:cs typeface="Arial"/>
            </a:rPr>
            <a:t> affiliates</a:t>
          </a:r>
          <a:endParaRPr lang="fr-FR" sz="2000">
            <a:solidFill>
              <a:schemeClr val="tx2">
                <a:lumMod val="75000"/>
              </a:schemeClr>
            </a:solidFill>
            <a:latin typeface="Garamond" panose="02020404030301010803" pitchFamily="18" charset="0"/>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0.63959</cdr:x>
      <cdr:y>0.60261</cdr:y>
    </cdr:from>
    <cdr:to>
      <cdr:x>0.99478</cdr:x>
      <cdr:y>0.65848</cdr:y>
    </cdr:to>
    <cdr:sp macro="" textlink="">
      <cdr:nvSpPr>
        <cdr:cNvPr id="3" name="Rectangle 2"/>
        <cdr:cNvSpPr/>
      </cdr:nvSpPr>
      <cdr:spPr>
        <a:xfrm xmlns:a="http://schemas.openxmlformats.org/drawingml/2006/main">
          <a:off x="5953529" y="3664482"/>
          <a:ext cx="3306234" cy="3397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tx1"/>
              </a:solidFill>
              <a:effectLst/>
              <a:latin typeface="Garamond"/>
              <a:cs typeface="Garamond"/>
            </a:rPr>
            <a:t>Average among non-havens: 36%</a:t>
          </a:r>
        </a:p>
      </cdr:txBody>
    </cdr:sp>
  </cdr:relSizeAnchor>
</c:userShapes>
</file>

<file path=xl/drawings/drawing20.xml><?xml version="1.0" encoding="utf-8"?>
<c:userShapes xmlns:c="http://schemas.openxmlformats.org/drawingml/2006/chart">
  <cdr:relSizeAnchor xmlns:cdr="http://schemas.openxmlformats.org/drawingml/2006/chartDrawing">
    <cdr:from>
      <cdr:x>0.45793</cdr:x>
      <cdr:y>0.38688</cdr:y>
    </cdr:from>
    <cdr:to>
      <cdr:x>0.69103</cdr:x>
      <cdr:y>0.45475</cdr:y>
    </cdr:to>
    <cdr:sp macro="" textlink="">
      <cdr:nvSpPr>
        <cdr:cNvPr id="2" name="Rectangle 1"/>
        <cdr:cNvSpPr/>
      </cdr:nvSpPr>
      <cdr:spPr>
        <a:xfrm xmlns:a="http://schemas.openxmlformats.org/drawingml/2006/main">
          <a:off x="4216400" y="2171712"/>
          <a:ext cx="21463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2">
                  <a:lumMod val="75000"/>
                </a:schemeClr>
              </a:solidFill>
              <a:latin typeface="Garamond" panose="02020404030301010803" pitchFamily="18" charset="0"/>
              <a:cs typeface="Arial"/>
            </a:rPr>
            <a:t>Tax haven affiliates</a:t>
          </a:r>
        </a:p>
      </cdr:txBody>
    </cdr:sp>
  </cdr:relSizeAnchor>
  <cdr:relSizeAnchor xmlns:cdr="http://schemas.openxmlformats.org/drawingml/2006/chartDrawing">
    <cdr:from>
      <cdr:x>0.73242</cdr:x>
      <cdr:y>0.60859</cdr:y>
    </cdr:from>
    <cdr:to>
      <cdr:x>0.98621</cdr:x>
      <cdr:y>0.67646</cdr:y>
    </cdr:to>
    <cdr:sp macro="" textlink="">
      <cdr:nvSpPr>
        <cdr:cNvPr id="3" name="Rectangle 2"/>
        <cdr:cNvSpPr/>
      </cdr:nvSpPr>
      <cdr:spPr>
        <a:xfrm xmlns:a="http://schemas.openxmlformats.org/drawingml/2006/main">
          <a:off x="6743738" y="3416273"/>
          <a:ext cx="2336772"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Non-haven</a:t>
          </a:r>
          <a:r>
            <a:rPr lang="fr-FR" sz="2000" baseline="0">
              <a:solidFill>
                <a:schemeClr val="tx2">
                  <a:lumMod val="75000"/>
                </a:schemeClr>
              </a:solidFill>
              <a:latin typeface="Garamond" panose="02020404030301010803" pitchFamily="18" charset="0"/>
              <a:cs typeface="Arial"/>
            </a:rPr>
            <a:t> affiliates</a:t>
          </a:r>
          <a:endParaRPr lang="fr-FR" sz="2000">
            <a:solidFill>
              <a:schemeClr val="tx2">
                <a:lumMod val="75000"/>
              </a:schemeClr>
            </a:solidFill>
            <a:latin typeface="Garamond" panose="02020404030301010803" pitchFamily="18" charset="0"/>
            <a:cs typeface="Arial"/>
          </a:endParaRPr>
        </a:p>
      </cdr:txBody>
    </cdr:sp>
  </cdr:relSizeAnchor>
  <cdr:relSizeAnchor xmlns:cdr="http://schemas.openxmlformats.org/drawingml/2006/chartDrawing">
    <cdr:from>
      <cdr:x>0.55862</cdr:x>
      <cdr:y>0.89367</cdr:y>
    </cdr:from>
    <cdr:to>
      <cdr:x>0.88966</cdr:x>
      <cdr:y>0.96154</cdr:y>
    </cdr:to>
    <cdr:sp macro="" textlink="">
      <cdr:nvSpPr>
        <cdr:cNvPr id="4" name="Rectangle 3"/>
        <cdr:cNvSpPr/>
      </cdr:nvSpPr>
      <cdr:spPr>
        <a:xfrm xmlns:a="http://schemas.openxmlformats.org/drawingml/2006/main">
          <a:off x="5143500" y="5016500"/>
          <a:ext cx="30480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bg1">
                  <a:lumMod val="65000"/>
                </a:schemeClr>
              </a:solidFill>
              <a:latin typeface="Garamond" panose="02020404030301010803" pitchFamily="18" charset="0"/>
              <a:cs typeface="Arial"/>
            </a:rPr>
            <a:t>US</a:t>
          </a:r>
          <a:r>
            <a:rPr lang="fr-FR" sz="2000" baseline="0">
              <a:solidFill>
                <a:schemeClr val="bg1">
                  <a:lumMod val="65000"/>
                </a:schemeClr>
              </a:solidFill>
              <a:latin typeface="Garamond" panose="02020404030301010803" pitchFamily="18" charset="0"/>
              <a:cs typeface="Arial"/>
            </a:rPr>
            <a:t> affiliates of foreign firms</a:t>
          </a:r>
          <a:endParaRPr lang="fr-FR" sz="2000">
            <a:solidFill>
              <a:schemeClr val="bg1">
                <a:lumMod val="65000"/>
              </a:schemeClr>
            </a:solidFill>
            <a:latin typeface="Garamond" panose="02020404030301010803" pitchFamily="18" charset="0"/>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0.56968</cdr:x>
      <cdr:y>0.65691</cdr:y>
    </cdr:from>
    <cdr:to>
      <cdr:x>0.98908</cdr:x>
      <cdr:y>0.71278</cdr:y>
    </cdr:to>
    <cdr:sp macro="" textlink="">
      <cdr:nvSpPr>
        <cdr:cNvPr id="3" name="Rectangle 2"/>
        <cdr:cNvSpPr/>
      </cdr:nvSpPr>
      <cdr:spPr>
        <a:xfrm xmlns:a="http://schemas.openxmlformats.org/drawingml/2006/main">
          <a:off x="5295931" y="3987830"/>
          <a:ext cx="3898911" cy="3391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tx2">
                  <a:lumMod val="75000"/>
                </a:schemeClr>
              </a:solidFill>
              <a:effectLst/>
              <a:latin typeface="Garamond"/>
              <a:cs typeface="Garamond"/>
            </a:rPr>
            <a:t>Average among non-haven affiliates: 49%</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8568267" cy="582506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0.08924</cdr:x>
      <cdr:y>0.81057</cdr:y>
    </cdr:from>
    <cdr:to>
      <cdr:x>0.95376</cdr:x>
      <cdr:y>0.81057</cdr:y>
    </cdr:to>
    <cdr:cxnSp macro="">
      <cdr:nvCxnSpPr>
        <cdr:cNvPr id="6" name="Straight Connector 5"/>
        <cdr:cNvCxnSpPr/>
      </cdr:nvCxnSpPr>
      <cdr:spPr>
        <a:xfrm xmlns:a="http://schemas.openxmlformats.org/drawingml/2006/main">
          <a:off x="764601" y="4721641"/>
          <a:ext cx="7407438" cy="0"/>
        </a:xfrm>
        <a:prstGeom xmlns:a="http://schemas.openxmlformats.org/drawingml/2006/main" prst="line">
          <a:avLst/>
        </a:prstGeom>
        <a:ln xmlns:a="http://schemas.openxmlformats.org/drawingml/2006/main" w="12700">
          <a:solidFill>
            <a:schemeClr val="tx1"/>
          </a:solidFill>
          <a:prstDash val="dash"/>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25.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0.65241</cdr:x>
      <cdr:y>0.58145</cdr:y>
    </cdr:from>
    <cdr:to>
      <cdr:x>1</cdr:x>
      <cdr:y>0.64932</cdr:y>
    </cdr:to>
    <cdr:sp macro="" textlink="">
      <cdr:nvSpPr>
        <cdr:cNvPr id="2" name="Rectangle 1"/>
        <cdr:cNvSpPr/>
      </cdr:nvSpPr>
      <cdr:spPr>
        <a:xfrm xmlns:a="http://schemas.openxmlformats.org/drawingml/2006/main">
          <a:off x="6007100" y="3263888"/>
          <a:ext cx="32004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Physical capital / wage (</a:t>
          </a:r>
          <a:r>
            <a:rPr lang="fr-FR" sz="2000" i="1">
              <a:solidFill>
                <a:schemeClr val="tx2">
                  <a:lumMod val="75000"/>
                </a:schemeClr>
              </a:solidFill>
              <a:latin typeface="Garamond" panose="02020404030301010803" pitchFamily="18" charset="0"/>
              <a:cs typeface="Arial"/>
            </a:rPr>
            <a:t>K/wL</a:t>
          </a:r>
          <a:r>
            <a:rPr lang="fr-FR" sz="2000">
              <a:solidFill>
                <a:schemeClr val="tx2">
                  <a:lumMod val="75000"/>
                </a:schemeClr>
              </a:solidFill>
              <a:latin typeface="Garamond" panose="02020404030301010803" pitchFamily="18" charset="0"/>
              <a:cs typeface="Arial"/>
            </a:rPr>
            <a:t>)</a:t>
          </a:r>
        </a:p>
      </cdr:txBody>
    </cdr:sp>
  </cdr:relSizeAnchor>
  <cdr:relSizeAnchor xmlns:cdr="http://schemas.openxmlformats.org/drawingml/2006/chartDrawing">
    <cdr:from>
      <cdr:x>0.48828</cdr:x>
      <cdr:y>0.20361</cdr:y>
    </cdr:from>
    <cdr:to>
      <cdr:x>0.93793</cdr:x>
      <cdr:y>0.27148</cdr:y>
    </cdr:to>
    <cdr:sp macro="" textlink="">
      <cdr:nvSpPr>
        <cdr:cNvPr id="3" name="Rectangle 2"/>
        <cdr:cNvSpPr/>
      </cdr:nvSpPr>
      <cdr:spPr>
        <a:xfrm xmlns:a="http://schemas.openxmlformats.org/drawingml/2006/main">
          <a:off x="4495801" y="1142957"/>
          <a:ext cx="4140199"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50000"/>
                </a:schemeClr>
              </a:solidFill>
              <a:latin typeface="Garamond" panose="02020404030301010803" pitchFamily="18" charset="0"/>
              <a:cs typeface="Arial"/>
            </a:rPr>
            <a:t>Operating surplus / physical capital (</a:t>
          </a:r>
          <a:r>
            <a:rPr lang="fr-FR" sz="2000" i="1">
              <a:solidFill>
                <a:schemeClr val="tx2">
                  <a:lumMod val="50000"/>
                </a:schemeClr>
              </a:solidFill>
              <a:latin typeface="Garamond" panose="02020404030301010803" pitchFamily="18" charset="0"/>
              <a:cs typeface="Arial"/>
            </a:rPr>
            <a:t>r</a:t>
          </a:r>
          <a:r>
            <a:rPr lang="fr-FR" sz="2000">
              <a:solidFill>
                <a:schemeClr val="tx2">
                  <a:lumMod val="50000"/>
                </a:schemeClr>
              </a:solidFill>
              <a:latin typeface="Garamond" panose="02020404030301010803" pitchFamily="18" charset="0"/>
              <a:cs typeface="Arial"/>
            </a:rPr>
            <a:t>)</a:t>
          </a:r>
        </a:p>
      </cdr:txBody>
    </cdr:sp>
  </cdr:relSizeAnchor>
  <cdr:relSizeAnchor xmlns:cdr="http://schemas.openxmlformats.org/drawingml/2006/chartDrawing">
    <cdr:from>
      <cdr:x>0.14482</cdr:x>
      <cdr:y>0.50678</cdr:y>
    </cdr:from>
    <cdr:to>
      <cdr:x>0.45103</cdr:x>
      <cdr:y>0.57465</cdr:y>
    </cdr:to>
    <cdr:sp macro="" textlink="">
      <cdr:nvSpPr>
        <cdr:cNvPr id="4" name="Rectangle 3"/>
        <cdr:cNvSpPr/>
      </cdr:nvSpPr>
      <cdr:spPr>
        <a:xfrm xmlns:a="http://schemas.openxmlformats.org/drawingml/2006/main">
          <a:off x="1333471" y="2844785"/>
          <a:ext cx="2819429"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6">
                  <a:lumMod val="75000"/>
                </a:schemeClr>
              </a:solidFill>
              <a:latin typeface="Garamond" panose="02020404030301010803" pitchFamily="18" charset="0"/>
              <a:cs typeface="Arial"/>
            </a:rPr>
            <a:t>Net interest received (</a:t>
          </a:r>
          <a:r>
            <a:rPr lang="fr-FR" sz="2000" i="1">
              <a:solidFill>
                <a:schemeClr val="accent6">
                  <a:lumMod val="75000"/>
                </a:schemeClr>
              </a:solidFill>
              <a:latin typeface="Garamond" panose="02020404030301010803" pitchFamily="18" charset="0"/>
              <a:cs typeface="Arial"/>
            </a:rPr>
            <a:t>1-p</a:t>
          </a:r>
          <a:r>
            <a:rPr lang="fr-FR" sz="2000" i="0">
              <a:solidFill>
                <a:schemeClr val="accent6">
                  <a:lumMod val="75000"/>
                </a:schemeClr>
              </a:solidFill>
              <a:latin typeface="Garamond" panose="02020404030301010803" pitchFamily="18" charset="0"/>
              <a:cs typeface="Arial"/>
            </a:rPr>
            <a:t>)</a:t>
          </a:r>
          <a:endParaRPr lang="fr-FR" sz="2000">
            <a:solidFill>
              <a:schemeClr val="accent6">
                <a:lumMod val="75000"/>
              </a:schemeClr>
            </a:solidFill>
            <a:latin typeface="Garamond" panose="02020404030301010803" pitchFamily="18" charset="0"/>
            <a:cs typeface="Arial"/>
          </a:endParaRP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0.65241</cdr:x>
      <cdr:y>0.58145</cdr:y>
    </cdr:from>
    <cdr:to>
      <cdr:x>1</cdr:x>
      <cdr:y>0.64932</cdr:y>
    </cdr:to>
    <cdr:sp macro="" textlink="">
      <cdr:nvSpPr>
        <cdr:cNvPr id="2" name="Rectangle 1"/>
        <cdr:cNvSpPr/>
      </cdr:nvSpPr>
      <cdr:spPr>
        <a:xfrm xmlns:a="http://schemas.openxmlformats.org/drawingml/2006/main">
          <a:off x="6007100" y="3263888"/>
          <a:ext cx="32004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Physical capital / wage (</a:t>
          </a:r>
          <a:r>
            <a:rPr lang="fr-FR" sz="2000" i="1">
              <a:solidFill>
                <a:schemeClr val="tx2">
                  <a:lumMod val="75000"/>
                </a:schemeClr>
              </a:solidFill>
              <a:latin typeface="Garamond" panose="02020404030301010803" pitchFamily="18" charset="0"/>
              <a:cs typeface="Arial"/>
            </a:rPr>
            <a:t>K/wL</a:t>
          </a:r>
          <a:r>
            <a:rPr lang="fr-FR" sz="2000">
              <a:solidFill>
                <a:schemeClr val="tx2">
                  <a:lumMod val="75000"/>
                </a:schemeClr>
              </a:solidFill>
              <a:latin typeface="Garamond" panose="02020404030301010803" pitchFamily="18" charset="0"/>
              <a:cs typeface="Arial"/>
            </a:rPr>
            <a:t>)</a:t>
          </a:r>
        </a:p>
      </cdr:txBody>
    </cdr:sp>
  </cdr:relSizeAnchor>
  <cdr:relSizeAnchor xmlns:cdr="http://schemas.openxmlformats.org/drawingml/2006/chartDrawing">
    <cdr:from>
      <cdr:x>0.48828</cdr:x>
      <cdr:y>0.20361</cdr:y>
    </cdr:from>
    <cdr:to>
      <cdr:x>0.93793</cdr:x>
      <cdr:y>0.27148</cdr:y>
    </cdr:to>
    <cdr:sp macro="" textlink="">
      <cdr:nvSpPr>
        <cdr:cNvPr id="3" name="Rectangle 2"/>
        <cdr:cNvSpPr/>
      </cdr:nvSpPr>
      <cdr:spPr>
        <a:xfrm xmlns:a="http://schemas.openxmlformats.org/drawingml/2006/main">
          <a:off x="4495801" y="1142957"/>
          <a:ext cx="4140199"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50000"/>
                </a:schemeClr>
              </a:solidFill>
              <a:latin typeface="Garamond" panose="02020404030301010803" pitchFamily="18" charset="0"/>
              <a:cs typeface="Arial"/>
            </a:rPr>
            <a:t>Operating surplus / physical capital (</a:t>
          </a:r>
          <a:r>
            <a:rPr lang="fr-FR" sz="2000" i="1">
              <a:solidFill>
                <a:schemeClr val="tx2">
                  <a:lumMod val="50000"/>
                </a:schemeClr>
              </a:solidFill>
              <a:latin typeface="Garamond" panose="02020404030301010803" pitchFamily="18" charset="0"/>
              <a:cs typeface="Arial"/>
            </a:rPr>
            <a:t>r</a:t>
          </a:r>
          <a:r>
            <a:rPr lang="fr-FR" sz="2000">
              <a:solidFill>
                <a:schemeClr val="tx2">
                  <a:lumMod val="50000"/>
                </a:schemeClr>
              </a:solidFill>
              <a:latin typeface="Garamond" panose="02020404030301010803" pitchFamily="18" charset="0"/>
              <a:cs typeface="Arial"/>
            </a:rPr>
            <a:t>)</a:t>
          </a:r>
        </a:p>
      </cdr:txBody>
    </cdr:sp>
  </cdr:relSizeAnchor>
  <cdr:relSizeAnchor xmlns:cdr="http://schemas.openxmlformats.org/drawingml/2006/chartDrawing">
    <cdr:from>
      <cdr:x>0.14482</cdr:x>
      <cdr:y>0.50678</cdr:y>
    </cdr:from>
    <cdr:to>
      <cdr:x>0.45103</cdr:x>
      <cdr:y>0.57465</cdr:y>
    </cdr:to>
    <cdr:sp macro="" textlink="">
      <cdr:nvSpPr>
        <cdr:cNvPr id="4" name="Rectangle 3"/>
        <cdr:cNvSpPr/>
      </cdr:nvSpPr>
      <cdr:spPr>
        <a:xfrm xmlns:a="http://schemas.openxmlformats.org/drawingml/2006/main">
          <a:off x="1333471" y="2844785"/>
          <a:ext cx="2819429"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6">
                  <a:lumMod val="75000"/>
                </a:schemeClr>
              </a:solidFill>
              <a:latin typeface="Garamond" panose="02020404030301010803" pitchFamily="18" charset="0"/>
              <a:cs typeface="Arial"/>
            </a:rPr>
            <a:t>Net interest received (</a:t>
          </a:r>
          <a:r>
            <a:rPr lang="fr-FR" sz="2000" i="1">
              <a:solidFill>
                <a:schemeClr val="accent6">
                  <a:lumMod val="75000"/>
                </a:schemeClr>
              </a:solidFill>
              <a:latin typeface="Garamond" panose="02020404030301010803" pitchFamily="18" charset="0"/>
              <a:cs typeface="Arial"/>
            </a:rPr>
            <a:t>1-p</a:t>
          </a:r>
          <a:r>
            <a:rPr lang="fr-FR" sz="2000" i="0">
              <a:solidFill>
                <a:schemeClr val="accent6">
                  <a:lumMod val="75000"/>
                </a:schemeClr>
              </a:solidFill>
              <a:latin typeface="Garamond" panose="02020404030301010803" pitchFamily="18" charset="0"/>
              <a:cs typeface="Arial"/>
            </a:rPr>
            <a:t>)</a:t>
          </a:r>
          <a:endParaRPr lang="fr-FR" sz="2000">
            <a:solidFill>
              <a:schemeClr val="accent6">
                <a:lumMod val="75000"/>
              </a:schemeClr>
            </a:solidFill>
            <a:latin typeface="Garamond" panose="02020404030301010803" pitchFamily="18" charset="0"/>
            <a:cs typeface="Arial"/>
          </a:endParaRPr>
        </a:p>
      </cdr:txBody>
    </cdr:sp>
  </cdr:relSizeAnchor>
  <cdr:relSizeAnchor xmlns:cdr="http://schemas.openxmlformats.org/drawingml/2006/chartDrawing">
    <cdr:from>
      <cdr:x>0.12138</cdr:x>
      <cdr:y>0.21267</cdr:y>
    </cdr:from>
    <cdr:to>
      <cdr:x>0.46897</cdr:x>
      <cdr:y>0.28054</cdr:y>
    </cdr:to>
    <cdr:sp macro="" textlink="">
      <cdr:nvSpPr>
        <cdr:cNvPr id="6" name="Rectangle 5"/>
        <cdr:cNvSpPr/>
      </cdr:nvSpPr>
      <cdr:spPr>
        <a:xfrm xmlns:a="http://schemas.openxmlformats.org/drawingml/2006/main">
          <a:off x="1117600" y="1193800"/>
          <a:ext cx="32004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200" i="0">
              <a:solidFill>
                <a:schemeClr val="tx1"/>
              </a:solidFill>
              <a:latin typeface="Lucida Grande"/>
              <a:ea typeface="Lucida Grande"/>
              <a:cs typeface="Lucida Grande"/>
            </a:rPr>
            <a:t>π</a:t>
          </a:r>
          <a:r>
            <a:rPr lang="fr-FR" sz="2200" i="0">
              <a:solidFill>
                <a:schemeClr val="tx1"/>
              </a:solidFill>
              <a:latin typeface="Garamond" panose="02020404030301010803" pitchFamily="18" charset="0"/>
              <a:cs typeface="Arial"/>
            </a:rPr>
            <a:t> = (K/wL).</a:t>
          </a:r>
          <a:r>
            <a:rPr lang="fr-FR" sz="2200" i="0" baseline="0">
              <a:solidFill>
                <a:schemeClr val="tx1"/>
              </a:solidFill>
              <a:latin typeface="Garamond" panose="02020404030301010803" pitchFamily="18" charset="0"/>
              <a:cs typeface="Arial"/>
            </a:rPr>
            <a:t>r.(1-p)</a:t>
          </a:r>
          <a:endParaRPr lang="fr-FR" sz="2200" i="0">
            <a:solidFill>
              <a:schemeClr val="tx1"/>
            </a:solidFill>
            <a:latin typeface="Garamond" panose="02020404030301010803" pitchFamily="18" charset="0"/>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0.66803</cdr:x>
      <cdr:y>0.43305</cdr:y>
    </cdr:from>
    <cdr:to>
      <cdr:x>0.92486</cdr:x>
      <cdr:y>0.48893</cdr:y>
    </cdr:to>
    <cdr:sp macro="" textlink="">
      <cdr:nvSpPr>
        <cdr:cNvPr id="3" name="Rectangle 2"/>
        <cdr:cNvSpPr/>
      </cdr:nvSpPr>
      <cdr:spPr>
        <a:xfrm xmlns:a="http://schemas.openxmlformats.org/drawingml/2006/main">
          <a:off x="6210300" y="2628900"/>
          <a:ext cx="2387600" cy="33921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rgbClr val="000000"/>
              </a:solidFill>
              <a:effectLst/>
              <a:latin typeface="Garamond"/>
              <a:cs typeface="Garamond"/>
            </a:rPr>
            <a:t>Global average: 10%</a:t>
          </a:r>
        </a:p>
      </cdr:txBody>
    </cdr:sp>
  </cdr:relSizeAnchor>
  <cdr:relSizeAnchor xmlns:cdr="http://schemas.openxmlformats.org/drawingml/2006/chartDrawing">
    <cdr:from>
      <cdr:x>0.10246</cdr:x>
      <cdr:y>0.50628</cdr:y>
    </cdr:from>
    <cdr:to>
      <cdr:x>0.94126</cdr:x>
      <cdr:y>0.50628</cdr:y>
    </cdr:to>
    <cdr:cxnSp macro="">
      <cdr:nvCxnSpPr>
        <cdr:cNvPr id="4" name="Connecteur droit avec flèche 9"/>
        <cdr:cNvCxnSpPr/>
      </cdr:nvCxnSpPr>
      <cdr:spPr>
        <a:xfrm xmlns:a="http://schemas.openxmlformats.org/drawingml/2006/main">
          <a:off x="952500" y="3073400"/>
          <a:ext cx="7797800" cy="0"/>
        </a:xfrm>
        <a:prstGeom xmlns:a="http://schemas.openxmlformats.org/drawingml/2006/main" prst="straightConnector1">
          <a:avLst/>
        </a:prstGeom>
        <a:ln xmlns:a="http://schemas.openxmlformats.org/drawingml/2006/main" w="19050">
          <a:solidFill>
            <a:schemeClr val="tx1"/>
          </a:solidFill>
          <a:tailEnd type="none"/>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0.6428</cdr:x>
      <cdr:y>0.39868</cdr:y>
    </cdr:from>
    <cdr:to>
      <cdr:x>0.99799</cdr:x>
      <cdr:y>0.45455</cdr:y>
    </cdr:to>
    <cdr:sp macro="" textlink="">
      <cdr:nvSpPr>
        <cdr:cNvPr id="3" name="Rectangle 2"/>
        <cdr:cNvSpPr/>
      </cdr:nvSpPr>
      <cdr:spPr>
        <a:xfrm xmlns:a="http://schemas.openxmlformats.org/drawingml/2006/main">
          <a:off x="5983411" y="2424389"/>
          <a:ext cx="3306234" cy="3397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tx2">
                  <a:lumMod val="60000"/>
                  <a:lumOff val="40000"/>
                </a:schemeClr>
              </a:solidFill>
              <a:effectLst/>
              <a:latin typeface="Garamond"/>
              <a:cs typeface="Garamond"/>
            </a:rPr>
            <a:t>Average among non-havens: 3.5%</a:t>
          </a: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xdr:wsDr xmlns:xdr="http://schemas.openxmlformats.org/drawingml/2006/spreadsheetDrawing" xmlns:a="http://schemas.openxmlformats.org/drawingml/2006/main">
  <xdr:twoCellAnchor>
    <xdr:from>
      <xdr:col>52</xdr:col>
      <xdr:colOff>127000</xdr:colOff>
      <xdr:row>56</xdr:row>
      <xdr:rowOff>0</xdr:rowOff>
    </xdr:from>
    <xdr:to>
      <xdr:col>56</xdr:col>
      <xdr:colOff>577850</xdr:colOff>
      <xdr:row>70</xdr:row>
      <xdr:rowOff>127000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57</xdr:col>
      <xdr:colOff>82550</xdr:colOff>
      <xdr:row>72</xdr:row>
      <xdr:rowOff>50800</xdr:rowOff>
    </xdr:from>
    <xdr:to>
      <xdr:col>62</xdr:col>
      <xdr:colOff>419100</xdr:colOff>
      <xdr:row>85</xdr:row>
      <xdr:rowOff>184150</xdr:rowOff>
    </xdr:to>
    <xdr:graphicFrame macro="">
      <xdr:nvGraphicFramePr>
        <xdr:cNvPr id="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62</xdr:col>
      <xdr:colOff>774700</xdr:colOff>
      <xdr:row>55</xdr:row>
      <xdr:rowOff>165100</xdr:rowOff>
    </xdr:from>
    <xdr:to>
      <xdr:col>67</xdr:col>
      <xdr:colOff>336550</xdr:colOff>
      <xdr:row>71</xdr:row>
      <xdr:rowOff>50800</xdr:rowOff>
    </xdr:to>
    <xdr:graphicFrame macro="">
      <xdr:nvGraphicFramePr>
        <xdr:cNvPr id="4"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67</xdr:col>
      <xdr:colOff>539750</xdr:colOff>
      <xdr:row>56</xdr:row>
      <xdr:rowOff>101600</xdr:rowOff>
    </xdr:from>
    <xdr:to>
      <xdr:col>72</xdr:col>
      <xdr:colOff>349250</xdr:colOff>
      <xdr:row>70</xdr:row>
      <xdr:rowOff>177800</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768350</xdr:colOff>
      <xdr:row>53</xdr:row>
      <xdr:rowOff>88900</xdr:rowOff>
    </xdr:from>
    <xdr:to>
      <xdr:col>6</xdr:col>
      <xdr:colOff>101600</xdr:colOff>
      <xdr:row>67</xdr:row>
      <xdr:rowOff>165100</xdr:rowOff>
    </xdr:to>
    <xdr:graphicFrame macro="">
      <xdr:nvGraphicFramePr>
        <xdr:cNvPr id="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52</xdr:col>
      <xdr:colOff>266700</xdr:colOff>
      <xdr:row>71</xdr:row>
      <xdr:rowOff>165100</xdr:rowOff>
    </xdr:from>
    <xdr:to>
      <xdr:col>56</xdr:col>
      <xdr:colOff>641350</xdr:colOff>
      <xdr:row>86</xdr:row>
      <xdr:rowOff>114300</xdr:rowOff>
    </xdr:to>
    <xdr:graphicFrame macro="">
      <xdr:nvGraphicFramePr>
        <xdr:cNvPr id="7"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330200</xdr:colOff>
      <xdr:row>87</xdr:row>
      <xdr:rowOff>101600</xdr:rowOff>
    </xdr:from>
    <xdr:to>
      <xdr:col>56</xdr:col>
      <xdr:colOff>704850</xdr:colOff>
      <xdr:row>102</xdr:row>
      <xdr:rowOff>50800</xdr:rowOff>
    </xdr:to>
    <xdr:graphicFrame macro="">
      <xdr:nvGraphicFramePr>
        <xdr:cNvPr id="8"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75</xdr:col>
      <xdr:colOff>0</xdr:colOff>
      <xdr:row>57</xdr:row>
      <xdr:rowOff>0</xdr:rowOff>
    </xdr:from>
    <xdr:to>
      <xdr:col>79</xdr:col>
      <xdr:colOff>762000</xdr:colOff>
      <xdr:row>71</xdr:row>
      <xdr:rowOff>76200</xdr:rowOff>
    </xdr:to>
    <xdr:graphicFrame macro="">
      <xdr:nvGraphicFramePr>
        <xdr:cNvPr id="9"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101600</xdr:colOff>
      <xdr:row>53</xdr:row>
      <xdr:rowOff>82550</xdr:rowOff>
    </xdr:from>
    <xdr:to>
      <xdr:col>40</xdr:col>
      <xdr:colOff>863600</xdr:colOff>
      <xdr:row>67</xdr:row>
      <xdr:rowOff>158750</xdr:rowOff>
    </xdr:to>
    <xdr:graphicFrame macro="">
      <xdr:nvGraphicFramePr>
        <xdr:cNvPr id="10"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457200</xdr:colOff>
      <xdr:row>52</xdr:row>
      <xdr:rowOff>158750</xdr:rowOff>
    </xdr:from>
    <xdr:to>
      <xdr:col>16</xdr:col>
      <xdr:colOff>266700</xdr:colOff>
      <xdr:row>67</xdr:row>
      <xdr:rowOff>44450</xdr:rowOff>
    </xdr:to>
    <xdr:graphicFrame macro="">
      <xdr:nvGraphicFramePr>
        <xdr:cNvPr id="11"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57</xdr:col>
      <xdr:colOff>152400</xdr:colOff>
      <xdr:row>87</xdr:row>
      <xdr:rowOff>165100</xdr:rowOff>
    </xdr:from>
    <xdr:to>
      <xdr:col>62</xdr:col>
      <xdr:colOff>527050</xdr:colOff>
      <xdr:row>102</xdr:row>
      <xdr:rowOff>114300</xdr:rowOff>
    </xdr:to>
    <xdr:graphicFrame macro="">
      <xdr:nvGraphicFramePr>
        <xdr:cNvPr id="12"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177800</xdr:colOff>
      <xdr:row>55</xdr:row>
      <xdr:rowOff>19050</xdr:rowOff>
    </xdr:from>
    <xdr:to>
      <xdr:col>51</xdr:col>
      <xdr:colOff>863600</xdr:colOff>
      <xdr:row>69</xdr:row>
      <xdr:rowOff>95250</xdr:rowOff>
    </xdr:to>
    <xdr:graphicFrame macro="">
      <xdr:nvGraphicFramePr>
        <xdr:cNvPr id="13"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122</xdr:col>
      <xdr:colOff>863600</xdr:colOff>
      <xdr:row>82</xdr:row>
      <xdr:rowOff>114300</xdr:rowOff>
    </xdr:from>
    <xdr:to>
      <xdr:col>127</xdr:col>
      <xdr:colOff>393700</xdr:colOff>
      <xdr:row>97</xdr:row>
      <xdr:rowOff>38100</xdr:rowOff>
    </xdr:to>
    <xdr:graphicFrame macro="">
      <xdr:nvGraphicFramePr>
        <xdr:cNvPr id="14"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123</xdr:col>
      <xdr:colOff>0</xdr:colOff>
      <xdr:row>53</xdr:row>
      <xdr:rowOff>0</xdr:rowOff>
    </xdr:from>
    <xdr:to>
      <xdr:col>127</xdr:col>
      <xdr:colOff>355600</xdr:colOff>
      <xdr:row>67</xdr:row>
      <xdr:rowOff>88900</xdr:rowOff>
    </xdr:to>
    <xdr:graphicFrame macro="">
      <xdr:nvGraphicFramePr>
        <xdr:cNvPr id="15"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123</xdr:col>
      <xdr:colOff>12700</xdr:colOff>
      <xdr:row>67</xdr:row>
      <xdr:rowOff>177800</xdr:rowOff>
    </xdr:from>
    <xdr:to>
      <xdr:col>127</xdr:col>
      <xdr:colOff>355600</xdr:colOff>
      <xdr:row>82</xdr:row>
      <xdr:rowOff>25400</xdr:rowOff>
    </xdr:to>
    <xdr:graphicFrame macro="">
      <xdr:nvGraphicFramePr>
        <xdr:cNvPr id="16"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110</xdr:col>
      <xdr:colOff>889000</xdr:colOff>
      <xdr:row>66</xdr:row>
      <xdr:rowOff>139700</xdr:rowOff>
    </xdr:from>
    <xdr:to>
      <xdr:col>116</xdr:col>
      <xdr:colOff>431800</xdr:colOff>
      <xdr:row>80</xdr:row>
      <xdr:rowOff>177800</xdr:rowOff>
    </xdr:to>
    <xdr:graphicFrame macro="">
      <xdr:nvGraphicFramePr>
        <xdr:cNvPr id="17" name="Graphique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110</xdr:col>
      <xdr:colOff>876300</xdr:colOff>
      <xdr:row>81</xdr:row>
      <xdr:rowOff>101600</xdr:rowOff>
    </xdr:from>
    <xdr:to>
      <xdr:col>115</xdr:col>
      <xdr:colOff>876300</xdr:colOff>
      <xdr:row>95</xdr:row>
      <xdr:rowOff>114300</xdr:rowOff>
    </xdr:to>
    <xdr:graphicFrame macro="">
      <xdr:nvGraphicFramePr>
        <xdr:cNvPr id="18"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111</xdr:col>
      <xdr:colOff>0</xdr:colOff>
      <xdr:row>52</xdr:row>
      <xdr:rowOff>88900</xdr:rowOff>
    </xdr:from>
    <xdr:to>
      <xdr:col>115</xdr:col>
      <xdr:colOff>736600</xdr:colOff>
      <xdr:row>65</xdr:row>
      <xdr:rowOff>38100</xdr:rowOff>
    </xdr:to>
    <xdr:graphicFrame macro="">
      <xdr:nvGraphicFramePr>
        <xdr:cNvPr id="19"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116</xdr:col>
      <xdr:colOff>692150</xdr:colOff>
      <xdr:row>52</xdr:row>
      <xdr:rowOff>57150</xdr:rowOff>
    </xdr:from>
    <xdr:to>
      <xdr:col>121</xdr:col>
      <xdr:colOff>501650</xdr:colOff>
      <xdr:row>66</xdr:row>
      <xdr:rowOff>133350</xdr:rowOff>
    </xdr:to>
    <xdr:graphicFrame macro="">
      <xdr:nvGraphicFramePr>
        <xdr:cNvPr id="20" name="Graphique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42</xdr:col>
      <xdr:colOff>0</xdr:colOff>
      <xdr:row>70</xdr:row>
      <xdr:rowOff>0</xdr:rowOff>
    </xdr:from>
    <xdr:to>
      <xdr:col>46</xdr:col>
      <xdr:colOff>609600</xdr:colOff>
      <xdr:row>84</xdr:row>
      <xdr:rowOff>76200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0.63798</cdr:x>
      <cdr:y>0.5805</cdr:y>
    </cdr:from>
    <cdr:to>
      <cdr:x>0.99317</cdr:x>
      <cdr:y>0.63636</cdr:y>
    </cdr:to>
    <cdr:sp macro="" textlink="">
      <cdr:nvSpPr>
        <cdr:cNvPr id="3" name="Rectangle 2"/>
        <cdr:cNvSpPr/>
      </cdr:nvSpPr>
      <cdr:spPr>
        <a:xfrm xmlns:a="http://schemas.openxmlformats.org/drawingml/2006/main">
          <a:off x="5938543" y="3530025"/>
          <a:ext cx="3306234" cy="339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tx1"/>
              </a:solidFill>
              <a:effectLst/>
              <a:latin typeface="Garamond"/>
              <a:cs typeface="Garamond"/>
            </a:rPr>
            <a:t>Average among non-havens: 36%</a:t>
          </a:r>
        </a:p>
      </cdr:txBody>
    </cdr:sp>
  </cdr:relSizeAnchor>
</c:userShapes>
</file>

<file path=xl/drawings/drawing40.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c:userShapes xmlns:c="http://schemas.openxmlformats.org/drawingml/2006/chart">
  <cdr:relSizeAnchor xmlns:cdr="http://schemas.openxmlformats.org/drawingml/2006/chartDrawing">
    <cdr:from>
      <cdr:x>0.54211</cdr:x>
      <cdr:y>0.17872</cdr:y>
    </cdr:from>
    <cdr:to>
      <cdr:x>0.67836</cdr:x>
      <cdr:y>0.24659</cdr:y>
    </cdr:to>
    <cdr:sp macro="" textlink="">
      <cdr:nvSpPr>
        <cdr:cNvPr id="3" name="Rectangle 2"/>
        <cdr:cNvSpPr/>
      </cdr:nvSpPr>
      <cdr:spPr>
        <a:xfrm xmlns:a="http://schemas.openxmlformats.org/drawingml/2006/main">
          <a:off x="4993201" y="1004354"/>
          <a:ext cx="1254954" cy="381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2">
                  <a:lumMod val="75000"/>
                </a:schemeClr>
              </a:solidFill>
              <a:latin typeface="Garamond" panose="02020404030301010803" pitchFamily="18" charset="0"/>
              <a:cs typeface="Arial"/>
            </a:rPr>
            <a:t>Ireland</a:t>
          </a:r>
        </a:p>
      </cdr:txBody>
    </cdr:sp>
  </cdr:relSizeAnchor>
  <cdr:relSizeAnchor xmlns:cdr="http://schemas.openxmlformats.org/drawingml/2006/chartDrawing">
    <cdr:from>
      <cdr:x>0.27009</cdr:x>
      <cdr:y>0.36002</cdr:y>
    </cdr:from>
    <cdr:to>
      <cdr:x>0.49741</cdr:x>
      <cdr:y>0.42789</cdr:y>
    </cdr:to>
    <cdr:sp macro="" textlink="">
      <cdr:nvSpPr>
        <cdr:cNvPr id="6" name="Rectangle 5"/>
        <cdr:cNvSpPr/>
      </cdr:nvSpPr>
      <cdr:spPr>
        <a:xfrm xmlns:a="http://schemas.openxmlformats.org/drawingml/2006/main">
          <a:off x="2487714" y="2023219"/>
          <a:ext cx="2093771" cy="3814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United States</a:t>
          </a:r>
        </a:p>
      </cdr:txBody>
    </cdr:sp>
  </cdr:relSizeAnchor>
</c:userShapes>
</file>

<file path=xl/drawings/drawing42.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c:userShapes xmlns:c="http://schemas.openxmlformats.org/drawingml/2006/chart">
  <cdr:relSizeAnchor xmlns:cdr="http://schemas.openxmlformats.org/drawingml/2006/chartDrawing">
    <cdr:from>
      <cdr:x>0.17333</cdr:x>
      <cdr:y>0.49415</cdr:y>
    </cdr:from>
    <cdr:to>
      <cdr:x>0.47259</cdr:x>
      <cdr:y>0.55945</cdr:y>
    </cdr:to>
    <cdr:sp macro="" textlink="">
      <cdr:nvSpPr>
        <cdr:cNvPr id="2" name="Rectangle 1"/>
        <cdr:cNvSpPr/>
      </cdr:nvSpPr>
      <cdr:spPr>
        <a:xfrm xmlns:a="http://schemas.openxmlformats.org/drawingml/2006/main">
          <a:off x="1485900" y="2882900"/>
          <a:ext cx="2565400"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a:solidFill>
                <a:schemeClr val="accent2">
                  <a:lumMod val="75000"/>
                </a:schemeClr>
              </a:solidFill>
              <a:latin typeface="Garamond" panose="02020404030301010803" pitchFamily="18" charset="0"/>
              <a:cs typeface="Arial"/>
            </a:rPr>
            <a:t>Tax revenue (left)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baseline="0">
              <a:solidFill>
                <a:schemeClr val="accent2">
                  <a:lumMod val="75000"/>
                </a:schemeClr>
              </a:solidFill>
              <a:latin typeface="Garamond" panose="02020404030301010803" pitchFamily="18" charset="0"/>
              <a:cs typeface="Arial"/>
            </a:rPr>
            <a:t>(% of national income)</a:t>
          </a:r>
        </a:p>
      </cdr:txBody>
    </cdr:sp>
  </cdr:relSizeAnchor>
  <cdr:relSizeAnchor xmlns:cdr="http://schemas.openxmlformats.org/drawingml/2006/chartDrawing">
    <cdr:from>
      <cdr:x>0.66666</cdr:x>
      <cdr:y>0.52674</cdr:y>
    </cdr:from>
    <cdr:to>
      <cdr:x>0.96592</cdr:x>
      <cdr:y>0.59204</cdr:y>
    </cdr:to>
    <cdr:sp macro="" textlink="">
      <cdr:nvSpPr>
        <cdr:cNvPr id="3" name="Rectangle 2"/>
        <cdr:cNvSpPr/>
      </cdr:nvSpPr>
      <cdr:spPr>
        <a:xfrm xmlns:a="http://schemas.openxmlformats.org/drawingml/2006/main">
          <a:off x="5714962" y="3070552"/>
          <a:ext cx="2565406" cy="38065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a:solidFill>
                <a:schemeClr val="tx1"/>
              </a:solidFill>
              <a:latin typeface="Garamond" panose="02020404030301010803" pitchFamily="18" charset="0"/>
              <a:cs typeface="Arial"/>
            </a:rPr>
            <a:t>Nominal tax</a:t>
          </a:r>
          <a:r>
            <a:rPr lang="fr-FR" sz="2000" baseline="0">
              <a:solidFill>
                <a:schemeClr val="tx1"/>
              </a:solidFill>
              <a:latin typeface="Garamond" panose="02020404030301010803" pitchFamily="18" charset="0"/>
              <a:cs typeface="Arial"/>
            </a:rPr>
            <a:t> rate </a:t>
          </a:r>
          <a:r>
            <a:rPr lang="fr-FR" sz="2000">
              <a:solidFill>
                <a:schemeClr val="tx1"/>
              </a:solidFill>
              <a:latin typeface="Garamond" panose="02020404030301010803" pitchFamily="18" charset="0"/>
              <a:cs typeface="Arial"/>
            </a:rPr>
            <a:t>(right)</a:t>
          </a:r>
        </a:p>
      </cdr:txBody>
    </cdr:sp>
  </cdr:relSizeAnchor>
</c:userShapes>
</file>

<file path=xl/drawings/drawing44.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5.xml><?xml version="1.0" encoding="utf-8"?>
<c:userShapes xmlns:c="http://schemas.openxmlformats.org/drawingml/2006/chart">
  <cdr:relSizeAnchor xmlns:cdr="http://schemas.openxmlformats.org/drawingml/2006/chartDrawing">
    <cdr:from>
      <cdr:x>0.27704</cdr:x>
      <cdr:y>0.17633</cdr:y>
    </cdr:from>
    <cdr:to>
      <cdr:x>0.56592</cdr:x>
      <cdr:y>0.24163</cdr:y>
    </cdr:to>
    <cdr:sp macro="" textlink="">
      <cdr:nvSpPr>
        <cdr:cNvPr id="2" name="Rectangle 1"/>
        <cdr:cNvSpPr/>
      </cdr:nvSpPr>
      <cdr:spPr>
        <a:xfrm xmlns:a="http://schemas.openxmlformats.org/drawingml/2006/main">
          <a:off x="2374900" y="1028702"/>
          <a:ext cx="2476478" cy="3809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a:solidFill>
                <a:schemeClr val="accent2">
                  <a:lumMod val="75000"/>
                </a:schemeClr>
              </a:solidFill>
              <a:latin typeface="Garamond" panose="02020404030301010803" pitchFamily="18" charset="0"/>
              <a:cs typeface="Arial"/>
            </a:rPr>
            <a:t>Tax revenue (left)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baseline="0">
              <a:solidFill>
                <a:schemeClr val="accent2">
                  <a:lumMod val="75000"/>
                </a:schemeClr>
              </a:solidFill>
              <a:latin typeface="Garamond" panose="02020404030301010803" pitchFamily="18" charset="0"/>
              <a:cs typeface="Arial"/>
            </a:rPr>
            <a:t>(% of national income)</a:t>
          </a:r>
        </a:p>
      </cdr:txBody>
    </cdr:sp>
  </cdr:relSizeAnchor>
  <cdr:relSizeAnchor xmlns:cdr="http://schemas.openxmlformats.org/drawingml/2006/chartDrawing">
    <cdr:from>
      <cdr:x>0.61629</cdr:x>
      <cdr:y>0.69007</cdr:y>
    </cdr:from>
    <cdr:to>
      <cdr:x>0.91555</cdr:x>
      <cdr:y>0.75537</cdr:y>
    </cdr:to>
    <cdr:sp macro="" textlink="">
      <cdr:nvSpPr>
        <cdr:cNvPr id="3" name="Rectangle 2"/>
        <cdr:cNvSpPr/>
      </cdr:nvSpPr>
      <cdr:spPr>
        <a:xfrm xmlns:a="http://schemas.openxmlformats.org/drawingml/2006/main">
          <a:off x="5283162" y="4025903"/>
          <a:ext cx="2565406" cy="3809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a:solidFill>
                <a:schemeClr val="tx1"/>
              </a:solidFill>
              <a:latin typeface="Garamond" panose="02020404030301010803" pitchFamily="18" charset="0"/>
              <a:cs typeface="Arial"/>
            </a:rPr>
            <a:t>Effective tax</a:t>
          </a:r>
          <a:r>
            <a:rPr lang="fr-FR" sz="2000" baseline="0">
              <a:solidFill>
                <a:schemeClr val="tx1"/>
              </a:solidFill>
              <a:latin typeface="Garamond" panose="02020404030301010803" pitchFamily="18" charset="0"/>
              <a:cs typeface="Arial"/>
            </a:rPr>
            <a:t> rate </a:t>
          </a:r>
          <a:r>
            <a:rPr lang="fr-FR" sz="2000">
              <a:solidFill>
                <a:schemeClr val="tx1"/>
              </a:solidFill>
              <a:latin typeface="Garamond" panose="02020404030301010803" pitchFamily="18" charset="0"/>
              <a:cs typeface="Arial"/>
            </a:rPr>
            <a:t>(right)</a:t>
          </a:r>
        </a:p>
      </cdr:txBody>
    </cdr:sp>
  </cdr:relSizeAnchor>
</c:userShapes>
</file>

<file path=xl/drawings/drawing46.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7.xml><?xml version="1.0" encoding="utf-8"?>
<c:userShapes xmlns:c="http://schemas.openxmlformats.org/drawingml/2006/chart">
  <cdr:relSizeAnchor xmlns:cdr="http://schemas.openxmlformats.org/drawingml/2006/chartDrawing">
    <cdr:from>
      <cdr:x>0.02356</cdr:x>
      <cdr:y>0.93267</cdr:y>
    </cdr:from>
    <cdr:to>
      <cdr:x>0.98862</cdr:x>
      <cdr:y>0.99429</cdr:y>
    </cdr:to>
    <cdr:sp macro="" textlink="">
      <cdr:nvSpPr>
        <cdr:cNvPr id="2" name="Rectangle 1"/>
        <cdr:cNvSpPr/>
      </cdr:nvSpPr>
      <cdr:spPr>
        <a:xfrm xmlns:a="http://schemas.openxmlformats.org/drawingml/2006/main">
          <a:off x="216965" y="5241397"/>
          <a:ext cx="8888855" cy="3462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rtl="0"/>
          <a:r>
            <a:rPr lang="en-US" sz="1400" b="0" i="0" baseline="0">
              <a:solidFill>
                <a:schemeClr val="tx1"/>
              </a:solidFill>
              <a:effectLst/>
              <a:latin typeface="Garamond" panose="02020404030301010803" pitchFamily="18" charset="0"/>
              <a:ea typeface="+mn-ea"/>
              <a:cs typeface="+mn-cs"/>
            </a:rPr>
            <a:t>Note:  European Union is the average of France, Germany, U.K., and Italy.</a:t>
          </a:r>
          <a:endParaRPr lang="en-US" sz="1400" i="0">
            <a:solidFill>
              <a:schemeClr val="tx1"/>
            </a:solidFill>
            <a:effectLst/>
            <a:latin typeface="Garamond" panose="02020404030301010803" pitchFamily="18" charset="0"/>
          </a:endParaRPr>
        </a:p>
      </cdr:txBody>
    </cdr:sp>
  </cdr:relSizeAnchor>
  <cdr:relSizeAnchor xmlns:cdr="http://schemas.openxmlformats.org/drawingml/2006/chartDrawing">
    <cdr:from>
      <cdr:x>0.85441</cdr:x>
      <cdr:y>0.19566</cdr:y>
    </cdr:from>
    <cdr:to>
      <cdr:x>0.99066</cdr:x>
      <cdr:y>0.26353</cdr:y>
    </cdr:to>
    <cdr:sp macro="" textlink="">
      <cdr:nvSpPr>
        <cdr:cNvPr id="3" name="Rectangle 2"/>
        <cdr:cNvSpPr/>
      </cdr:nvSpPr>
      <cdr:spPr>
        <a:xfrm xmlns:a="http://schemas.openxmlformats.org/drawingml/2006/main">
          <a:off x="7869732" y="1099570"/>
          <a:ext cx="1254954" cy="3814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1"/>
              </a:solidFill>
              <a:latin typeface="Garamond" panose="02020404030301010803" pitchFamily="18" charset="0"/>
              <a:cs typeface="Arial"/>
            </a:rPr>
            <a:t>Ireland</a:t>
          </a:r>
        </a:p>
      </cdr:txBody>
    </cdr:sp>
  </cdr:relSizeAnchor>
  <cdr:relSizeAnchor xmlns:cdr="http://schemas.openxmlformats.org/drawingml/2006/chartDrawing">
    <cdr:from>
      <cdr:x>0.11807</cdr:x>
      <cdr:y>0.44985</cdr:y>
    </cdr:from>
    <cdr:to>
      <cdr:x>0.34643</cdr:x>
      <cdr:y>0.51772</cdr:y>
    </cdr:to>
    <cdr:sp macro="" textlink="">
      <cdr:nvSpPr>
        <cdr:cNvPr id="6" name="Rectangle 5"/>
        <cdr:cNvSpPr/>
      </cdr:nvSpPr>
      <cdr:spPr>
        <a:xfrm xmlns:a="http://schemas.openxmlformats.org/drawingml/2006/main">
          <a:off x="1087502" y="2528028"/>
          <a:ext cx="2103349" cy="381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1"/>
              </a:solidFill>
              <a:latin typeface="Garamond" panose="02020404030301010803" pitchFamily="18" charset="0"/>
              <a:cs typeface="Arial"/>
            </a:rPr>
            <a:t>European Union</a:t>
          </a:r>
        </a:p>
      </cdr:txBody>
    </cdr:sp>
  </cdr:relSizeAnchor>
</c:userShapes>
</file>

<file path=xl/drawings/drawing48.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9.xml><?xml version="1.0" encoding="utf-8"?>
<c:userShapes xmlns:c="http://schemas.openxmlformats.org/drawingml/2006/chart">
  <cdr:relSizeAnchor xmlns:cdr="http://schemas.openxmlformats.org/drawingml/2006/chartDrawing">
    <cdr:from>
      <cdr:x>0.02459</cdr:x>
      <cdr:y>0.92081</cdr:y>
    </cdr:from>
    <cdr:to>
      <cdr:x>0.98965</cdr:x>
      <cdr:y>0.98243</cdr:y>
    </cdr:to>
    <cdr:sp macro="" textlink="">
      <cdr:nvSpPr>
        <cdr:cNvPr id="2" name="Rectangle 1"/>
        <cdr:cNvSpPr/>
      </cdr:nvSpPr>
      <cdr:spPr>
        <a:xfrm xmlns:a="http://schemas.openxmlformats.org/drawingml/2006/main">
          <a:off x="226412" y="5168899"/>
          <a:ext cx="8885790" cy="3458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rtl="0"/>
          <a:r>
            <a:rPr lang="en-US" sz="1000" b="0" i="0" baseline="0">
              <a:solidFill>
                <a:schemeClr val="tx1"/>
              </a:solidFill>
              <a:effectLst/>
              <a:latin typeface="Garamond" panose="02020404030301010803" pitchFamily="18" charset="0"/>
              <a:ea typeface="+mn-ea"/>
              <a:cs typeface="+mn-cs"/>
            </a:rPr>
            <a:t>Note:  EU is the average of France, Germany, U.K., and Italy.</a:t>
          </a:r>
          <a:endParaRPr lang="en-US" sz="1000" i="0">
            <a:solidFill>
              <a:schemeClr val="tx1"/>
            </a:solidFill>
            <a:effectLst/>
            <a:latin typeface="Garamond" panose="02020404030301010803" pitchFamily="18" charset="0"/>
          </a:endParaRPr>
        </a:p>
      </cdr:txBody>
    </cdr:sp>
  </cdr:relSizeAnchor>
  <cdr:relSizeAnchor xmlns:cdr="http://schemas.openxmlformats.org/drawingml/2006/chartDrawing">
    <cdr:from>
      <cdr:x>0.54211</cdr:x>
      <cdr:y>0.17872</cdr:y>
    </cdr:from>
    <cdr:to>
      <cdr:x>0.67836</cdr:x>
      <cdr:y>0.24659</cdr:y>
    </cdr:to>
    <cdr:sp macro="" textlink="">
      <cdr:nvSpPr>
        <cdr:cNvPr id="3" name="Rectangle 2"/>
        <cdr:cNvSpPr/>
      </cdr:nvSpPr>
      <cdr:spPr>
        <a:xfrm xmlns:a="http://schemas.openxmlformats.org/drawingml/2006/main">
          <a:off x="4993201" y="1004354"/>
          <a:ext cx="1254954" cy="381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rgbClr val="C00000"/>
              </a:solidFill>
              <a:latin typeface="Garamond" panose="02020404030301010803" pitchFamily="18" charset="0"/>
              <a:cs typeface="Arial"/>
            </a:rPr>
            <a:t>Ireland</a:t>
          </a:r>
        </a:p>
      </cdr:txBody>
    </cdr:sp>
  </cdr:relSizeAnchor>
  <cdr:relSizeAnchor xmlns:cdr="http://schemas.openxmlformats.org/drawingml/2006/chartDrawing">
    <cdr:from>
      <cdr:x>0.63185</cdr:x>
      <cdr:y>0.74343</cdr:y>
    </cdr:from>
    <cdr:to>
      <cdr:x>0.81108</cdr:x>
      <cdr:y>0.8113</cdr:y>
    </cdr:to>
    <cdr:sp macro="" textlink="">
      <cdr:nvSpPr>
        <cdr:cNvPr id="5" name="Rectangle 4"/>
        <cdr:cNvSpPr/>
      </cdr:nvSpPr>
      <cdr:spPr>
        <a:xfrm xmlns:a="http://schemas.openxmlformats.org/drawingml/2006/main">
          <a:off x="5819776" y="4177880"/>
          <a:ext cx="1650828" cy="381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bg1">
                  <a:lumMod val="65000"/>
                </a:schemeClr>
              </a:solidFill>
              <a:latin typeface="Garamond" panose="02020404030301010803" pitchFamily="18" charset="0"/>
              <a:cs typeface="Arial"/>
            </a:rPr>
            <a:t>United States</a:t>
          </a:r>
        </a:p>
      </cdr:txBody>
    </cdr:sp>
  </cdr:relSizeAnchor>
  <cdr:relSizeAnchor xmlns:cdr="http://schemas.openxmlformats.org/drawingml/2006/chartDrawing">
    <cdr:from>
      <cdr:x>0.27009</cdr:x>
      <cdr:y>0.36002</cdr:y>
    </cdr:from>
    <cdr:to>
      <cdr:x>0.49741</cdr:x>
      <cdr:y>0.42789</cdr:y>
    </cdr:to>
    <cdr:sp macro="" textlink="">
      <cdr:nvSpPr>
        <cdr:cNvPr id="6" name="Rectangle 5"/>
        <cdr:cNvSpPr/>
      </cdr:nvSpPr>
      <cdr:spPr>
        <a:xfrm xmlns:a="http://schemas.openxmlformats.org/drawingml/2006/main">
          <a:off x="2487714" y="2023219"/>
          <a:ext cx="2093771" cy="3814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60000"/>
                  <a:lumOff val="40000"/>
                </a:schemeClr>
              </a:solidFill>
              <a:latin typeface="Garamond" panose="02020404030301010803" pitchFamily="18" charset="0"/>
              <a:cs typeface="Arial"/>
            </a:rPr>
            <a:t>European</a:t>
          </a:r>
          <a:r>
            <a:rPr lang="fr-FR" sz="2000" baseline="0">
              <a:solidFill>
                <a:schemeClr val="tx2">
                  <a:lumMod val="60000"/>
                  <a:lumOff val="40000"/>
                </a:schemeClr>
              </a:solidFill>
              <a:latin typeface="Garamond" panose="02020404030301010803" pitchFamily="18" charset="0"/>
              <a:cs typeface="Arial"/>
            </a:rPr>
            <a:t> Union</a:t>
          </a:r>
          <a:endParaRPr lang="fr-FR" sz="2000">
            <a:solidFill>
              <a:schemeClr val="tx2">
                <a:lumMod val="60000"/>
                <a:lumOff val="40000"/>
              </a:schemeClr>
            </a:solidFill>
            <a:latin typeface="Garamond" panose="02020404030301010803" pitchFamily="18" charset="0"/>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1.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0.71175</cdr:x>
      <cdr:y>0.56276</cdr:y>
    </cdr:from>
    <cdr:to>
      <cdr:x>0.9877</cdr:x>
      <cdr:y>0.6318</cdr:y>
    </cdr:to>
    <cdr:sp macro="" textlink="">
      <cdr:nvSpPr>
        <cdr:cNvPr id="3" name="Rectangle 2"/>
        <cdr:cNvSpPr/>
      </cdr:nvSpPr>
      <cdr:spPr>
        <a:xfrm xmlns:a="http://schemas.openxmlformats.org/drawingml/2006/main">
          <a:off x="6616700" y="3416300"/>
          <a:ext cx="2565400"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tx1"/>
              </a:solidFill>
              <a:effectLst/>
              <a:latin typeface="Garamond"/>
              <a:cs typeface="Garamond"/>
            </a:rPr>
            <a:t>Non-haven average: 36%</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0.78825</cdr:x>
      <cdr:y>0.29289</cdr:y>
    </cdr:from>
    <cdr:to>
      <cdr:x>1</cdr:x>
      <cdr:y>0.36193</cdr:y>
    </cdr:to>
    <cdr:sp macro="" textlink="">
      <cdr:nvSpPr>
        <cdr:cNvPr id="3" name="Rectangle 2"/>
        <cdr:cNvSpPr/>
      </cdr:nvSpPr>
      <cdr:spPr>
        <a:xfrm xmlns:a="http://schemas.openxmlformats.org/drawingml/2006/main">
          <a:off x="7327900" y="1777991"/>
          <a:ext cx="1968500" cy="4191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tx1"/>
              </a:solidFill>
              <a:effectLst/>
              <a:latin typeface="Garamond"/>
              <a:cs typeface="Garamond"/>
            </a:rPr>
            <a:t>Average: 36%</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
  <sheetViews>
    <sheetView workbookViewId="0"/>
  </sheetViews>
  <sheetFormatPr baseColWidth="10" defaultColWidth="11" defaultRowHeight="14" x14ac:dyDescent="0"/>
  <cols>
    <col min="1" max="16384" width="11" style="23"/>
  </cols>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heetViews>
  <sheetFormatPr baseColWidth="10" defaultColWidth="11" defaultRowHeight="15" x14ac:dyDescent="0"/>
  <cols>
    <col min="1" max="1" width="47" style="20" customWidth="1"/>
    <col min="2" max="2" width="11.6640625" style="20" customWidth="1"/>
    <col min="3" max="16384" width="11" style="20"/>
  </cols>
  <sheetData>
    <row r="2" spans="1:3">
      <c r="A2" s="55" t="s">
        <v>135</v>
      </c>
    </row>
    <row r="4" spans="1:3">
      <c r="A4" s="20" t="s">
        <v>134</v>
      </c>
      <c r="B4" s="57" t="s">
        <v>133</v>
      </c>
      <c r="C4" s="56">
        <v>1.4299784577733792</v>
      </c>
    </row>
    <row r="5" spans="1:3">
      <c r="A5" s="20" t="s">
        <v>132</v>
      </c>
      <c r="B5" s="57" t="s">
        <v>131</v>
      </c>
      <c r="C5" s="56">
        <v>4.5527581908588139</v>
      </c>
    </row>
    <row r="6" spans="1:3">
      <c r="A6" s="20" t="s">
        <v>130</v>
      </c>
      <c r="B6" s="57" t="s">
        <v>129</v>
      </c>
      <c r="C6" s="56">
        <v>6.5103461363794066</v>
      </c>
    </row>
    <row r="7" spans="1:3">
      <c r="A7" s="20" t="s">
        <v>128</v>
      </c>
      <c r="B7" s="57" t="s">
        <v>127</v>
      </c>
      <c r="C7" s="56">
        <v>1.1194723669291773</v>
      </c>
    </row>
    <row r="8" spans="1:3">
      <c r="A8" s="20" t="s">
        <v>126</v>
      </c>
      <c r="B8" s="57" t="s">
        <v>125</v>
      </c>
      <c r="C8" s="56">
        <v>7.2881525988208802</v>
      </c>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3"/>
  <sheetViews>
    <sheetView workbookViewId="0">
      <pane xSplit="1" ySplit="2" topLeftCell="B36" activePane="bottomRight" state="frozen"/>
      <selection pane="topRight" activeCell="B1" sqref="B1"/>
      <selection pane="bottomLeft" activeCell="A3" sqref="A3"/>
      <selection pane="bottomRight" activeCell="B3" sqref="B3:G52"/>
    </sheetView>
  </sheetViews>
  <sheetFormatPr baseColWidth="10" defaultColWidth="11" defaultRowHeight="15" x14ac:dyDescent="0"/>
  <sheetData>
    <row r="2" spans="1:7" ht="45" customHeight="1">
      <c r="B2" s="146" t="s">
        <v>351</v>
      </c>
      <c r="C2" s="146" t="s">
        <v>352</v>
      </c>
      <c r="D2" s="146" t="s">
        <v>353</v>
      </c>
      <c r="E2" s="147" t="s">
        <v>354</v>
      </c>
      <c r="F2" s="146" t="s">
        <v>355</v>
      </c>
      <c r="G2" s="148" t="s">
        <v>356</v>
      </c>
    </row>
    <row r="3" spans="1:7">
      <c r="A3">
        <v>1966</v>
      </c>
      <c r="B3" s="149">
        <v>1.0755128012839048</v>
      </c>
      <c r="C3" s="149">
        <v>0.73942345259071973</v>
      </c>
      <c r="D3" s="149">
        <v>0.87056882884210385</v>
      </c>
      <c r="E3" s="149">
        <v>0.79525938883086145</v>
      </c>
      <c r="F3" s="149">
        <v>1.0430360026950636</v>
      </c>
      <c r="G3" s="149">
        <v>0.82948417403186103</v>
      </c>
    </row>
    <row r="4" spans="1:7">
      <c r="A4">
        <v>1967</v>
      </c>
      <c r="B4" s="149">
        <v>1.0757712510324493</v>
      </c>
      <c r="C4" s="149">
        <v>0.82253901165923637</v>
      </c>
      <c r="D4" s="149">
        <v>0.92969968401577596</v>
      </c>
      <c r="E4" s="149">
        <v>0.88486382159565069</v>
      </c>
      <c r="F4" s="149">
        <v>1.0326238487206336</v>
      </c>
      <c r="G4" s="149">
        <v>0.91373148504974933</v>
      </c>
    </row>
    <row r="5" spans="1:7">
      <c r="A5">
        <v>1968</v>
      </c>
      <c r="B5" s="149">
        <v>1.0760272227169689</v>
      </c>
      <c r="C5" s="149">
        <v>0.78096736876872019</v>
      </c>
      <c r="D5" s="149">
        <v>0.90079281831758573</v>
      </c>
      <c r="E5" s="149">
        <v>0.84034214884878511</v>
      </c>
      <c r="F5" s="149">
        <v>1.0690886539928546</v>
      </c>
      <c r="G5" s="149">
        <v>0.89840025680621061</v>
      </c>
    </row>
    <row r="6" spans="1:7">
      <c r="A6">
        <v>1969</v>
      </c>
      <c r="B6" s="149">
        <v>1.0759760604500295</v>
      </c>
      <c r="C6" s="149">
        <v>0.81496380199561025</v>
      </c>
      <c r="D6" s="149">
        <v>0.92493852721327119</v>
      </c>
      <c r="E6" s="149">
        <v>0.87688154108061422</v>
      </c>
      <c r="F6" s="149">
        <v>1.0732700489347395</v>
      </c>
      <c r="G6" s="149">
        <v>0.94113069450556097</v>
      </c>
    </row>
    <row r="7" spans="1:7">
      <c r="A7">
        <v>1970</v>
      </c>
      <c r="B7" s="149">
        <v>1.075443824788507</v>
      </c>
      <c r="C7" s="149">
        <v>1.1390175593303749</v>
      </c>
      <c r="D7" s="149">
        <v>1.1195065472425947</v>
      </c>
      <c r="E7" s="149">
        <v>1.2249494005075283</v>
      </c>
      <c r="F7" s="149">
        <v>1.0014970097437761</v>
      </c>
      <c r="G7" s="149">
        <v>1.226783161695721</v>
      </c>
    </row>
    <row r="8" spans="1:7">
      <c r="A8">
        <v>1971</v>
      </c>
      <c r="B8" s="149">
        <v>1.0743456474315702</v>
      </c>
      <c r="C8" s="149">
        <v>1.1211685825607955</v>
      </c>
      <c r="D8" s="149">
        <v>1.1012537116319363</v>
      </c>
      <c r="E8" s="149">
        <v>1.2045225867112139</v>
      </c>
      <c r="F8" s="149">
        <v>1.0193516988635622</v>
      </c>
      <c r="G8" s="149">
        <v>1.2278321450836083</v>
      </c>
    </row>
    <row r="9" spans="1:7">
      <c r="A9">
        <v>1972</v>
      </c>
      <c r="B9" s="149">
        <v>1.0770634997751705</v>
      </c>
      <c r="C9" s="149">
        <v>1.0382409455831434</v>
      </c>
      <c r="D9" s="149">
        <v>1.0591249842318406</v>
      </c>
      <c r="E9" s="149">
        <v>1.1182514264596632</v>
      </c>
      <c r="F9" s="149">
        <v>1.0457892850338484</v>
      </c>
      <c r="G9" s="149">
        <v>1.1694553597653319</v>
      </c>
    </row>
    <row r="10" spans="1:7">
      <c r="A10">
        <v>1973</v>
      </c>
      <c r="B10" s="149">
        <v>1.0773070811395677</v>
      </c>
      <c r="C10" s="149">
        <v>1.1694207292239178</v>
      </c>
      <c r="D10" s="149">
        <v>1.1064682880956545</v>
      </c>
      <c r="E10" s="149">
        <v>1.259825232424324</v>
      </c>
      <c r="F10" s="149">
        <v>1.093768217092365</v>
      </c>
      <c r="G10" s="149">
        <v>1.3779567983167269</v>
      </c>
    </row>
    <row r="11" spans="1:7">
      <c r="A11">
        <v>1974</v>
      </c>
      <c r="B11" s="149">
        <v>1.0757202491153326</v>
      </c>
      <c r="C11" s="149">
        <v>0.93613987497286599</v>
      </c>
      <c r="D11" s="149">
        <v>1.002566008632253</v>
      </c>
      <c r="E11" s="149">
        <v>1.0070246195126078</v>
      </c>
      <c r="F11" s="149">
        <v>1.0888712012599995</v>
      </c>
      <c r="G11" s="149">
        <v>1.0965201071470871</v>
      </c>
    </row>
    <row r="12" spans="1:7">
      <c r="A12">
        <v>1975</v>
      </c>
      <c r="B12" s="149">
        <v>1.0727826464808938</v>
      </c>
      <c r="C12" s="149">
        <v>0.82691031863411435</v>
      </c>
      <c r="D12" s="149">
        <v>0.95111135336852426</v>
      </c>
      <c r="E12" s="149">
        <v>0.88709504002666462</v>
      </c>
      <c r="F12" s="149">
        <v>1.1335325849057618</v>
      </c>
      <c r="G12" s="149">
        <v>1.005551133778505</v>
      </c>
    </row>
    <row r="13" spans="1:7">
      <c r="A13">
        <v>1976</v>
      </c>
      <c r="B13" s="149">
        <v>1.0688547606468872</v>
      </c>
      <c r="C13" s="149">
        <v>0.64860566974647116</v>
      </c>
      <c r="D13" s="149">
        <v>0.8549755149145678</v>
      </c>
      <c r="E13" s="149">
        <v>0.69326525789107829</v>
      </c>
      <c r="F13" s="149">
        <v>1.1486460241144083</v>
      </c>
      <c r="G13" s="149">
        <v>0.79631638213323708</v>
      </c>
    </row>
    <row r="14" spans="1:7">
      <c r="A14">
        <v>1977</v>
      </c>
      <c r="B14" s="149">
        <v>1.09065276149317</v>
      </c>
      <c r="C14" s="149">
        <v>0.736207844478726</v>
      </c>
      <c r="D14" s="149">
        <v>0.89986669031698274</v>
      </c>
      <c r="E14" s="149">
        <v>0.80294711861365708</v>
      </c>
      <c r="F14" s="149">
        <v>1.1732258721442548</v>
      </c>
      <c r="G14" s="149">
        <v>0.94203833352122401</v>
      </c>
    </row>
    <row r="15" spans="1:7">
      <c r="A15">
        <v>1978</v>
      </c>
      <c r="B15" s="149">
        <v>1.0785249879615557</v>
      </c>
      <c r="C15" s="149">
        <v>0.95727007956366628</v>
      </c>
      <c r="D15" s="149">
        <v>1.0150852485165263</v>
      </c>
      <c r="E15" s="149">
        <v>1.0324397010373603</v>
      </c>
      <c r="F15" s="149">
        <v>1.2696336152136911</v>
      </c>
      <c r="G15" s="149">
        <v>1.3108201501182066</v>
      </c>
    </row>
    <row r="16" spans="1:7">
      <c r="A16">
        <v>1979</v>
      </c>
      <c r="B16" s="149">
        <v>1.0677860889941555</v>
      </c>
      <c r="C16" s="149">
        <v>1.1606897653348913</v>
      </c>
      <c r="D16" s="149">
        <v>1.0881459506065971</v>
      </c>
      <c r="E16" s="149">
        <v>1.2393683850624881</v>
      </c>
      <c r="F16" s="149">
        <v>1.2439158839349096</v>
      </c>
      <c r="G16" s="149">
        <v>1.5416700202259859</v>
      </c>
    </row>
    <row r="17" spans="1:7">
      <c r="A17">
        <v>1980</v>
      </c>
      <c r="B17" s="149">
        <v>1.0580946333087002</v>
      </c>
      <c r="C17" s="149">
        <v>1.5767103539441485</v>
      </c>
      <c r="D17" s="149">
        <v>1.2732105894418142</v>
      </c>
      <c r="E17" s="149">
        <v>1.6683087637905643</v>
      </c>
      <c r="F17" s="149">
        <v>1.3766773234717331</v>
      </c>
      <c r="G17" s="149">
        <v>2.2967228436596305</v>
      </c>
    </row>
    <row r="18" spans="1:7">
      <c r="A18">
        <v>1981</v>
      </c>
      <c r="B18" s="149">
        <v>1.0492153314768544</v>
      </c>
      <c r="C18" s="149">
        <v>1.3243073255081621</v>
      </c>
      <c r="D18" s="149">
        <v>1.1937825626905914</v>
      </c>
      <c r="E18" s="149">
        <v>1.3894835495102729</v>
      </c>
      <c r="F18" s="149">
        <v>1.6042648674481825</v>
      </c>
      <c r="G18" s="149">
        <v>2.2290996423765281</v>
      </c>
    </row>
    <row r="19" spans="1:7">
      <c r="A19">
        <v>1982</v>
      </c>
      <c r="B19" s="149">
        <v>1.040980712116836</v>
      </c>
      <c r="C19" s="149">
        <v>1.4245337410024721</v>
      </c>
      <c r="D19" s="149">
        <v>1.2571007689568086</v>
      </c>
      <c r="E19" s="149">
        <v>1.4829121481432139</v>
      </c>
      <c r="F19" s="149">
        <v>1.8291652175493847</v>
      </c>
      <c r="G19" s="149">
        <v>2.7124913220650066</v>
      </c>
    </row>
    <row r="20" spans="1:7">
      <c r="A20">
        <v>1983</v>
      </c>
      <c r="B20" s="149">
        <v>1.0338078587348372</v>
      </c>
      <c r="C20" s="149">
        <v>1.2605681762521248</v>
      </c>
      <c r="D20" s="149">
        <v>1.1586123524676899</v>
      </c>
      <c r="E20" s="149">
        <v>1.3031852870804874</v>
      </c>
      <c r="F20" s="149">
        <v>1.8177830852341381</v>
      </c>
      <c r="G20" s="149">
        <v>2.3689081717809048</v>
      </c>
    </row>
    <row r="21" spans="1:7">
      <c r="A21">
        <v>1984</v>
      </c>
      <c r="B21" s="149">
        <v>1.0383165600619084</v>
      </c>
      <c r="C21" s="149">
        <v>1.2329975218626088</v>
      </c>
      <c r="D21" s="149">
        <v>1.1389367526813592</v>
      </c>
      <c r="E21" s="149">
        <v>1.2802417454652417</v>
      </c>
      <c r="F21" s="149">
        <v>1.7547085900926089</v>
      </c>
      <c r="G21" s="149">
        <v>2.2464511881630145</v>
      </c>
    </row>
    <row r="22" spans="1:7">
      <c r="A22">
        <v>1985</v>
      </c>
      <c r="B22" s="149">
        <v>1.1001144067644026</v>
      </c>
      <c r="C22" s="149">
        <v>1.3150856313944439</v>
      </c>
      <c r="D22" s="149">
        <v>1.2137842142463755</v>
      </c>
      <c r="E22" s="149">
        <v>1.4467446492258891</v>
      </c>
      <c r="F22" s="149">
        <v>1.7452734019883598</v>
      </c>
      <c r="G22" s="149">
        <v>2.5249649557629219</v>
      </c>
    </row>
    <row r="23" spans="1:7">
      <c r="A23">
        <v>1986</v>
      </c>
      <c r="B23" s="149">
        <v>1.130919241231368</v>
      </c>
      <c r="C23" s="149">
        <v>1.2028821899607929</v>
      </c>
      <c r="D23" s="149">
        <v>1.200208995363967</v>
      </c>
      <c r="E23" s="149">
        <v>1.3603626135611855</v>
      </c>
      <c r="F23" s="149">
        <v>1.8486118888027818</v>
      </c>
      <c r="G23" s="149">
        <v>2.5147825005120326</v>
      </c>
    </row>
    <row r="24" spans="1:7">
      <c r="A24">
        <v>1987</v>
      </c>
      <c r="B24" s="149">
        <v>1.0777895310217094</v>
      </c>
      <c r="C24" s="149">
        <v>1.7726362611875819</v>
      </c>
      <c r="D24" s="149">
        <v>1.4177198325146319</v>
      </c>
      <c r="E24" s="149">
        <v>1.9105288046174402</v>
      </c>
      <c r="F24" s="149">
        <v>1.4845174851116389</v>
      </c>
      <c r="G24" s="149">
        <v>2.8362134162640276</v>
      </c>
    </row>
    <row r="25" spans="1:7">
      <c r="A25">
        <v>1988</v>
      </c>
      <c r="B25" s="149">
        <v>1.0124831219228367</v>
      </c>
      <c r="C25" s="149">
        <v>1.4550189358883827</v>
      </c>
      <c r="D25" s="149">
        <v>1.2424013636880225</v>
      </c>
      <c r="E25" s="149">
        <v>1.4731821146651132</v>
      </c>
      <c r="F25" s="149">
        <v>1.5349357699331236</v>
      </c>
      <c r="G25" s="149">
        <v>2.2612399234252032</v>
      </c>
    </row>
    <row r="26" spans="1:7">
      <c r="A26">
        <v>1989</v>
      </c>
      <c r="B26" s="149">
        <v>0.99243558617268024</v>
      </c>
      <c r="C26" s="149">
        <v>1.9843572361815078</v>
      </c>
      <c r="D26" s="149">
        <v>1.4492574857753568</v>
      </c>
      <c r="E26" s="149">
        <v>1.969346736865794</v>
      </c>
      <c r="F26" s="149">
        <v>1.3860353580173206</v>
      </c>
      <c r="G26" s="149">
        <v>2.7295842094920237</v>
      </c>
    </row>
    <row r="27" spans="1:7">
      <c r="A27">
        <v>1990</v>
      </c>
      <c r="B27" s="149">
        <v>1.0356477689154622</v>
      </c>
      <c r="C27" s="149">
        <v>2.4259274427031579</v>
      </c>
      <c r="D27" s="149">
        <v>1.6787086776866307</v>
      </c>
      <c r="E27" s="149">
        <v>2.5124063435863189</v>
      </c>
      <c r="F27" s="149">
        <v>1.2989490943939284</v>
      </c>
      <c r="G27" s="149">
        <v>3.2634879447510086</v>
      </c>
    </row>
    <row r="28" spans="1:7">
      <c r="A28">
        <v>1991</v>
      </c>
      <c r="B28" s="149">
        <v>0.99993038505768783</v>
      </c>
      <c r="C28" s="149">
        <v>2.6017207769561908</v>
      </c>
      <c r="D28" s="149">
        <v>1.793942365737843</v>
      </c>
      <c r="E28" s="149">
        <v>2.6015396583143917</v>
      </c>
      <c r="F28" s="149">
        <v>1.3035675586558328</v>
      </c>
      <c r="G28" s="149">
        <v>3.3912827011352205</v>
      </c>
    </row>
    <row r="29" spans="1:7">
      <c r="A29">
        <v>1992</v>
      </c>
      <c r="B29" s="149">
        <v>1.109907136283778</v>
      </c>
      <c r="C29" s="149">
        <v>2.1772320382369874</v>
      </c>
      <c r="D29" s="149">
        <v>1.7663504381336401</v>
      </c>
      <c r="E29" s="149">
        <v>2.4165253765849068</v>
      </c>
      <c r="F29" s="149">
        <v>1.3245987083574597</v>
      </c>
      <c r="G29" s="149">
        <v>3.2009263925373936</v>
      </c>
    </row>
    <row r="30" spans="1:7">
      <c r="A30">
        <v>1993</v>
      </c>
      <c r="B30" s="149">
        <v>1.0716952884387094</v>
      </c>
      <c r="C30" s="149">
        <v>2.1397447277579245</v>
      </c>
      <c r="D30" s="149">
        <v>1.6917164199354402</v>
      </c>
      <c r="E30" s="149">
        <v>2.2931543431997365</v>
      </c>
      <c r="F30" s="149">
        <v>1.2735908697760683</v>
      </c>
      <c r="G30" s="149">
        <v>2.9205404344865209</v>
      </c>
    </row>
    <row r="31" spans="1:7">
      <c r="A31">
        <v>1994</v>
      </c>
      <c r="B31" s="149">
        <v>1.0015553232650494</v>
      </c>
      <c r="C31" s="149">
        <v>2.252803488514147</v>
      </c>
      <c r="D31" s="149">
        <v>1.6636117309774805</v>
      </c>
      <c r="E31" s="149">
        <v>2.2563073261914171</v>
      </c>
      <c r="F31" s="149">
        <v>1.2097620257642239</v>
      </c>
      <c r="G31" s="149">
        <v>2.7295949216799875</v>
      </c>
    </row>
    <row r="32" spans="1:7">
      <c r="A32">
        <v>1995</v>
      </c>
      <c r="B32" s="149">
        <v>1.0123491024230655</v>
      </c>
      <c r="C32" s="149">
        <v>2.4273983463109987</v>
      </c>
      <c r="D32" s="149">
        <v>1.67054908274614</v>
      </c>
      <c r="E32" s="149">
        <v>2.4573745371111726</v>
      </c>
      <c r="F32" s="149">
        <v>1.2100059551534226</v>
      </c>
      <c r="G32" s="149">
        <v>2.9734378239469046</v>
      </c>
    </row>
    <row r="33" spans="1:7">
      <c r="A33">
        <v>1996</v>
      </c>
      <c r="B33" s="149">
        <v>0.9659975759812558</v>
      </c>
      <c r="C33" s="149">
        <v>2.3288881286676926</v>
      </c>
      <c r="D33" s="149">
        <v>1.5712283850042097</v>
      </c>
      <c r="E33" s="149">
        <v>2.2497002870245142</v>
      </c>
      <c r="F33" s="149">
        <v>1.2203388591435091</v>
      </c>
      <c r="G33" s="149">
        <v>2.7453966816823203</v>
      </c>
    </row>
    <row r="34" spans="1:7">
      <c r="A34">
        <v>1997</v>
      </c>
      <c r="B34" s="149">
        <v>0.9864957823520194</v>
      </c>
      <c r="C34" s="149">
        <v>2.7791178675161397</v>
      </c>
      <c r="D34" s="149">
        <v>1.6986490508028906</v>
      </c>
      <c r="E34" s="149">
        <v>2.7415880549638101</v>
      </c>
      <c r="F34" s="149">
        <v>1.2224264049723796</v>
      </c>
      <c r="G34" s="149">
        <v>3.3513896299446304</v>
      </c>
    </row>
    <row r="35" spans="1:7">
      <c r="A35">
        <v>1998</v>
      </c>
      <c r="B35" s="149">
        <v>0.98075245219637219</v>
      </c>
      <c r="C35" s="149">
        <v>3.5372977269833639</v>
      </c>
      <c r="D35" s="149">
        <v>1.9957902849928264</v>
      </c>
      <c r="E35" s="149">
        <v>3.4692134198875868</v>
      </c>
      <c r="F35" s="149">
        <v>1.2001221067353178</v>
      </c>
      <c r="G35" s="149">
        <v>4.1634797181899277</v>
      </c>
    </row>
    <row r="36" spans="1:7">
      <c r="A36">
        <v>1999</v>
      </c>
      <c r="B36" s="149">
        <v>1.1094543217462636</v>
      </c>
      <c r="C36" s="149">
        <v>2.7644656500056035</v>
      </c>
      <c r="D36" s="149">
        <v>1.8527213242796661</v>
      </c>
      <c r="E36" s="149">
        <v>3.0670483627178102</v>
      </c>
      <c r="F36" s="149">
        <v>1.2232937677913098</v>
      </c>
      <c r="G36" s="149">
        <v>3.7519011476272381</v>
      </c>
    </row>
    <row r="37" spans="1:7">
      <c r="A37">
        <v>2000</v>
      </c>
      <c r="B37" s="149">
        <v>1.2118946156647856</v>
      </c>
      <c r="C37" s="149">
        <v>3.0734766461997385</v>
      </c>
      <c r="D37" s="149">
        <v>1.9547476008487632</v>
      </c>
      <c r="E37" s="149">
        <v>3.7247297989009258</v>
      </c>
      <c r="F37" s="149">
        <v>1.0397011958081805</v>
      </c>
      <c r="G37" s="149">
        <v>3.8726060259796578</v>
      </c>
    </row>
    <row r="38" spans="1:7">
      <c r="A38">
        <v>2001</v>
      </c>
      <c r="B38" s="149">
        <v>1.3103966499534057</v>
      </c>
      <c r="C38" s="149">
        <v>3.1494522802448159</v>
      </c>
      <c r="D38" s="149">
        <v>2.185012989691105</v>
      </c>
      <c r="E38" s="149">
        <v>4.1270317172209223</v>
      </c>
      <c r="F38" s="149">
        <v>1.0776113550386213</v>
      </c>
      <c r="G38" s="149">
        <v>4.4473362410818069</v>
      </c>
    </row>
    <row r="39" spans="1:7">
      <c r="A39">
        <v>2002</v>
      </c>
      <c r="B39" s="149">
        <v>1.3445764122350639</v>
      </c>
      <c r="C39" s="149">
        <v>3.2128660053232458</v>
      </c>
      <c r="D39" s="149">
        <v>2.1962411572022309</v>
      </c>
      <c r="E39" s="149">
        <v>4.3199438464295321</v>
      </c>
      <c r="F39" s="149">
        <v>1.0174061091258835</v>
      </c>
      <c r="G39" s="149">
        <v>4.3951372604381733</v>
      </c>
    </row>
    <row r="40" spans="1:7">
      <c r="A40">
        <v>2003</v>
      </c>
      <c r="B40" s="149">
        <v>1.2421898614022129</v>
      </c>
      <c r="C40" s="149">
        <v>3.2199544781285478</v>
      </c>
      <c r="D40" s="149">
        <v>1.9481248830321245</v>
      </c>
      <c r="E40" s="149">
        <v>3.9997948069079334</v>
      </c>
      <c r="F40" s="149">
        <v>1.0221800461795196</v>
      </c>
      <c r="G40" s="149">
        <v>4.0885104404337573</v>
      </c>
    </row>
    <row r="41" spans="1:7">
      <c r="A41">
        <v>2004</v>
      </c>
      <c r="B41" s="149">
        <v>1.1050556283310922</v>
      </c>
      <c r="C41" s="149">
        <v>3.6612745886546136</v>
      </c>
      <c r="D41" s="149">
        <v>1.8950162643018615</v>
      </c>
      <c r="E41" s="149">
        <v>4.0459120910583852</v>
      </c>
      <c r="F41" s="149">
        <v>1.0780703033098094</v>
      </c>
      <c r="G41" s="149">
        <v>4.3617776751721387</v>
      </c>
    </row>
    <row r="42" spans="1:7">
      <c r="A42">
        <v>2005</v>
      </c>
      <c r="B42" s="149">
        <v>1.2112157932060261</v>
      </c>
      <c r="C42" s="149">
        <v>2.6293574123137233</v>
      </c>
      <c r="D42" s="149">
        <v>1.6741144396918815</v>
      </c>
      <c r="E42" s="149">
        <v>3.18471922377771</v>
      </c>
      <c r="F42" s="149">
        <v>1.1189779700935587</v>
      </c>
      <c r="G42" s="149">
        <v>3.563630652340716</v>
      </c>
    </row>
    <row r="43" spans="1:7">
      <c r="A43">
        <v>2006</v>
      </c>
      <c r="B43" s="149">
        <v>1.209188666317347</v>
      </c>
      <c r="C43" s="149">
        <v>3.0158999719317361</v>
      </c>
      <c r="D43" s="149">
        <v>1.7297547669898459</v>
      </c>
      <c r="E43" s="149">
        <v>3.646792064806661</v>
      </c>
      <c r="F43" s="149">
        <v>1.0455327298769437</v>
      </c>
      <c r="G43" s="149">
        <v>3.8128404628108843</v>
      </c>
    </row>
    <row r="44" spans="1:7">
      <c r="A44">
        <v>2007</v>
      </c>
      <c r="B44" s="149">
        <v>1.1581205052979289</v>
      </c>
      <c r="C44" s="149">
        <v>2.9782228185268802</v>
      </c>
      <c r="D44" s="149">
        <v>1.6598548087475504</v>
      </c>
      <c r="E44" s="149">
        <v>3.4491409154821708</v>
      </c>
      <c r="F44" s="149">
        <v>1.1198576312959605</v>
      </c>
      <c r="G44" s="149">
        <v>3.8625467756178455</v>
      </c>
    </row>
    <row r="45" spans="1:7">
      <c r="A45">
        <v>2008</v>
      </c>
      <c r="B45" s="149">
        <v>1.2560549986701406</v>
      </c>
      <c r="C45" s="149">
        <v>2.1158339636123102</v>
      </c>
      <c r="D45" s="149">
        <v>1.4985731025537465</v>
      </c>
      <c r="E45" s="149">
        <v>2.6576038263512993</v>
      </c>
      <c r="F45" s="149">
        <v>1.1352650789633258</v>
      </c>
      <c r="G45" s="149">
        <v>3.0170848177759435</v>
      </c>
    </row>
    <row r="46" spans="1:7">
      <c r="A46">
        <v>2009</v>
      </c>
      <c r="B46" s="149">
        <v>1.2767723952369345</v>
      </c>
      <c r="C46" s="149">
        <v>3.0003194663757657</v>
      </c>
      <c r="D46" s="149">
        <v>1.8701973257340083</v>
      </c>
      <c r="E46" s="149">
        <v>3.8307250715605901</v>
      </c>
      <c r="F46" s="149">
        <v>1.1495918427145468</v>
      </c>
      <c r="G46" s="149">
        <v>4.40377029394815</v>
      </c>
    </row>
    <row r="47" spans="1:7">
      <c r="A47">
        <v>2010</v>
      </c>
      <c r="B47" s="149">
        <v>1.3018530509088719</v>
      </c>
      <c r="C47" s="149">
        <v>2.6328533399101919</v>
      </c>
      <c r="D47" s="149">
        <v>1.7157347478103586</v>
      </c>
      <c r="E47" s="149">
        <v>3.4275881531576964</v>
      </c>
      <c r="F47" s="149">
        <v>1.0730935808105446</v>
      </c>
      <c r="G47" s="149">
        <v>3.6781228448157939</v>
      </c>
    </row>
    <row r="48" spans="1:7">
      <c r="A48">
        <v>2011</v>
      </c>
      <c r="B48" s="149">
        <v>1.3275612524974592</v>
      </c>
      <c r="C48" s="149">
        <v>2.581973084361699</v>
      </c>
      <c r="D48" s="149">
        <v>1.6547345010247876</v>
      </c>
      <c r="E48" s="149">
        <v>3.427727421789946</v>
      </c>
      <c r="F48" s="149">
        <v>1.1302770966431184</v>
      </c>
      <c r="G48" s="149">
        <v>3.8742817983847391</v>
      </c>
    </row>
    <row r="49" spans="1:7">
      <c r="A49">
        <v>2012</v>
      </c>
      <c r="B49" s="149">
        <v>1.302207992755873</v>
      </c>
      <c r="C49" s="149">
        <v>2.9248705043670822</v>
      </c>
      <c r="D49" s="149">
        <v>1.7482257474341008</v>
      </c>
      <c r="E49" s="149">
        <v>3.8087897485627145</v>
      </c>
      <c r="F49" s="149">
        <v>1.1376201510413544</v>
      </c>
      <c r="G49" s="149">
        <v>4.3329559690446775</v>
      </c>
    </row>
    <row r="50" spans="1:7">
      <c r="A50">
        <v>2013</v>
      </c>
      <c r="B50" s="149">
        <v>1.2579404013396074</v>
      </c>
      <c r="C50" s="149">
        <v>2.9090120647922739</v>
      </c>
      <c r="D50" s="149">
        <v>1.7636545711809384</v>
      </c>
      <c r="E50" s="149">
        <v>3.6593638042865528</v>
      </c>
      <c r="F50" s="149">
        <v>1.1245150518649265</v>
      </c>
      <c r="G50" s="149">
        <v>4.115009678169927</v>
      </c>
    </row>
    <row r="51" spans="1:7">
      <c r="A51">
        <v>2014</v>
      </c>
      <c r="B51" s="149">
        <v>1.3420195485010997</v>
      </c>
      <c r="C51" s="149">
        <v>3.0619364209693511</v>
      </c>
      <c r="D51" s="149">
        <v>1.8795589772888657</v>
      </c>
      <c r="E51" s="149">
        <v>4.109178533208361</v>
      </c>
      <c r="F51" s="149">
        <v>1.1598250555123719</v>
      </c>
      <c r="G51" s="149">
        <v>4.7659282203886359</v>
      </c>
    </row>
    <row r="52" spans="1:7">
      <c r="A52">
        <v>2015</v>
      </c>
      <c r="B52" s="149">
        <v>1.4299784577733792</v>
      </c>
      <c r="C52" s="149">
        <v>4.5527581908588139</v>
      </c>
      <c r="D52" s="149">
        <v>2.3920605761750178</v>
      </c>
      <c r="E52" s="149">
        <v>6.5103461363794066</v>
      </c>
      <c r="F52" s="149">
        <v>1.1194723669291773</v>
      </c>
      <c r="G52" s="149">
        <v>7.2881525988208802</v>
      </c>
    </row>
    <row r="53" spans="1:7">
      <c r="A53">
        <v>2016</v>
      </c>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7"/>
  <sheetViews>
    <sheetView workbookViewId="0">
      <selection activeCell="J16" sqref="J16"/>
    </sheetView>
  </sheetViews>
  <sheetFormatPr baseColWidth="10" defaultColWidth="8.83203125" defaultRowHeight="16" x14ac:dyDescent="0"/>
  <cols>
    <col min="1" max="1" width="8.83203125" style="151"/>
    <col min="2" max="2" width="23.5" style="151" customWidth="1"/>
    <col min="3" max="9" width="13.1640625" style="151" customWidth="1"/>
    <col min="10" max="10" width="13.1640625" style="152" customWidth="1"/>
    <col min="11" max="12" width="8.33203125" style="152" customWidth="1"/>
    <col min="13" max="13" width="8.33203125" style="151" customWidth="1"/>
    <col min="14" max="20" width="8.33203125" style="152" customWidth="1"/>
    <col min="21" max="21" width="8.33203125" style="153" customWidth="1"/>
    <col min="22" max="23" width="8.33203125" style="154" customWidth="1"/>
    <col min="24" max="24" width="8.33203125" style="151" customWidth="1"/>
    <col min="25" max="16384" width="8.83203125" style="151"/>
  </cols>
  <sheetData>
    <row r="1" spans="2:24" ht="34" customHeight="1" thickTop="1">
      <c r="B1" s="226" t="s">
        <v>159</v>
      </c>
      <c r="C1" s="226"/>
      <c r="D1" s="226"/>
      <c r="E1" s="228" t="s">
        <v>160</v>
      </c>
      <c r="F1" s="228"/>
      <c r="G1" s="228"/>
    </row>
    <row r="2" spans="2:24" ht="103" customHeight="1">
      <c r="B2" s="171"/>
      <c r="C2" s="171" t="s">
        <v>357</v>
      </c>
      <c r="D2" s="171" t="s">
        <v>358</v>
      </c>
      <c r="E2" s="171" t="s">
        <v>170</v>
      </c>
      <c r="F2" s="171" t="s">
        <v>101</v>
      </c>
      <c r="G2" s="171" t="s">
        <v>359</v>
      </c>
      <c r="H2" s="152"/>
    </row>
    <row r="3" spans="2:24">
      <c r="B3" s="151" t="s">
        <v>59</v>
      </c>
      <c r="C3" s="153">
        <v>0.35038088206391804</v>
      </c>
      <c r="D3" s="153">
        <v>0.28903117557468283</v>
      </c>
      <c r="E3" s="159">
        <f>+DataF7!G13</f>
        <v>0.181910218279729</v>
      </c>
      <c r="F3" s="153">
        <f>+DataF7!G20</f>
        <v>0.15568653218629322</v>
      </c>
      <c r="G3" s="153">
        <v>0.22281020911382729</v>
      </c>
      <c r="H3" s="152"/>
    </row>
    <row r="4" spans="2:24">
      <c r="B4" s="151" t="s">
        <v>74</v>
      </c>
      <c r="C4" s="153">
        <v>0.23042011643754798</v>
      </c>
      <c r="D4" s="153">
        <v>0.49543163353131575</v>
      </c>
      <c r="E4" s="159">
        <f>+DataF7!G14</f>
        <v>0.14029437788441623</v>
      </c>
      <c r="F4" s="153">
        <f>+DataF7!G21</f>
        <v>0.30165019393770987</v>
      </c>
      <c r="G4" s="153">
        <v>8.9313361895562174E-2</v>
      </c>
      <c r="H4" s="152"/>
    </row>
    <row r="5" spans="2:24">
      <c r="B5" s="151" t="s">
        <v>73</v>
      </c>
      <c r="C5" s="155">
        <v>0.27217696296290583</v>
      </c>
      <c r="D5" s="155">
        <v>0.13494225627562323</v>
      </c>
      <c r="E5" s="159">
        <f>+DataF7!G15</f>
        <v>6.9998139844191329E-2</v>
      </c>
      <c r="F5" s="153">
        <f>+DataF7!G22</f>
        <v>3.0769723640326221E-2</v>
      </c>
      <c r="G5" s="153">
        <v>9.0554586439847928E-2</v>
      </c>
      <c r="H5" s="152"/>
    </row>
    <row r="6" spans="2:24">
      <c r="B6" s="151" t="s">
        <v>72</v>
      </c>
      <c r="C6" s="155">
        <v>0.14702203853562815</v>
      </c>
      <c r="D6" s="155">
        <v>8.0594934618378133E-2</v>
      </c>
      <c r="E6" s="159">
        <f>+DataF7!G16</f>
        <v>6.4483253094603038E-2</v>
      </c>
      <c r="F6" s="153">
        <f>+DataF7!G23</f>
        <v>3.6033932081664888E-2</v>
      </c>
      <c r="G6" s="153">
        <v>0.12882912213221742</v>
      </c>
      <c r="H6" s="152"/>
    </row>
    <row r="7" spans="2:24" ht="17" thickBot="1">
      <c r="B7" s="156" t="s">
        <v>70</v>
      </c>
      <c r="C7" s="157">
        <f>+SUM(C3:C6)</f>
        <v>1</v>
      </c>
      <c r="D7" s="157">
        <f>+SUM(D3:D6)</f>
        <v>1</v>
      </c>
      <c r="E7" s="160">
        <v>9.2043243998091384E-2</v>
      </c>
      <c r="F7" s="157">
        <v>0.10440148039117361</v>
      </c>
      <c r="G7" s="157">
        <v>0.13285613429291895</v>
      </c>
      <c r="H7" s="152"/>
      <c r="X7" s="158"/>
    </row>
    <row r="8" spans="2:24" ht="17" thickTop="1"/>
    <row r="9" spans="2:24" ht="17" thickBot="1"/>
    <row r="10" spans="2:24" ht="35" customHeight="1" thickTop="1">
      <c r="B10" s="224" t="s">
        <v>158</v>
      </c>
      <c r="C10" s="224"/>
      <c r="D10" s="224"/>
      <c r="E10" s="224"/>
      <c r="F10" s="224"/>
      <c r="G10" s="224"/>
      <c r="H10" s="224"/>
      <c r="I10" s="224"/>
      <c r="J10" s="224"/>
      <c r="K10" s="224"/>
      <c r="L10" s="224"/>
    </row>
    <row r="11" spans="2:24">
      <c r="B11" s="161"/>
      <c r="D11" s="223" t="s">
        <v>153</v>
      </c>
      <c r="E11" s="223"/>
      <c r="F11" s="223"/>
      <c r="G11" s="223" t="s">
        <v>154</v>
      </c>
      <c r="H11" s="223"/>
      <c r="I11" s="223"/>
      <c r="J11" s="223" t="s">
        <v>157</v>
      </c>
      <c r="K11" s="223"/>
      <c r="L11" s="223"/>
    </row>
    <row r="12" spans="2:24" ht="32">
      <c r="B12" s="162"/>
      <c r="C12" s="172" t="s">
        <v>155</v>
      </c>
      <c r="D12" s="172" t="s">
        <v>156</v>
      </c>
      <c r="E12" s="172" t="s">
        <v>59</v>
      </c>
      <c r="F12" s="172" t="s">
        <v>71</v>
      </c>
      <c r="G12" s="172" t="s">
        <v>156</v>
      </c>
      <c r="H12" s="172" t="s">
        <v>59</v>
      </c>
      <c r="I12" s="172" t="s">
        <v>71</v>
      </c>
      <c r="J12" s="172" t="s">
        <v>156</v>
      </c>
      <c r="K12" s="172" t="s">
        <v>59</v>
      </c>
      <c r="L12" s="172" t="s">
        <v>71</v>
      </c>
    </row>
    <row r="13" spans="2:24">
      <c r="B13" s="161" t="s">
        <v>59</v>
      </c>
      <c r="C13" s="163">
        <v>313.37974208766457</v>
      </c>
      <c r="D13" s="163">
        <v>57.006977287612237</v>
      </c>
      <c r="E13" s="163">
        <v>44.261277363891473</v>
      </c>
      <c r="F13" s="163">
        <v>12.745699923720769</v>
      </c>
      <c r="G13" s="164">
        <f t="shared" ref="G13:I16" si="0">+D13/$C13</f>
        <v>0.181910218279729</v>
      </c>
      <c r="H13" s="164">
        <f t="shared" si="0"/>
        <v>0.14123847658126498</v>
      </c>
      <c r="I13" s="164">
        <f t="shared" si="0"/>
        <v>4.0671741698464027E-2</v>
      </c>
      <c r="J13" s="164">
        <v>0.35038088206391804</v>
      </c>
      <c r="K13" s="164">
        <v>0.27196967073450146</v>
      </c>
      <c r="L13" s="164">
        <v>7.841121132941653E-2</v>
      </c>
    </row>
    <row r="14" spans="2:24">
      <c r="B14" s="161" t="s">
        <v>74</v>
      </c>
      <c r="C14" s="163">
        <v>404.99173999999999</v>
      </c>
      <c r="D14" s="163">
        <v>56.818064211627252</v>
      </c>
      <c r="E14" s="163">
        <v>17.244720943145861</v>
      </c>
      <c r="F14" s="163">
        <v>39.573343268481395</v>
      </c>
      <c r="G14" s="164">
        <f t="shared" si="0"/>
        <v>0.14029437788441623</v>
      </c>
      <c r="H14" s="164">
        <f t="shared" si="0"/>
        <v>4.2580426314733882E-2</v>
      </c>
      <c r="I14" s="164">
        <f t="shared" si="0"/>
        <v>9.7713951569682378E-2</v>
      </c>
      <c r="J14" s="164">
        <v>0.23042011643754798</v>
      </c>
      <c r="K14" s="164">
        <v>6.9934283449937532E-2</v>
      </c>
      <c r="L14" s="164">
        <v>0.16048583298761046</v>
      </c>
    </row>
    <row r="15" spans="2:24">
      <c r="B15" s="161" t="s">
        <v>73</v>
      </c>
      <c r="C15" s="165">
        <v>859.14629007611165</v>
      </c>
      <c r="D15" s="165">
        <v>60.138642159365837</v>
      </c>
      <c r="E15" s="165">
        <v>21.745840317755814</v>
      </c>
      <c r="F15" s="165">
        <v>38.392801841610016</v>
      </c>
      <c r="G15" s="164">
        <f>+D15/$C15</f>
        <v>6.9998139844191329E-2</v>
      </c>
      <c r="H15" s="164">
        <f>+E15/$C15</f>
        <v>2.5310986695675951E-2</v>
      </c>
      <c r="I15" s="164">
        <f>+F15/$C15</f>
        <v>4.4687153148515374E-2</v>
      </c>
      <c r="J15" s="166">
        <v>0.27217696296290583</v>
      </c>
      <c r="K15" s="166">
        <v>9.1320048844205373E-2</v>
      </c>
      <c r="L15" s="166">
        <v>0.18085691411870047</v>
      </c>
    </row>
    <row r="16" spans="2:24">
      <c r="B16" s="161" t="s">
        <v>72</v>
      </c>
      <c r="C16" s="165">
        <v>409.04409082717626</v>
      </c>
      <c r="D16" s="165">
        <v>26.376493635660601</v>
      </c>
      <c r="E16" s="165">
        <v>6.8068169993120726</v>
      </c>
      <c r="F16" s="165">
        <v>19.569676636348511</v>
      </c>
      <c r="G16" s="164">
        <f t="shared" si="0"/>
        <v>6.4483253094603038E-2</v>
      </c>
      <c r="H16" s="164">
        <f t="shared" si="0"/>
        <v>1.6640790447668381E-2</v>
      </c>
      <c r="I16" s="164">
        <f t="shared" si="0"/>
        <v>4.7842462646934619E-2</v>
      </c>
      <c r="J16" s="166">
        <v>0.14702203853562815</v>
      </c>
      <c r="K16" s="166">
        <v>3.8956487685163063E-2</v>
      </c>
      <c r="L16" s="166">
        <v>0.10806555085046496</v>
      </c>
    </row>
    <row r="17" spans="2:23" ht="35" customHeight="1">
      <c r="B17" s="225" t="s">
        <v>101</v>
      </c>
      <c r="C17" s="225"/>
      <c r="D17" s="225"/>
      <c r="E17" s="225"/>
      <c r="F17" s="225"/>
      <c r="G17" s="225"/>
      <c r="H17" s="225"/>
      <c r="I17" s="225"/>
      <c r="J17" s="225"/>
      <c r="K17" s="225"/>
      <c r="L17" s="225"/>
    </row>
    <row r="18" spans="2:23">
      <c r="B18" s="161"/>
      <c r="C18" s="161"/>
      <c r="D18" s="227" t="s">
        <v>153</v>
      </c>
      <c r="E18" s="227"/>
      <c r="F18" s="227"/>
      <c r="G18" s="227" t="s">
        <v>154</v>
      </c>
      <c r="H18" s="227"/>
      <c r="I18" s="227"/>
      <c r="J18" s="162"/>
      <c r="K18" s="162"/>
      <c r="L18" s="162"/>
    </row>
    <row r="19" spans="2:23">
      <c r="B19" s="161"/>
      <c r="C19" s="161"/>
      <c r="D19" s="161" t="s">
        <v>156</v>
      </c>
      <c r="E19" s="161" t="s">
        <v>59</v>
      </c>
      <c r="F19" s="161" t="s">
        <v>71</v>
      </c>
      <c r="G19" s="161" t="s">
        <v>156</v>
      </c>
      <c r="H19" s="161" t="s">
        <v>59</v>
      </c>
      <c r="I19" s="161" t="s">
        <v>71</v>
      </c>
      <c r="J19" s="162"/>
      <c r="K19" s="162"/>
      <c r="L19" s="162"/>
    </row>
    <row r="20" spans="2:23" ht="16" customHeight="1">
      <c r="B20" s="161" t="s">
        <v>59</v>
      </c>
      <c r="C20" s="161"/>
      <c r="D20" s="167">
        <v>48.789005303063462</v>
      </c>
      <c r="E20" s="167">
        <v>35.653436709697303</v>
      </c>
      <c r="F20" s="167">
        <v>13.135568593366159</v>
      </c>
      <c r="G20" s="164">
        <f t="shared" ref="G20:I23" si="1">+D20/$C13</f>
        <v>0.15568653218629322</v>
      </c>
      <c r="H20" s="164">
        <f t="shared" si="1"/>
        <v>0.11377071304029487</v>
      </c>
      <c r="I20" s="164">
        <f t="shared" si="1"/>
        <v>4.1915819145998359E-2</v>
      </c>
      <c r="J20" s="162"/>
      <c r="K20" s="162"/>
      <c r="L20" s="162"/>
    </row>
    <row r="21" spans="2:23" s="152" customFormat="1" ht="16" customHeight="1">
      <c r="B21" s="161" t="s">
        <v>74</v>
      </c>
      <c r="C21" s="161"/>
      <c r="D21" s="167">
        <v>122.16583691417057</v>
      </c>
      <c r="E21" s="167">
        <v>68.65363263422806</v>
      </c>
      <c r="F21" s="167">
        <v>53.512204279942509</v>
      </c>
      <c r="G21" s="164">
        <f t="shared" si="1"/>
        <v>0.30165019393770987</v>
      </c>
      <c r="H21" s="164">
        <f t="shared" si="1"/>
        <v>0.1695185996490399</v>
      </c>
      <c r="I21" s="164">
        <f t="shared" si="1"/>
        <v>0.13213159428866997</v>
      </c>
      <c r="J21" s="162"/>
      <c r="K21" s="162"/>
      <c r="L21" s="162"/>
      <c r="U21" s="154"/>
      <c r="V21" s="154"/>
      <c r="W21" s="154"/>
    </row>
    <row r="22" spans="2:23" ht="16" customHeight="1">
      <c r="B22" s="161" t="s">
        <v>73</v>
      </c>
      <c r="C22" s="161"/>
      <c r="D22" s="165">
        <v>26.435693912253502</v>
      </c>
      <c r="E22" s="165">
        <v>3.4010080451474618</v>
      </c>
      <c r="F22" s="165">
        <v>23.034685867106038</v>
      </c>
      <c r="G22" s="164">
        <f>+D22/$C15</f>
        <v>3.0769723640326221E-2</v>
      </c>
      <c r="H22" s="164">
        <f>+E22/$C15</f>
        <v>3.9585901544731883E-3</v>
      </c>
      <c r="I22" s="164">
        <f>+F22/$C15</f>
        <v>2.6811133485853029E-2</v>
      </c>
      <c r="J22" s="162"/>
      <c r="K22" s="162"/>
      <c r="L22" s="162"/>
    </row>
    <row r="23" spans="2:23" ht="16" customHeight="1" thickBot="1">
      <c r="B23" s="168" t="s">
        <v>72</v>
      </c>
      <c r="C23" s="168"/>
      <c r="D23" s="169">
        <v>14.739466987272834</v>
      </c>
      <c r="E23" s="169">
        <v>6.1462699643147118</v>
      </c>
      <c r="F23" s="169">
        <v>8.5931970229580941</v>
      </c>
      <c r="G23" s="157">
        <f t="shared" si="1"/>
        <v>3.6033932081664888E-2</v>
      </c>
      <c r="H23" s="157">
        <f t="shared" si="1"/>
        <v>1.5025935106129061E-2</v>
      </c>
      <c r="I23" s="157">
        <f t="shared" si="1"/>
        <v>2.1007996975535761E-2</v>
      </c>
      <c r="J23" s="170"/>
      <c r="K23" s="170"/>
      <c r="L23" s="170"/>
    </row>
    <row r="24" spans="2:23" ht="17" thickTop="1"/>
    <row r="26" spans="2:23" ht="28" customHeight="1"/>
    <row r="27" spans="2:23" ht="28" customHeight="1"/>
  </sheetData>
  <mergeCells count="9">
    <mergeCell ref="J11:L11"/>
    <mergeCell ref="B10:L10"/>
    <mergeCell ref="B17:L17"/>
    <mergeCell ref="B1:D1"/>
    <mergeCell ref="G18:I18"/>
    <mergeCell ref="D18:F18"/>
    <mergeCell ref="E1:G1"/>
    <mergeCell ref="D11:F11"/>
    <mergeCell ref="G11:I11"/>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pane xSplit="1" ySplit="1" topLeftCell="B2" activePane="bottomRight" state="frozen"/>
      <selection pane="topRight"/>
      <selection pane="bottomLeft"/>
      <selection pane="bottomRight" activeCell="M15" sqref="M15"/>
    </sheetView>
  </sheetViews>
  <sheetFormatPr baseColWidth="10" defaultColWidth="11" defaultRowHeight="14" x14ac:dyDescent="0"/>
  <cols>
    <col min="1" max="1" width="17.33203125" style="23" customWidth="1"/>
    <col min="2" max="3" width="11" style="23"/>
    <col min="4" max="4" width="19.1640625" style="23" bestFit="1" customWidth="1"/>
    <col min="5" max="6" width="19.1640625" style="23" customWidth="1"/>
    <col min="7" max="16384" width="11" style="23"/>
  </cols>
  <sheetData>
    <row r="1" spans="1:11" s="40" customFormat="1" ht="42">
      <c r="B1" s="41" t="s">
        <v>29</v>
      </c>
      <c r="C1" s="41" t="s">
        <v>184</v>
      </c>
      <c r="D1" s="41" t="s">
        <v>183</v>
      </c>
      <c r="E1" s="41" t="s">
        <v>185</v>
      </c>
      <c r="F1" s="41" t="s">
        <v>186</v>
      </c>
      <c r="G1" s="41" t="s">
        <v>108</v>
      </c>
    </row>
    <row r="2" spans="1:11" ht="15">
      <c r="A2" s="90" t="s">
        <v>7</v>
      </c>
      <c r="B2" s="93">
        <v>8.0329894691828354</v>
      </c>
      <c r="C2" s="93">
        <v>0.65024582464102276</v>
      </c>
      <c r="D2" s="94">
        <f t="shared" ref="D2:D23" si="0">C2/B2</f>
        <v>8.0946928554503597E-2</v>
      </c>
      <c r="E2" s="95">
        <v>1</v>
      </c>
      <c r="F2" s="95">
        <f t="shared" ref="F2:F23" si="1">1-E2</f>
        <v>0</v>
      </c>
      <c r="G2" s="96">
        <f t="shared" ref="G2:G23" si="2">SUMPRODUCT(D$2:D$23,F$2:F$23)/SUM(F$2:F$23)</f>
        <v>3.4853421378023212E-2</v>
      </c>
      <c r="J2" s="35"/>
      <c r="K2" s="35"/>
    </row>
    <row r="3" spans="1:11" ht="15">
      <c r="A3" s="35" t="s">
        <v>8</v>
      </c>
      <c r="B3" s="93">
        <v>35.921121646983586</v>
      </c>
      <c r="C3" s="93">
        <v>2.5957706849263413</v>
      </c>
      <c r="D3" s="94">
        <f t="shared" si="0"/>
        <v>7.2263074367120067E-2</v>
      </c>
      <c r="E3" s="95">
        <v>1</v>
      </c>
      <c r="F3" s="95">
        <f t="shared" si="1"/>
        <v>0</v>
      </c>
      <c r="G3" s="96">
        <f t="shared" si="2"/>
        <v>3.4853421378023212E-2</v>
      </c>
      <c r="J3" s="35"/>
      <c r="K3" s="35"/>
    </row>
    <row r="4" spans="1:11" ht="15">
      <c r="A4" s="90" t="s">
        <v>20</v>
      </c>
      <c r="B4" s="93">
        <v>17.313380320371792</v>
      </c>
      <c r="C4" s="93">
        <v>1.1596401743896527</v>
      </c>
      <c r="D4" s="94">
        <f t="shared" si="0"/>
        <v>6.6979420132367906E-2</v>
      </c>
      <c r="E4" s="95">
        <v>1</v>
      </c>
      <c r="F4" s="95">
        <f t="shared" si="1"/>
        <v>0</v>
      </c>
      <c r="G4" s="96">
        <f t="shared" si="2"/>
        <v>3.4853421378023212E-2</v>
      </c>
      <c r="J4" s="35"/>
      <c r="K4" s="35"/>
    </row>
    <row r="5" spans="1:11" ht="15">
      <c r="A5" s="31" t="s">
        <v>82</v>
      </c>
      <c r="B5" s="93">
        <v>275.32309900507698</v>
      </c>
      <c r="C5" s="93">
        <v>16.816422723889858</v>
      </c>
      <c r="D5" s="94">
        <f t="shared" si="0"/>
        <v>6.1078866192697333E-2</v>
      </c>
      <c r="E5" s="95">
        <v>1</v>
      </c>
      <c r="F5" s="95">
        <f t="shared" si="1"/>
        <v>0</v>
      </c>
      <c r="G5" s="96">
        <f t="shared" si="2"/>
        <v>3.4853421378023212E-2</v>
      </c>
      <c r="J5" s="35"/>
      <c r="K5" s="35"/>
    </row>
    <row r="6" spans="1:11" ht="15">
      <c r="A6" s="89" t="s">
        <v>45</v>
      </c>
      <c r="B6" s="93">
        <v>3551.1310304467343</v>
      </c>
      <c r="C6" s="93">
        <v>196.09723833550484</v>
      </c>
      <c r="D6" s="94">
        <f t="shared" si="0"/>
        <v>5.5221065247720726E-2</v>
      </c>
      <c r="E6" s="97">
        <v>0</v>
      </c>
      <c r="F6" s="95">
        <f t="shared" si="1"/>
        <v>1</v>
      </c>
      <c r="G6" s="96">
        <f t="shared" si="2"/>
        <v>3.4853421378023212E-2</v>
      </c>
      <c r="J6" s="35"/>
      <c r="K6" s="35"/>
    </row>
    <row r="7" spans="1:11" ht="15">
      <c r="A7" s="90" t="s">
        <v>56</v>
      </c>
      <c r="B7" s="93">
        <v>975.05377733015882</v>
      </c>
      <c r="C7" s="93">
        <v>52.372116085313536</v>
      </c>
      <c r="D7" s="94">
        <f t="shared" si="0"/>
        <v>5.3712028303419451E-2</v>
      </c>
      <c r="E7" s="97">
        <v>0</v>
      </c>
      <c r="F7" s="95">
        <f t="shared" si="1"/>
        <v>1</v>
      </c>
      <c r="G7" s="96">
        <f t="shared" si="2"/>
        <v>3.4853421378023212E-2</v>
      </c>
      <c r="J7" s="35"/>
      <c r="K7" s="35"/>
    </row>
    <row r="8" spans="1:11" ht="15">
      <c r="A8" s="35" t="s">
        <v>12</v>
      </c>
      <c r="B8" s="93">
        <v>165.84391327991131</v>
      </c>
      <c r="C8" s="93">
        <v>8.0526659191556895</v>
      </c>
      <c r="D8" s="94">
        <f t="shared" si="0"/>
        <v>4.8555691673558152E-2</v>
      </c>
      <c r="E8" s="95">
        <v>1</v>
      </c>
      <c r="F8" s="95">
        <f t="shared" si="1"/>
        <v>0</v>
      </c>
      <c r="G8" s="96">
        <f t="shared" si="2"/>
        <v>3.4853421378023212E-2</v>
      </c>
      <c r="J8" s="35"/>
      <c r="K8" s="35"/>
    </row>
    <row r="9" spans="1:11" ht="15">
      <c r="A9" s="90" t="s">
        <v>54</v>
      </c>
      <c r="B9" s="93">
        <v>1278.741341736488</v>
      </c>
      <c r="C9" s="93">
        <v>53.741777408767739</v>
      </c>
      <c r="D9" s="94">
        <f t="shared" si="0"/>
        <v>4.202708996315721E-2</v>
      </c>
      <c r="E9" s="97">
        <v>0</v>
      </c>
      <c r="F9" s="95">
        <f t="shared" si="1"/>
        <v>1</v>
      </c>
      <c r="G9" s="96">
        <f t="shared" si="2"/>
        <v>3.4853421378023212E-2</v>
      </c>
      <c r="J9" s="35"/>
      <c r="K9" s="35"/>
    </row>
    <row r="10" spans="1:11" ht="15">
      <c r="A10" s="35" t="s">
        <v>21</v>
      </c>
      <c r="B10" s="93">
        <v>367.156417696105</v>
      </c>
      <c r="C10" s="93">
        <v>15.391739005544222</v>
      </c>
      <c r="D10" s="94">
        <f t="shared" si="0"/>
        <v>4.192147614394677E-2</v>
      </c>
      <c r="E10" s="95">
        <v>1</v>
      </c>
      <c r="F10" s="95">
        <f t="shared" si="1"/>
        <v>0</v>
      </c>
      <c r="G10" s="96">
        <f t="shared" si="2"/>
        <v>3.4853421378023212E-2</v>
      </c>
      <c r="J10" s="35"/>
      <c r="K10" s="35"/>
    </row>
    <row r="11" spans="1:11" ht="15">
      <c r="A11" s="32" t="s">
        <v>27</v>
      </c>
      <c r="B11" s="93">
        <v>555.75724242077763</v>
      </c>
      <c r="C11" s="93">
        <v>23.065579328768962</v>
      </c>
      <c r="D11" s="94">
        <f t="shared" si="0"/>
        <v>4.1502975702663786E-2</v>
      </c>
      <c r="E11" s="95">
        <v>1</v>
      </c>
      <c r="F11" s="95">
        <f t="shared" si="1"/>
        <v>0</v>
      </c>
      <c r="G11" s="96">
        <f t="shared" si="2"/>
        <v>3.4853421378023212E-2</v>
      </c>
      <c r="J11" s="35"/>
      <c r="K11" s="35"/>
    </row>
    <row r="12" spans="1:11" ht="15">
      <c r="A12" s="90" t="s">
        <v>77</v>
      </c>
      <c r="B12" s="93">
        <v>1110.1422717978173</v>
      </c>
      <c r="C12" s="93">
        <v>43.804067956937914</v>
      </c>
      <c r="D12" s="94">
        <f t="shared" si="0"/>
        <v>3.9458066834982798E-2</v>
      </c>
      <c r="E12" s="97">
        <v>0</v>
      </c>
      <c r="F12" s="95">
        <f t="shared" si="1"/>
        <v>1</v>
      </c>
      <c r="G12" s="96">
        <f t="shared" si="2"/>
        <v>3.4853421378023212E-2</v>
      </c>
      <c r="J12" s="35"/>
      <c r="K12" s="35"/>
    </row>
    <row r="13" spans="1:11" ht="15">
      <c r="A13" s="36" t="s">
        <v>26</v>
      </c>
      <c r="B13" s="93">
        <v>272.01336035492153</v>
      </c>
      <c r="C13" s="93">
        <v>9.9671328671328681</v>
      </c>
      <c r="D13" s="94">
        <f t="shared" si="0"/>
        <v>3.6642071014922971E-2</v>
      </c>
      <c r="E13" s="95">
        <v>1</v>
      </c>
      <c r="F13" s="95">
        <f t="shared" si="1"/>
        <v>0</v>
      </c>
      <c r="G13" s="96">
        <f t="shared" si="2"/>
        <v>3.4853421378023212E-2</v>
      </c>
      <c r="J13" s="35"/>
      <c r="K13" s="35"/>
    </row>
    <row r="14" spans="1:11" ht="15">
      <c r="A14" s="90" t="s">
        <v>42</v>
      </c>
      <c r="B14" s="93">
        <v>976.95476958237907</v>
      </c>
      <c r="C14" s="93">
        <v>34.353535310832406</v>
      </c>
      <c r="D14" s="94">
        <f t="shared" si="0"/>
        <v>3.5163895382298596E-2</v>
      </c>
      <c r="E14" s="97">
        <v>0</v>
      </c>
      <c r="F14" s="95">
        <f t="shared" si="1"/>
        <v>1</v>
      </c>
      <c r="G14" s="96">
        <f t="shared" si="2"/>
        <v>3.4853421378023212E-2</v>
      </c>
    </row>
    <row r="15" spans="1:11" ht="15">
      <c r="A15" s="35" t="s">
        <v>0</v>
      </c>
      <c r="B15" s="93">
        <v>2447.6188649695541</v>
      </c>
      <c r="C15" s="93">
        <v>76.402691946313851</v>
      </c>
      <c r="D15" s="94">
        <f t="shared" si="0"/>
        <v>3.1215109933900687E-2</v>
      </c>
      <c r="E15" s="97">
        <v>0</v>
      </c>
      <c r="F15" s="95">
        <f t="shared" si="1"/>
        <v>1</v>
      </c>
      <c r="G15" s="96">
        <f t="shared" si="2"/>
        <v>3.4853421378023212E-2</v>
      </c>
    </row>
    <row r="16" spans="1:11" ht="15">
      <c r="A16" s="35" t="s">
        <v>6</v>
      </c>
      <c r="B16" s="93">
        <v>637.13403905266819</v>
      </c>
      <c r="C16" s="93">
        <v>18.9129149711809</v>
      </c>
      <c r="D16" s="94">
        <f t="shared" si="0"/>
        <v>2.9684358097240945E-2</v>
      </c>
      <c r="E16" s="95">
        <v>1</v>
      </c>
      <c r="F16" s="95">
        <f t="shared" si="1"/>
        <v>0</v>
      </c>
      <c r="G16" s="96">
        <f t="shared" si="2"/>
        <v>3.4853421378023212E-2</v>
      </c>
    </row>
    <row r="17" spans="1:7" ht="15">
      <c r="A17" s="31" t="s">
        <v>15</v>
      </c>
      <c r="B17" s="93">
        <v>2054.3745445515747</v>
      </c>
      <c r="C17" s="93">
        <v>60.332121123395872</v>
      </c>
      <c r="D17" s="94">
        <f t="shared" si="0"/>
        <v>2.9367634681515712E-2</v>
      </c>
      <c r="E17" s="97">
        <v>0</v>
      </c>
      <c r="F17" s="95">
        <f t="shared" si="1"/>
        <v>1</v>
      </c>
      <c r="G17" s="96">
        <f t="shared" si="2"/>
        <v>3.4853421378023212E-2</v>
      </c>
    </row>
    <row r="18" spans="1:7" ht="15">
      <c r="A18" s="39" t="s">
        <v>60</v>
      </c>
      <c r="B18" s="93">
        <v>60.500361133885896</v>
      </c>
      <c r="C18" s="93">
        <v>1.738</v>
      </c>
      <c r="D18" s="94">
        <f t="shared" si="0"/>
        <v>2.8727101250748673E-2</v>
      </c>
      <c r="E18" s="95">
        <v>1</v>
      </c>
      <c r="F18" s="95">
        <f t="shared" si="1"/>
        <v>0</v>
      </c>
      <c r="G18" s="96">
        <f t="shared" si="2"/>
        <v>3.4853421378023212E-2</v>
      </c>
    </row>
    <row r="19" spans="1:7" ht="15">
      <c r="A19" s="35" t="s">
        <v>2</v>
      </c>
      <c r="B19" s="93">
        <v>990.06449121847527</v>
      </c>
      <c r="C19" s="93">
        <v>28.071588039380742</v>
      </c>
      <c r="D19" s="94">
        <f t="shared" si="0"/>
        <v>2.8353292425257023E-2</v>
      </c>
      <c r="E19" s="97">
        <v>0</v>
      </c>
      <c r="F19" s="95">
        <f t="shared" si="1"/>
        <v>1</v>
      </c>
      <c r="G19" s="96">
        <f t="shared" si="2"/>
        <v>3.4853421378023212E-2</v>
      </c>
    </row>
    <row r="20" spans="1:7" ht="15">
      <c r="A20" s="35" t="s">
        <v>14</v>
      </c>
      <c r="B20" s="93">
        <v>2844.671338933982</v>
      </c>
      <c r="C20" s="93">
        <v>79.507884909927142</v>
      </c>
      <c r="D20" s="94">
        <f t="shared" si="0"/>
        <v>2.7949761303434826E-2</v>
      </c>
      <c r="E20" s="97">
        <v>0</v>
      </c>
      <c r="F20" s="95">
        <f t="shared" si="1"/>
        <v>1</v>
      </c>
      <c r="G20" s="96">
        <f t="shared" si="2"/>
        <v>3.4853421378023212E-2</v>
      </c>
    </row>
    <row r="21" spans="1:7" ht="15">
      <c r="A21" s="31" t="s">
        <v>25</v>
      </c>
      <c r="B21" s="93">
        <v>15449.4339</v>
      </c>
      <c r="C21" s="93">
        <v>396.9717</v>
      </c>
      <c r="D21" s="94">
        <f t="shared" si="0"/>
        <v>2.5694902646238707E-2</v>
      </c>
      <c r="E21" s="97">
        <v>0</v>
      </c>
      <c r="F21" s="95">
        <f t="shared" si="1"/>
        <v>1</v>
      </c>
      <c r="G21" s="96">
        <f t="shared" si="2"/>
        <v>3.4853421378023212E-2</v>
      </c>
    </row>
    <row r="22" spans="1:7" ht="15">
      <c r="A22" s="31" t="s">
        <v>11</v>
      </c>
      <c r="B22" s="93">
        <v>1490.1723157834931</v>
      </c>
      <c r="C22" s="93">
        <v>37.575957207769243</v>
      </c>
      <c r="D22" s="94">
        <f t="shared" si="0"/>
        <v>2.5215847059950783E-2</v>
      </c>
      <c r="E22" s="97">
        <v>0</v>
      </c>
      <c r="F22" s="95">
        <f t="shared" si="1"/>
        <v>1</v>
      </c>
      <c r="G22" s="96">
        <f t="shared" si="2"/>
        <v>3.4853421378023212E-2</v>
      </c>
    </row>
    <row r="23" spans="1:7" ht="15">
      <c r="A23" s="90" t="s">
        <v>5</v>
      </c>
      <c r="B23" s="93">
        <v>404.14569916932015</v>
      </c>
      <c r="C23" s="93">
        <v>10.048016978379096</v>
      </c>
      <c r="D23" s="94">
        <f t="shared" si="0"/>
        <v>2.4862362754402085E-2</v>
      </c>
      <c r="E23" s="97">
        <v>0</v>
      </c>
      <c r="F23" s="95">
        <f t="shared" si="1"/>
        <v>1</v>
      </c>
      <c r="G23" s="96">
        <f t="shared" si="2"/>
        <v>3.4853421378023212E-2</v>
      </c>
    </row>
    <row r="25" spans="1:7">
      <c r="A25" s="92" t="s">
        <v>162</v>
      </c>
      <c r="B25" s="93">
        <f>Table1!C5</f>
        <v>63098.141733102268</v>
      </c>
      <c r="C25" s="93">
        <v>2153.7160158938877</v>
      </c>
      <c r="D25" s="94">
        <f>C25/B25</f>
        <v>3.4132796255773326E-2</v>
      </c>
      <c r="E25" s="91"/>
      <c r="F25" s="91"/>
    </row>
  </sheetData>
  <sortState ref="A2:G23">
    <sortCondition descending="1" ref="D2:D23"/>
  </sortState>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3" enableFormatConditionsCalculation="0"/>
  <dimension ref="A2:N69"/>
  <sheetViews>
    <sheetView zoomScale="115" zoomScaleNormal="115" zoomScalePageLayoutView="115" workbookViewId="0">
      <selection activeCell="D9" sqref="D9"/>
    </sheetView>
  </sheetViews>
  <sheetFormatPr baseColWidth="10" defaultColWidth="8.6640625" defaultRowHeight="13" x14ac:dyDescent="0"/>
  <cols>
    <col min="1" max="1" width="45" style="11" bestFit="1" customWidth="1"/>
    <col min="2" max="4" width="14.6640625" style="11" customWidth="1"/>
    <col min="5" max="5" width="12.1640625" style="11" customWidth="1"/>
    <col min="6" max="11" width="15.6640625" style="11" customWidth="1"/>
    <col min="12" max="12" width="15.83203125" style="11" customWidth="1"/>
    <col min="13" max="16384" width="8.6640625" style="11"/>
  </cols>
  <sheetData>
    <row r="2" spans="1:14" s="138" customFormat="1" ht="57" customHeight="1" thickBot="1">
      <c r="A2" s="137"/>
      <c r="B2" s="137" t="s">
        <v>345</v>
      </c>
      <c r="C2" s="137" t="s">
        <v>343</v>
      </c>
      <c r="D2" s="137" t="s">
        <v>344</v>
      </c>
      <c r="E2" s="137" t="s">
        <v>182</v>
      </c>
      <c r="F2" s="137" t="s">
        <v>346</v>
      </c>
      <c r="G2" s="137" t="s">
        <v>347</v>
      </c>
      <c r="H2" s="137" t="s">
        <v>348</v>
      </c>
      <c r="I2" s="137"/>
      <c r="J2" s="137"/>
      <c r="K2" s="137" t="str">
        <f t="shared" ref="K2" si="0">B2</f>
        <v>Tax rate on shifted profits</v>
      </c>
      <c r="L2" s="137" t="s">
        <v>350</v>
      </c>
    </row>
    <row r="3" spans="1:14" ht="15" thickTop="1">
      <c r="A3" s="86" t="s">
        <v>7</v>
      </c>
      <c r="B3" s="139">
        <f>MIN(C3,D3)</f>
        <v>4.7649291571561309E-2</v>
      </c>
      <c r="C3" s="140"/>
      <c r="D3" s="141">
        <v>4.7649291571561309E-2</v>
      </c>
      <c r="E3" s="88">
        <v>12.327426958163089</v>
      </c>
      <c r="F3" s="88">
        <f t="shared" ref="F3:F11" si="1">+B3*E3</f>
        <v>0.58739316145663811</v>
      </c>
      <c r="G3" s="88">
        <v>0.65024582464102276</v>
      </c>
      <c r="H3" s="87">
        <f t="shared" ref="H3:H11" si="2">F3/G3</f>
        <v>0.90334015105889631</v>
      </c>
      <c r="I3" s="87"/>
      <c r="J3" s="86" t="s">
        <v>7</v>
      </c>
      <c r="K3" s="67">
        <f t="shared" ref="K3:K11" si="3">B3</f>
        <v>4.7649291571561309E-2</v>
      </c>
      <c r="L3" s="2">
        <f>F3/VLOOKUP(A3,DataF8a!$A$1:$B$23,2,)</f>
        <v>7.3122610668178975E-2</v>
      </c>
      <c r="N3" s="14"/>
    </row>
    <row r="4" spans="1:14" ht="14">
      <c r="A4" s="86" t="s">
        <v>60</v>
      </c>
      <c r="B4" s="139">
        <f>MIN(C4,D4)</f>
        <v>3.2938604318924807E-2</v>
      </c>
      <c r="C4" s="10"/>
      <c r="D4" s="141">
        <v>3.2938604318924807E-2</v>
      </c>
      <c r="E4" s="88">
        <v>41.683062581236264</v>
      </c>
      <c r="F4" s="88">
        <f t="shared" si="1"/>
        <v>1.3729819051643217</v>
      </c>
      <c r="G4" s="88">
        <v>1.738</v>
      </c>
      <c r="H4" s="87">
        <f t="shared" si="2"/>
        <v>0.78997808122227953</v>
      </c>
      <c r="I4" s="87"/>
      <c r="J4" s="86" t="s">
        <v>60</v>
      </c>
      <c r="K4" s="67">
        <f t="shared" si="3"/>
        <v>3.2938604318924807E-2</v>
      </c>
      <c r="L4" s="2">
        <f>F4/VLOOKUP(A4,DataF8a!$A$1:$B$23,2,)</f>
        <v>2.2693780325144582E-2</v>
      </c>
      <c r="N4" s="14"/>
    </row>
    <row r="5" spans="1:14" ht="14">
      <c r="A5" s="86" t="s">
        <v>12</v>
      </c>
      <c r="B5" s="139">
        <f>MIN(C5,D5)</f>
        <v>4.3730990037364761E-2</v>
      </c>
      <c r="C5" s="10">
        <v>5.5192326378767059E-2</v>
      </c>
      <c r="D5" s="141">
        <v>4.3730990037364761E-2</v>
      </c>
      <c r="E5" s="88">
        <v>106.3289638729139</v>
      </c>
      <c r="F5" s="88">
        <f t="shared" si="1"/>
        <v>4.6498708598097158</v>
      </c>
      <c r="G5" s="88">
        <v>8.0526659191556895</v>
      </c>
      <c r="H5" s="87">
        <f t="shared" si="2"/>
        <v>0.57743248093138921</v>
      </c>
      <c r="I5" s="87"/>
      <c r="J5" s="86" t="s">
        <v>12</v>
      </c>
      <c r="K5" s="67">
        <f t="shared" si="3"/>
        <v>4.3730990037364761E-2</v>
      </c>
      <c r="L5" s="2">
        <f>F5/VLOOKUP(A5,DataF8a!$A$1:$B$23,2,)</f>
        <v>2.8037633506402284E-2</v>
      </c>
      <c r="N5" s="14"/>
    </row>
    <row r="6" spans="1:14" ht="14">
      <c r="A6" s="86" t="s">
        <v>8</v>
      </c>
      <c r="B6" s="139">
        <f>MIN(C6,D6)</f>
        <v>2.7963025736591773E-2</v>
      </c>
      <c r="C6" s="10">
        <v>8.8413018127849047E-2</v>
      </c>
      <c r="D6" s="141">
        <v>2.7963025736591773E-2</v>
      </c>
      <c r="E6" s="88">
        <v>46.799572185855702</v>
      </c>
      <c r="F6" s="88">
        <f t="shared" si="1"/>
        <v>1.3086576414945674</v>
      </c>
      <c r="G6" s="88">
        <v>2.5957706849263413</v>
      </c>
      <c r="H6" s="87">
        <f t="shared" si="2"/>
        <v>0.50414994247910705</v>
      </c>
      <c r="I6" s="87"/>
      <c r="J6" s="86" t="s">
        <v>8</v>
      </c>
      <c r="K6" s="67">
        <f t="shared" si="3"/>
        <v>2.7963025736591773E-2</v>
      </c>
      <c r="L6" s="2">
        <f>F6/VLOOKUP(A6,DataF8a!$A$1:$B$23,2,)</f>
        <v>3.643142478554702E-2</v>
      </c>
      <c r="N6" s="14"/>
    </row>
    <row r="7" spans="1:14" ht="14">
      <c r="A7" s="86" t="s">
        <v>20</v>
      </c>
      <c r="B7" s="139">
        <v>0.125</v>
      </c>
      <c r="C7" s="140"/>
      <c r="D7" s="141">
        <v>0.16850316349676739</v>
      </c>
      <c r="E7" s="88">
        <v>4.220454615709551</v>
      </c>
      <c r="F7" s="88">
        <f t="shared" si="1"/>
        <v>0.52755682696369388</v>
      </c>
      <c r="G7" s="88">
        <v>1.1596401743896527</v>
      </c>
      <c r="H7" s="87">
        <f t="shared" si="2"/>
        <v>0.45493148531298516</v>
      </c>
      <c r="I7" s="87"/>
      <c r="J7" s="86" t="s">
        <v>20</v>
      </c>
      <c r="K7" s="67">
        <f t="shared" si="3"/>
        <v>0.125</v>
      </c>
      <c r="L7" s="2">
        <f>F7/VLOOKUP(A7,DataF8a!$A$1:$B$23,2,)</f>
        <v>3.0471047086220594E-2</v>
      </c>
      <c r="N7" s="14"/>
    </row>
    <row r="8" spans="1:14" s="86" customFormat="1" ht="14">
      <c r="A8" s="86" t="s">
        <v>26</v>
      </c>
      <c r="B8" s="139">
        <f t="shared" ref="B8:B14" si="4">MIN(C8,D8)</f>
        <v>5.7823358747722826E-2</v>
      </c>
      <c r="C8" s="142">
        <v>5.7823358747722826E-2</v>
      </c>
      <c r="D8" s="141">
        <v>8.300833934937181E-2</v>
      </c>
      <c r="E8" s="88">
        <v>70.416271670151048</v>
      </c>
      <c r="F8" s="88">
        <f t="shared" si="1"/>
        <v>4.071705338460256</v>
      </c>
      <c r="G8" s="88">
        <v>9.9671328671328681</v>
      </c>
      <c r="H8" s="87">
        <f t="shared" si="2"/>
        <v>0.40851319960697152</v>
      </c>
      <c r="I8" s="87"/>
      <c r="J8" s="86" t="s">
        <v>26</v>
      </c>
      <c r="K8" s="67">
        <f t="shared" si="3"/>
        <v>5.7823358747722826E-2</v>
      </c>
      <c r="L8" s="2">
        <f>F8/VLOOKUP(A8,DataF8a!$A$1:$B$23,2,)</f>
        <v>1.4968769670532055E-2</v>
      </c>
      <c r="N8" s="14"/>
    </row>
    <row r="9" spans="1:14" ht="14">
      <c r="A9" s="86" t="s">
        <v>82</v>
      </c>
      <c r="B9" s="139">
        <f t="shared" si="4"/>
        <v>0.14233199310740954</v>
      </c>
      <c r="C9" s="10">
        <v>0.14233199310740954</v>
      </c>
      <c r="D9" s="141">
        <v>0.17659863513001625</v>
      </c>
      <c r="E9" s="88">
        <v>39.035168909870336</v>
      </c>
      <c r="F9" s="88">
        <f t="shared" si="1"/>
        <v>5.5559533922262316</v>
      </c>
      <c r="G9" s="88">
        <v>16.816422723889858</v>
      </c>
      <c r="H9" s="87">
        <f t="shared" si="2"/>
        <v>0.33038854240582904</v>
      </c>
      <c r="I9" s="87"/>
      <c r="J9" s="86" t="s">
        <v>82</v>
      </c>
      <c r="K9" s="67">
        <f t="shared" si="3"/>
        <v>0.14233199310740954</v>
      </c>
      <c r="L9" s="2">
        <f>F9/VLOOKUP(A9,DataF8a!$A$1:$B$23,2,)</f>
        <v>2.0179757573205941E-2</v>
      </c>
      <c r="N9" s="14"/>
    </row>
    <row r="10" spans="1:14" ht="14">
      <c r="A10" s="86" t="s">
        <v>6</v>
      </c>
      <c r="B10" s="139">
        <f t="shared" si="4"/>
        <v>0.10484903843270543</v>
      </c>
      <c r="C10" s="10">
        <v>0.11562138111781557</v>
      </c>
      <c r="D10" s="141">
        <v>0.10484903843270543</v>
      </c>
      <c r="E10" s="88">
        <v>57.353364287520073</v>
      </c>
      <c r="F10" s="88">
        <f t="shared" si="1"/>
        <v>6.0134450964271471</v>
      </c>
      <c r="G10" s="88">
        <v>18.9129149711809</v>
      </c>
      <c r="H10" s="87">
        <f t="shared" si="2"/>
        <v>0.3179544298480857</v>
      </c>
      <c r="I10" s="87"/>
      <c r="J10" s="86" t="s">
        <v>6</v>
      </c>
      <c r="K10" s="67">
        <f t="shared" si="3"/>
        <v>0.10484903843270543</v>
      </c>
      <c r="L10" s="2">
        <f>F10/VLOOKUP(A10,DataF8a!$A$1:$B$23,2,)</f>
        <v>9.4382731542146502E-3</v>
      </c>
      <c r="N10" s="14"/>
    </row>
    <row r="11" spans="1:14" ht="15" thickBot="1">
      <c r="A11" s="17" t="s">
        <v>27</v>
      </c>
      <c r="B11" s="143">
        <f t="shared" si="4"/>
        <v>7.974176427058613E-2</v>
      </c>
      <c r="C11" s="144">
        <v>7.974176427058613E-2</v>
      </c>
      <c r="D11" s="145">
        <v>0.21188216848158226</v>
      </c>
      <c r="E11" s="18">
        <v>58.152724672949248</v>
      </c>
      <c r="F11" s="18">
        <f t="shared" si="1"/>
        <v>4.6372008625626169</v>
      </c>
      <c r="G11" s="18">
        <v>23.065579328768962</v>
      </c>
      <c r="H11" s="19">
        <f t="shared" si="2"/>
        <v>0.20104419648279911</v>
      </c>
      <c r="I11" s="87"/>
      <c r="J11" s="17" t="s">
        <v>27</v>
      </c>
      <c r="K11" s="67">
        <f t="shared" si="3"/>
        <v>7.974176427058613E-2</v>
      </c>
      <c r="L11" s="2">
        <f>F11/VLOOKUP(A11,DataF8a!$A$1:$B$23,2,)</f>
        <v>8.3439324017871765E-3</v>
      </c>
      <c r="N11" s="14"/>
    </row>
    <row r="12" spans="1:14" ht="14" thickTop="1">
      <c r="A12" s="11" t="s">
        <v>21</v>
      </c>
      <c r="B12" s="2">
        <f t="shared" si="4"/>
        <v>0.18742426983704405</v>
      </c>
      <c r="C12" s="2">
        <v>0.28469912307227097</v>
      </c>
      <c r="D12" s="2">
        <v>0.18742426983704405</v>
      </c>
      <c r="E12" s="175">
        <v>13.106870602869716</v>
      </c>
      <c r="F12" s="175">
        <f t="shared" ref="F12" si="5">+B12*E12</f>
        <v>2.4565456525914739</v>
      </c>
      <c r="G12" s="175">
        <v>15.391739005544222</v>
      </c>
      <c r="H12" s="2">
        <f t="shared" ref="H12" si="6">F12/G12</f>
        <v>0.15960156624970104</v>
      </c>
    </row>
    <row r="13" spans="1:14">
      <c r="A13" s="11" t="s">
        <v>6</v>
      </c>
      <c r="B13" s="2">
        <f t="shared" si="4"/>
        <v>0.10484903843270543</v>
      </c>
      <c r="C13" s="2">
        <v>0.11562138111781557</v>
      </c>
      <c r="D13" s="2">
        <v>0.10484903843270543</v>
      </c>
      <c r="E13" s="175">
        <v>57.353364287520073</v>
      </c>
      <c r="F13" s="175">
        <f t="shared" ref="F13" si="7">+B13*E13</f>
        <v>6.0134450964271471</v>
      </c>
      <c r="G13" s="175">
        <v>18.9129149711809</v>
      </c>
      <c r="H13" s="2">
        <f t="shared" ref="H13" si="8">F13/G13</f>
        <v>0.3179544298480857</v>
      </c>
    </row>
    <row r="14" spans="1:14" ht="14">
      <c r="A14" s="11" t="s">
        <v>99</v>
      </c>
      <c r="B14" s="136">
        <f t="shared" si="4"/>
        <v>4.8500617098635714E-2</v>
      </c>
      <c r="C14" s="9">
        <v>4.8500617098635714E-2</v>
      </c>
      <c r="D14" s="135"/>
      <c r="E14" s="13">
        <v>93.605130574750405</v>
      </c>
      <c r="F14" s="13">
        <f>+B14*E14</f>
        <v>4.5399065964737684</v>
      </c>
      <c r="G14" s="13">
        <f>F14</f>
        <v>4.5399065964737684</v>
      </c>
      <c r="H14" s="12">
        <f>F14/G14</f>
        <v>1</v>
      </c>
      <c r="I14" s="12"/>
      <c r="J14" s="12"/>
      <c r="K14" s="12"/>
    </row>
    <row r="15" spans="1:14" ht="14">
      <c r="A15" s="11" t="s">
        <v>75</v>
      </c>
      <c r="B15" s="136"/>
      <c r="C15" s="9"/>
      <c r="D15" s="135"/>
      <c r="E15" s="13"/>
      <c r="F15" s="13"/>
      <c r="G15" s="13"/>
      <c r="H15" s="12"/>
      <c r="I15" s="12"/>
      <c r="J15" s="12"/>
      <c r="K15" s="12"/>
    </row>
    <row r="16" spans="1:14">
      <c r="A16" s="11" t="s">
        <v>349</v>
      </c>
      <c r="B16" s="135">
        <f>F16/E16</f>
        <v>6.9513470335965014E-2</v>
      </c>
      <c r="E16" s="13">
        <f>SUM(E3:E14)</f>
        <v>600.38237521950941</v>
      </c>
      <c r="F16" s="13">
        <f>SUM(F3:F14)</f>
        <v>41.734662430057583</v>
      </c>
      <c r="G16" s="13">
        <f>SUM(G3:G14)</f>
        <v>121.80293306728419</v>
      </c>
      <c r="H16" s="15"/>
      <c r="I16" s="15"/>
      <c r="J16" s="15"/>
      <c r="K16" s="15"/>
    </row>
    <row r="17" spans="6:11">
      <c r="F17" s="15"/>
      <c r="H17" s="15"/>
      <c r="I17" s="15"/>
      <c r="J17" s="15"/>
      <c r="K17" s="15"/>
    </row>
    <row r="18" spans="6:11">
      <c r="F18" s="15"/>
      <c r="G18" s="15"/>
      <c r="H18" s="15"/>
      <c r="I18" s="15"/>
      <c r="J18" s="15"/>
      <c r="K18" s="15"/>
    </row>
    <row r="21" spans="6:11" ht="14">
      <c r="H21" s="16"/>
      <c r="I21" s="16"/>
      <c r="J21" s="16"/>
      <c r="K21" s="16"/>
    </row>
    <row r="60" spans="1:4">
      <c r="A60" s="15"/>
      <c r="B60" s="15"/>
      <c r="C60" s="15"/>
      <c r="D60" s="15"/>
    </row>
    <row r="61" spans="1:4">
      <c r="A61" s="15"/>
      <c r="B61" s="15"/>
      <c r="C61" s="15"/>
      <c r="D61" s="15"/>
    </row>
    <row r="62" spans="1:4">
      <c r="A62" s="15"/>
      <c r="B62" s="15"/>
      <c r="C62" s="15"/>
      <c r="D62" s="15"/>
    </row>
    <row r="63" spans="1:4">
      <c r="A63" s="15"/>
      <c r="B63" s="15"/>
      <c r="C63" s="15"/>
      <c r="D63" s="15"/>
    </row>
    <row r="64" spans="1:4">
      <c r="A64" s="15"/>
      <c r="B64" s="15"/>
      <c r="C64" s="15"/>
      <c r="D64" s="15"/>
    </row>
    <row r="65" spans="1:4">
      <c r="A65" s="15"/>
      <c r="B65" s="15"/>
      <c r="C65" s="15"/>
      <c r="D65" s="15"/>
    </row>
    <row r="66" spans="1:4">
      <c r="A66" s="15"/>
      <c r="B66" s="15"/>
      <c r="C66" s="15"/>
      <c r="D66" s="15"/>
    </row>
    <row r="67" spans="1:4">
      <c r="A67" s="15"/>
      <c r="B67" s="15"/>
      <c r="C67" s="15"/>
      <c r="D67" s="15"/>
    </row>
    <row r="68" spans="1:4">
      <c r="A68" s="15"/>
      <c r="B68" s="15"/>
      <c r="C68" s="15"/>
      <c r="D68" s="15"/>
    </row>
    <row r="69" spans="1:4">
      <c r="A69" s="15"/>
      <c r="B69" s="15"/>
      <c r="C69" s="15"/>
      <c r="D69" s="15"/>
    </row>
  </sheetData>
  <sortState ref="A3:L11">
    <sortCondition descending="1" ref="H3:H11"/>
  </sortState>
  <pageMargins left="0.7" right="0.7" top="0.75" bottom="0.75" header="0.3" footer="0.3"/>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67"/>
  <sheetViews>
    <sheetView zoomScale="115" zoomScaleNormal="115" zoomScalePageLayoutView="115" workbookViewId="0">
      <selection activeCell="I29" sqref="I29"/>
    </sheetView>
  </sheetViews>
  <sheetFormatPr baseColWidth="10" defaultColWidth="8.6640625" defaultRowHeight="13" x14ac:dyDescent="0"/>
  <cols>
    <col min="1" max="1" width="45" style="11" bestFit="1" customWidth="1"/>
    <col min="2" max="4" width="14.6640625" style="11" customWidth="1"/>
    <col min="5" max="5" width="12.1640625" style="11" customWidth="1"/>
    <col min="6" max="8" width="15.6640625" style="11" customWidth="1"/>
    <col min="9" max="9" width="15.83203125" style="11" customWidth="1"/>
    <col min="10" max="16384" width="8.6640625" style="11"/>
  </cols>
  <sheetData>
    <row r="2" spans="1:11" s="138" customFormat="1" ht="57" customHeight="1" thickBot="1">
      <c r="A2" s="137"/>
      <c r="B2" s="137" t="s">
        <v>345</v>
      </c>
      <c r="C2" s="137" t="s">
        <v>343</v>
      </c>
      <c r="D2" s="137" t="s">
        <v>344</v>
      </c>
      <c r="E2" s="137" t="s">
        <v>182</v>
      </c>
      <c r="F2" s="137" t="s">
        <v>346</v>
      </c>
      <c r="G2" s="137" t="s">
        <v>347</v>
      </c>
      <c r="H2" s="137" t="s">
        <v>348</v>
      </c>
      <c r="I2" s="137" t="s">
        <v>350</v>
      </c>
    </row>
    <row r="3" spans="1:11" ht="15" thickTop="1">
      <c r="A3" s="86" t="s">
        <v>7</v>
      </c>
      <c r="B3" s="139">
        <f>MIN(C3,D3)</f>
        <v>4.7649291571561309E-2</v>
      </c>
      <c r="C3" s="140"/>
      <c r="D3" s="141">
        <v>4.7649291571561309E-2</v>
      </c>
      <c r="E3" s="88">
        <v>12.327426958163089</v>
      </c>
      <c r="F3" s="88">
        <f t="shared" ref="F3:F11" si="0">+B3*E3</f>
        <v>0.58739316145663811</v>
      </c>
      <c r="G3" s="88">
        <v>0.65024582464102276</v>
      </c>
      <c r="H3" s="87">
        <f t="shared" ref="H3:H11" si="1">F3/G3</f>
        <v>0.90334015105889631</v>
      </c>
      <c r="I3" s="2">
        <f>F3/VLOOKUP(A3,DataF8a!$A$1:$B$23,2,)</f>
        <v>7.3122610668178975E-2</v>
      </c>
      <c r="K3" s="14"/>
    </row>
    <row r="4" spans="1:11" ht="14">
      <c r="A4" s="86" t="s">
        <v>8</v>
      </c>
      <c r="B4" s="139">
        <f>MIN(C4,D4)</f>
        <v>2.7963025736591773E-2</v>
      </c>
      <c r="C4" s="10">
        <v>8.8413018127849047E-2</v>
      </c>
      <c r="D4" s="141">
        <v>2.7963025736591773E-2</v>
      </c>
      <c r="E4" s="88">
        <v>46.799572185855702</v>
      </c>
      <c r="F4" s="88">
        <f t="shared" si="0"/>
        <v>1.3086576414945674</v>
      </c>
      <c r="G4" s="88">
        <v>2.5957706849263413</v>
      </c>
      <c r="H4" s="87">
        <f t="shared" si="1"/>
        <v>0.50414994247910705</v>
      </c>
      <c r="I4" s="2">
        <f>F4/VLOOKUP(A4,DataF8a!$A$1:$B$23,2,)</f>
        <v>3.643142478554702E-2</v>
      </c>
      <c r="K4" s="14"/>
    </row>
    <row r="5" spans="1:11" ht="14">
      <c r="A5" s="86" t="s">
        <v>20</v>
      </c>
      <c r="B5" s="139">
        <v>0.125</v>
      </c>
      <c r="C5" s="140"/>
      <c r="D5" s="141">
        <v>0.16850316349676739</v>
      </c>
      <c r="E5" s="88">
        <v>4.220454615709551</v>
      </c>
      <c r="F5" s="88">
        <f t="shared" si="0"/>
        <v>0.52755682696369388</v>
      </c>
      <c r="G5" s="88">
        <v>1.1596401743896527</v>
      </c>
      <c r="H5" s="87">
        <f t="shared" si="1"/>
        <v>0.45493148531298516</v>
      </c>
      <c r="I5" s="2">
        <f>F5/VLOOKUP(A5,DataF8a!$A$1:$B$23,2,)</f>
        <v>3.0471047086220594E-2</v>
      </c>
      <c r="K5" s="14"/>
    </row>
    <row r="6" spans="1:11" ht="14">
      <c r="A6" s="86" t="s">
        <v>82</v>
      </c>
      <c r="B6" s="139">
        <f t="shared" ref="B6:B11" si="2">MIN(C6,D6)</f>
        <v>0.14233199310740954</v>
      </c>
      <c r="C6" s="10">
        <v>0.14233199310740954</v>
      </c>
      <c r="D6" s="141">
        <v>0.17659863513001625</v>
      </c>
      <c r="E6" s="88">
        <v>39.035168909870336</v>
      </c>
      <c r="F6" s="88">
        <f t="shared" si="0"/>
        <v>5.5559533922262316</v>
      </c>
      <c r="G6" s="88">
        <v>16.816422723889858</v>
      </c>
      <c r="H6" s="87">
        <f t="shared" si="1"/>
        <v>0.33038854240582904</v>
      </c>
      <c r="I6" s="2">
        <f>F6/VLOOKUP(A6,DataF8a!$A$1:$B$23,2,)</f>
        <v>2.0179757573205941E-2</v>
      </c>
      <c r="K6" s="14"/>
    </row>
    <row r="7" spans="1:11" ht="14">
      <c r="A7" s="86" t="s">
        <v>12</v>
      </c>
      <c r="B7" s="139">
        <f t="shared" si="2"/>
        <v>4.3730990037364761E-2</v>
      </c>
      <c r="C7" s="10">
        <v>5.5192326378767059E-2</v>
      </c>
      <c r="D7" s="141">
        <v>4.3730990037364761E-2</v>
      </c>
      <c r="E7" s="88">
        <v>106.3289638729139</v>
      </c>
      <c r="F7" s="88">
        <f t="shared" si="0"/>
        <v>4.6498708598097158</v>
      </c>
      <c r="G7" s="88">
        <v>8.0526659191556895</v>
      </c>
      <c r="H7" s="87">
        <f t="shared" si="1"/>
        <v>0.57743248093138921</v>
      </c>
      <c r="I7" s="2">
        <f>F7/VLOOKUP(A7,DataF8a!$A$1:$B$23,2,)</f>
        <v>2.8037633506402284E-2</v>
      </c>
      <c r="K7" s="14"/>
    </row>
    <row r="8" spans="1:11" s="86" customFormat="1" ht="14">
      <c r="A8" s="86" t="s">
        <v>60</v>
      </c>
      <c r="B8" s="139">
        <f t="shared" si="2"/>
        <v>3.2938604318924807E-2</v>
      </c>
      <c r="C8" s="10"/>
      <c r="D8" s="141">
        <v>3.2938604318924807E-2</v>
      </c>
      <c r="E8" s="88">
        <v>41.683062581236264</v>
      </c>
      <c r="F8" s="88">
        <f t="shared" si="0"/>
        <v>1.3729819051643217</v>
      </c>
      <c r="G8" s="88">
        <v>1.738</v>
      </c>
      <c r="H8" s="87">
        <f t="shared" si="1"/>
        <v>0.78997808122227953</v>
      </c>
      <c r="I8" s="2">
        <f>F8/VLOOKUP(A8,DataF8a!$A$1:$B$23,2,)</f>
        <v>2.2693780325144582E-2</v>
      </c>
      <c r="K8" s="14"/>
    </row>
    <row r="9" spans="1:11" ht="14">
      <c r="A9" s="86" t="s">
        <v>26</v>
      </c>
      <c r="B9" s="139">
        <f t="shared" si="2"/>
        <v>5.7823358747722826E-2</v>
      </c>
      <c r="C9" s="142">
        <v>5.7823358747722826E-2</v>
      </c>
      <c r="D9" s="141">
        <v>8.300833934937181E-2</v>
      </c>
      <c r="E9" s="88">
        <v>70.416271670151048</v>
      </c>
      <c r="F9" s="88">
        <f t="shared" si="0"/>
        <v>4.071705338460256</v>
      </c>
      <c r="G9" s="88">
        <v>9.9671328671328681</v>
      </c>
      <c r="H9" s="87">
        <f t="shared" si="1"/>
        <v>0.40851319960697152</v>
      </c>
      <c r="I9" s="2">
        <f>F9/VLOOKUP(A9,DataF8a!$A$1:$B$23,2,)</f>
        <v>1.4968769670532055E-2</v>
      </c>
      <c r="K9" s="14"/>
    </row>
    <row r="10" spans="1:11" ht="14">
      <c r="A10" s="86" t="s">
        <v>6</v>
      </c>
      <c r="B10" s="139">
        <f t="shared" si="2"/>
        <v>0.10484903843270543</v>
      </c>
      <c r="C10" s="10">
        <v>0.11562138111781557</v>
      </c>
      <c r="D10" s="141">
        <v>0.10484903843270543</v>
      </c>
      <c r="E10" s="88">
        <v>57.353364287520073</v>
      </c>
      <c r="F10" s="88">
        <f t="shared" si="0"/>
        <v>6.0134450964271471</v>
      </c>
      <c r="G10" s="88">
        <v>18.9129149711809</v>
      </c>
      <c r="H10" s="87">
        <f t="shared" si="1"/>
        <v>0.3179544298480857</v>
      </c>
      <c r="I10" s="2">
        <f>F10/VLOOKUP(A10,DataF8a!$A$1:$B$23,2,)</f>
        <v>9.4382731542146502E-3</v>
      </c>
      <c r="K10" s="14"/>
    </row>
    <row r="11" spans="1:11" ht="15" thickBot="1">
      <c r="A11" s="17" t="s">
        <v>27</v>
      </c>
      <c r="B11" s="143">
        <f t="shared" si="2"/>
        <v>7.974176427058613E-2</v>
      </c>
      <c r="C11" s="144">
        <v>7.974176427058613E-2</v>
      </c>
      <c r="D11" s="145">
        <v>0.21188216848158226</v>
      </c>
      <c r="E11" s="18">
        <v>58.152724672949248</v>
      </c>
      <c r="F11" s="18">
        <f t="shared" si="0"/>
        <v>4.6372008625626169</v>
      </c>
      <c r="G11" s="18">
        <v>23.065579328768962</v>
      </c>
      <c r="H11" s="19">
        <f t="shared" si="1"/>
        <v>0.20104419648279911</v>
      </c>
      <c r="I11" s="19">
        <f>F11/VLOOKUP(A11,DataF8a!$A$1:$B$23,2,)</f>
        <v>8.3439324017871765E-3</v>
      </c>
      <c r="K11" s="14"/>
    </row>
    <row r="12" spans="1:11" ht="14" thickTop="1"/>
    <row r="13" spans="1:11" ht="14">
      <c r="A13" s="11" t="s">
        <v>99</v>
      </c>
      <c r="B13" s="136">
        <f>MIN(C13,D13)</f>
        <v>4.8500617098635714E-2</v>
      </c>
      <c r="C13" s="9">
        <v>4.8500617098635714E-2</v>
      </c>
      <c r="D13" s="135"/>
      <c r="E13" s="13">
        <v>93.605130574750405</v>
      </c>
      <c r="F13" s="13">
        <f>+B13*E13</f>
        <v>4.5399065964737684</v>
      </c>
      <c r="G13" s="13">
        <f>F13</f>
        <v>4.5399065964737684</v>
      </c>
      <c r="H13" s="12">
        <f>F13/G13</f>
        <v>1</v>
      </c>
    </row>
    <row r="14" spans="1:11">
      <c r="A14" s="11" t="s">
        <v>349</v>
      </c>
      <c r="B14" s="135">
        <f>F14/E14</f>
        <v>6.2772753107426721E-2</v>
      </c>
      <c r="E14" s="13">
        <f>SUM(E3:E13)</f>
        <v>529.92214032911966</v>
      </c>
      <c r="F14" s="13">
        <f>SUM(F3:F13)</f>
        <v>33.264671681038962</v>
      </c>
      <c r="G14" s="13">
        <f>SUM(G3:G13)</f>
        <v>87.498279090559066</v>
      </c>
      <c r="H14" s="15"/>
    </row>
    <row r="15" spans="1:11">
      <c r="F15" s="15"/>
      <c r="H15" s="15"/>
    </row>
    <row r="16" spans="1:11">
      <c r="F16" s="15"/>
      <c r="G16" s="15"/>
      <c r="H16" s="15"/>
    </row>
    <row r="19" spans="8:8" ht="14">
      <c r="H19" s="16"/>
    </row>
    <row r="58" spans="1:4">
      <c r="A58" s="15"/>
      <c r="B58" s="15"/>
      <c r="C58" s="15"/>
      <c r="D58" s="15"/>
    </row>
    <row r="59" spans="1:4">
      <c r="A59" s="15"/>
      <c r="B59" s="15"/>
      <c r="C59" s="15"/>
      <c r="D59" s="15"/>
    </row>
    <row r="60" spans="1:4">
      <c r="A60" s="15"/>
      <c r="B60" s="15"/>
      <c r="C60" s="15"/>
      <c r="D60" s="15"/>
    </row>
    <row r="61" spans="1:4">
      <c r="A61" s="15"/>
      <c r="B61" s="15"/>
      <c r="C61" s="15"/>
      <c r="D61" s="15"/>
    </row>
    <row r="62" spans="1:4">
      <c r="A62" s="15"/>
      <c r="B62" s="15"/>
      <c r="C62" s="15"/>
      <c r="D62" s="15"/>
    </row>
    <row r="63" spans="1:4">
      <c r="A63" s="15"/>
      <c r="B63" s="15"/>
      <c r="C63" s="15"/>
      <c r="D63" s="15"/>
    </row>
    <row r="64" spans="1:4">
      <c r="A64" s="15"/>
      <c r="B64" s="15"/>
      <c r="C64" s="15"/>
      <c r="D64" s="15"/>
    </row>
    <row r="65" spans="1:4">
      <c r="A65" s="15"/>
      <c r="B65" s="15"/>
      <c r="C65" s="15"/>
      <c r="D65" s="15"/>
    </row>
    <row r="66" spans="1:4">
      <c r="A66" s="15"/>
      <c r="B66" s="15"/>
      <c r="C66" s="15"/>
      <c r="D66" s="15"/>
    </row>
    <row r="67" spans="1:4">
      <c r="A67" s="15"/>
      <c r="B67" s="15"/>
      <c r="C67" s="15"/>
      <c r="D67" s="15"/>
    </row>
  </sheetData>
  <sortState ref="A3:I11">
    <sortCondition descending="1" ref="I3:I11"/>
  </sortState>
  <pageMargins left="0.7" right="0.7" top="0.75" bottom="0.75" header="0.3" footer="0.3"/>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86"/>
  <sheetViews>
    <sheetView zoomScale="85" zoomScaleNormal="85" zoomScalePageLayoutView="85" workbookViewId="0">
      <pane xSplit="1" ySplit="4" topLeftCell="EB5" activePane="bottomRight" state="frozen"/>
      <selection activeCell="G26" sqref="G26"/>
      <selection pane="topRight" activeCell="G26" sqref="G26"/>
      <selection pane="bottomLeft" activeCell="G26" sqref="G26"/>
      <selection pane="bottomRight" activeCell="DH12" sqref="DH12"/>
    </sheetView>
  </sheetViews>
  <sheetFormatPr baseColWidth="10" defaultColWidth="12" defaultRowHeight="14" x14ac:dyDescent="0"/>
  <cols>
    <col min="1" max="36" width="12" style="98"/>
    <col min="37" max="37" width="12" style="99"/>
    <col min="38" max="42" width="12" style="98"/>
    <col min="43" max="43" width="12.5" style="98" bestFit="1" customWidth="1"/>
    <col min="44" max="46" width="12.5" style="98" customWidth="1"/>
    <col min="47" max="50" width="12" style="98"/>
    <col min="51" max="51" width="13" style="98" bestFit="1" customWidth="1"/>
    <col min="52" max="52" width="12" style="98"/>
    <col min="53" max="53" width="12.5" style="98" bestFit="1" customWidth="1"/>
    <col min="54" max="54" width="12" style="98"/>
    <col min="55" max="55" width="12.5" style="98" bestFit="1" customWidth="1"/>
    <col min="56" max="57" width="12" style="98"/>
    <col min="58" max="58" width="12.5" style="98" bestFit="1" customWidth="1"/>
    <col min="59" max="59" width="12.5" style="98" customWidth="1"/>
    <col min="60" max="16384" width="12" style="98"/>
  </cols>
  <sheetData>
    <row r="1" spans="1:152">
      <c r="AV1" s="98" t="s">
        <v>342</v>
      </c>
      <c r="BC1" s="134"/>
      <c r="EO1" s="98" t="s">
        <v>341</v>
      </c>
      <c r="EP1" s="133">
        <v>0.78756400000000004</v>
      </c>
      <c r="EQ1" s="98" t="s">
        <v>340</v>
      </c>
    </row>
    <row r="2" spans="1:152">
      <c r="X2" s="98" t="s">
        <v>339</v>
      </c>
      <c r="AC2" s="98" t="s">
        <v>338</v>
      </c>
      <c r="BW2" s="98" t="s">
        <v>337</v>
      </c>
      <c r="CF2" s="98" t="s">
        <v>336</v>
      </c>
      <c r="CR2" s="98" t="s">
        <v>335</v>
      </c>
      <c r="DC2" s="98" t="s">
        <v>334</v>
      </c>
      <c r="DH2" s="98" t="s">
        <v>333</v>
      </c>
      <c r="DO2" s="98" t="s">
        <v>332</v>
      </c>
      <c r="DY2" s="98" t="s">
        <v>331</v>
      </c>
      <c r="ED2" s="98" t="s">
        <v>330</v>
      </c>
      <c r="ET2" s="98" t="s">
        <v>329</v>
      </c>
    </row>
    <row r="3" spans="1:152" s="127" customFormat="1" ht="112">
      <c r="A3" s="127" t="s">
        <v>30</v>
      </c>
      <c r="B3" s="127" t="s">
        <v>29</v>
      </c>
      <c r="C3" s="127" t="s">
        <v>328</v>
      </c>
      <c r="D3" s="127" t="s">
        <v>327</v>
      </c>
      <c r="E3" s="127" t="s">
        <v>64</v>
      </c>
      <c r="F3" s="127" t="s">
        <v>326</v>
      </c>
      <c r="G3" s="127" t="s">
        <v>325</v>
      </c>
      <c r="H3" s="127" t="s">
        <v>324</v>
      </c>
      <c r="I3" s="127" t="s">
        <v>323</v>
      </c>
      <c r="J3" s="129" t="s">
        <v>28</v>
      </c>
      <c r="K3" s="129" t="s">
        <v>322</v>
      </c>
      <c r="L3" s="129" t="s">
        <v>321</v>
      </c>
      <c r="M3" s="127" t="s">
        <v>320</v>
      </c>
      <c r="N3" s="127" t="s">
        <v>319</v>
      </c>
      <c r="P3" s="127" t="s">
        <v>318</v>
      </c>
      <c r="Q3" s="127" t="s">
        <v>317</v>
      </c>
      <c r="R3" s="127" t="s">
        <v>173</v>
      </c>
      <c r="S3" s="127" t="s">
        <v>316</v>
      </c>
      <c r="T3" s="127" t="s">
        <v>315</v>
      </c>
      <c r="U3" s="127" t="s">
        <v>314</v>
      </c>
      <c r="V3" s="127" t="s">
        <v>313</v>
      </c>
      <c r="X3" s="127" t="s">
        <v>312</v>
      </c>
      <c r="Y3" s="129" t="s">
        <v>311</v>
      </c>
      <c r="Z3" s="127" t="s">
        <v>310</v>
      </c>
      <c r="AA3" s="129" t="s">
        <v>309</v>
      </c>
      <c r="AC3" s="127" t="s">
        <v>308</v>
      </c>
      <c r="AD3" s="127" t="s">
        <v>67</v>
      </c>
      <c r="AE3" s="127" t="s">
        <v>307</v>
      </c>
      <c r="AF3" s="127" t="s">
        <v>173</v>
      </c>
      <c r="AG3" s="127" t="s">
        <v>174</v>
      </c>
      <c r="AH3" s="127" t="s">
        <v>306</v>
      </c>
      <c r="AI3" s="127" t="s">
        <v>305</v>
      </c>
      <c r="AK3" s="127" t="s">
        <v>69</v>
      </c>
      <c r="AL3" s="129" t="s">
        <v>304</v>
      </c>
      <c r="AM3" s="129" t="s">
        <v>303</v>
      </c>
      <c r="AN3" s="127" t="s">
        <v>302</v>
      </c>
      <c r="AO3" s="127" t="s">
        <v>301</v>
      </c>
      <c r="AP3" s="127" t="s">
        <v>300</v>
      </c>
      <c r="AQ3" s="127" t="s">
        <v>299</v>
      </c>
      <c r="AR3" s="127" t="s">
        <v>298</v>
      </c>
      <c r="AS3" s="129" t="s">
        <v>297</v>
      </c>
      <c r="AT3" s="129" t="s">
        <v>296</v>
      </c>
      <c r="AU3" s="127" t="s">
        <v>295</v>
      </c>
      <c r="AW3" s="127" t="s">
        <v>273</v>
      </c>
      <c r="AX3" s="127" t="s">
        <v>67</v>
      </c>
      <c r="AY3" s="127" t="s">
        <v>294</v>
      </c>
      <c r="BA3" s="127" t="s">
        <v>293</v>
      </c>
      <c r="BB3" s="127" t="s">
        <v>292</v>
      </c>
      <c r="BC3" s="132" t="s">
        <v>291</v>
      </c>
      <c r="BD3" s="127" t="s">
        <v>290</v>
      </c>
      <c r="BE3" s="132" t="s">
        <v>287</v>
      </c>
      <c r="BF3" s="127" t="s">
        <v>289</v>
      </c>
      <c r="BG3" s="127" t="s">
        <v>286</v>
      </c>
      <c r="BH3" s="127" t="s">
        <v>288</v>
      </c>
      <c r="BI3" s="132" t="s">
        <v>287</v>
      </c>
      <c r="BJ3" s="127" t="s">
        <v>286</v>
      </c>
      <c r="BL3" s="127" t="s">
        <v>285</v>
      </c>
      <c r="BM3" s="127" t="s">
        <v>284</v>
      </c>
      <c r="BN3" s="127" t="s">
        <v>283</v>
      </c>
      <c r="BP3" s="127" t="s">
        <v>282</v>
      </c>
      <c r="BW3" s="127" t="s">
        <v>281</v>
      </c>
      <c r="BX3" s="127" t="s">
        <v>280</v>
      </c>
      <c r="BY3" s="127" t="s">
        <v>68</v>
      </c>
      <c r="BZ3" s="127" t="s">
        <v>279</v>
      </c>
      <c r="CA3" s="127" t="s">
        <v>278</v>
      </c>
      <c r="CB3" s="127" t="s">
        <v>277</v>
      </c>
      <c r="CC3" s="127" t="s">
        <v>276</v>
      </c>
      <c r="CD3" s="127" t="s">
        <v>275</v>
      </c>
      <c r="CF3" s="127" t="s">
        <v>274</v>
      </c>
      <c r="CG3" s="127" t="s">
        <v>67</v>
      </c>
      <c r="CH3" s="127" t="s">
        <v>273</v>
      </c>
      <c r="CI3" s="127" t="s">
        <v>272</v>
      </c>
      <c r="CJ3" s="127" t="s">
        <v>271</v>
      </c>
      <c r="CK3" s="127" t="s">
        <v>270</v>
      </c>
      <c r="CL3" s="127" t="s">
        <v>66</v>
      </c>
      <c r="CM3" s="127" t="s">
        <v>269</v>
      </c>
      <c r="CN3" s="127" t="s">
        <v>268</v>
      </c>
      <c r="CO3" s="127" t="s">
        <v>267</v>
      </c>
      <c r="CP3" s="127" t="s">
        <v>266</v>
      </c>
      <c r="CR3" s="127" t="s">
        <v>265</v>
      </c>
      <c r="CS3" s="127" t="s">
        <v>264</v>
      </c>
      <c r="CT3" s="127" t="s">
        <v>263</v>
      </c>
      <c r="CU3" s="127" t="s">
        <v>262</v>
      </c>
      <c r="CV3" s="127" t="s">
        <v>261</v>
      </c>
      <c r="CW3" s="127" t="s">
        <v>250</v>
      </c>
      <c r="CX3" s="127" t="s">
        <v>260</v>
      </c>
      <c r="CY3" s="127" t="s">
        <v>250</v>
      </c>
      <c r="CZ3" s="127" t="s">
        <v>259</v>
      </c>
      <c r="DA3" s="127" t="s">
        <v>250</v>
      </c>
      <c r="DC3" s="127" t="s">
        <v>258</v>
      </c>
      <c r="DD3" s="127" t="s">
        <v>257</v>
      </c>
      <c r="DE3" s="127" t="s">
        <v>256</v>
      </c>
      <c r="DF3" s="127" t="s">
        <v>255</v>
      </c>
      <c r="DH3" s="127" t="s">
        <v>254</v>
      </c>
      <c r="DI3" s="127" t="s">
        <v>253</v>
      </c>
      <c r="DJ3" s="127" t="s">
        <v>252</v>
      </c>
      <c r="DK3" s="127" t="s">
        <v>250</v>
      </c>
      <c r="DL3" s="127" t="s">
        <v>251</v>
      </c>
      <c r="DM3" s="127" t="s">
        <v>250</v>
      </c>
      <c r="DO3" s="127" t="s">
        <v>249</v>
      </c>
      <c r="DP3" s="127" t="s">
        <v>248</v>
      </c>
      <c r="DQ3" s="127" t="s">
        <v>247</v>
      </c>
      <c r="DR3" s="127" t="s">
        <v>246</v>
      </c>
      <c r="DS3" s="127" t="s">
        <v>245</v>
      </c>
      <c r="DT3" s="127" t="s">
        <v>244</v>
      </c>
      <c r="DU3" s="127" t="s">
        <v>243</v>
      </c>
      <c r="DV3" s="127" t="s">
        <v>242</v>
      </c>
      <c r="DW3" s="127" t="s">
        <v>241</v>
      </c>
      <c r="DY3" s="127" t="s">
        <v>23</v>
      </c>
      <c r="DZ3" s="129" t="s">
        <v>240</v>
      </c>
      <c r="EA3" s="129" t="s">
        <v>239</v>
      </c>
      <c r="EB3" s="129"/>
      <c r="ED3" s="127" t="s">
        <v>238</v>
      </c>
      <c r="EE3" s="129" t="s">
        <v>235</v>
      </c>
      <c r="EF3" s="129" t="s">
        <v>234</v>
      </c>
      <c r="EG3" s="129" t="s">
        <v>237</v>
      </c>
      <c r="EH3" s="127" t="s">
        <v>236</v>
      </c>
      <c r="EI3" s="129" t="s">
        <v>235</v>
      </c>
      <c r="EJ3" s="129" t="s">
        <v>234</v>
      </c>
      <c r="EK3" s="129" t="s">
        <v>233</v>
      </c>
      <c r="EN3" s="127" t="s">
        <v>232</v>
      </c>
      <c r="EO3" s="127" t="s">
        <v>231</v>
      </c>
      <c r="ET3" s="127" t="s">
        <v>230</v>
      </c>
      <c r="EU3" s="127" t="s">
        <v>229</v>
      </c>
      <c r="EV3" s="127" t="s">
        <v>228</v>
      </c>
    </row>
    <row r="4" spans="1:152" s="127" customFormat="1" ht="35" customHeight="1">
      <c r="A4" s="127" t="s">
        <v>227</v>
      </c>
      <c r="G4" s="127" t="s">
        <v>226</v>
      </c>
      <c r="I4" s="127" t="s">
        <v>225</v>
      </c>
      <c r="J4" s="127" t="s">
        <v>224</v>
      </c>
      <c r="P4" s="127" t="s">
        <v>223</v>
      </c>
      <c r="Q4" s="127" t="s">
        <v>222</v>
      </c>
      <c r="V4" s="127" t="s">
        <v>221</v>
      </c>
      <c r="X4" s="127" t="s">
        <v>220</v>
      </c>
      <c r="AD4" s="127" t="s">
        <v>219</v>
      </c>
      <c r="AG4" s="127" t="s">
        <v>218</v>
      </c>
      <c r="AK4" s="121" t="s">
        <v>217</v>
      </c>
      <c r="AL4" s="129"/>
      <c r="AM4" s="129"/>
      <c r="AO4" s="127" t="s">
        <v>216</v>
      </c>
      <c r="AP4" s="127" t="s">
        <v>215</v>
      </c>
      <c r="BL4" s="127" t="s">
        <v>214</v>
      </c>
      <c r="BM4" s="127" t="s">
        <v>112</v>
      </c>
      <c r="BN4" s="127" t="s">
        <v>112</v>
      </c>
      <c r="BP4" s="127" t="s">
        <v>213</v>
      </c>
      <c r="CF4" s="131" t="s">
        <v>212</v>
      </c>
      <c r="CG4" s="131" t="s">
        <v>210</v>
      </c>
      <c r="CH4" s="127" t="s">
        <v>211</v>
      </c>
      <c r="CI4" s="131" t="s">
        <v>210</v>
      </c>
      <c r="CJ4" s="130" t="s">
        <v>209</v>
      </c>
      <c r="CK4" s="130" t="s">
        <v>208</v>
      </c>
      <c r="CL4" s="127" t="s">
        <v>207</v>
      </c>
      <c r="CN4" s="127" t="s">
        <v>207</v>
      </c>
      <c r="CR4" s="127" t="s">
        <v>206</v>
      </c>
      <c r="CS4" s="127" t="s">
        <v>206</v>
      </c>
      <c r="CT4" s="127" t="s">
        <v>206</v>
      </c>
      <c r="CU4" s="127" t="s">
        <v>206</v>
      </c>
      <c r="DC4" s="127" t="s">
        <v>205</v>
      </c>
      <c r="DO4" s="127" t="s">
        <v>204</v>
      </c>
      <c r="DQ4" s="127" t="s">
        <v>203</v>
      </c>
      <c r="DY4" s="127" t="s">
        <v>202</v>
      </c>
      <c r="DZ4" s="127" t="s">
        <v>202</v>
      </c>
      <c r="EA4" s="127" t="s">
        <v>202</v>
      </c>
      <c r="EB4" s="129"/>
      <c r="ED4" s="127" t="s">
        <v>201</v>
      </c>
      <c r="EE4" s="127" t="s">
        <v>200</v>
      </c>
      <c r="EF4" s="127" t="s">
        <v>199</v>
      </c>
    </row>
    <row r="5" spans="1:152" s="99" customFormat="1">
      <c r="A5" s="98">
        <v>1970</v>
      </c>
      <c r="B5" s="100">
        <f t="shared" ref="B5:B29" si="0">C5-$T5+$U5</f>
        <v>2183.1208240348269</v>
      </c>
      <c r="C5" s="100">
        <v>2051.0714354563579</v>
      </c>
      <c r="D5" s="112">
        <v>7.1287255034362187E-2</v>
      </c>
      <c r="E5" s="100">
        <f t="shared" ref="E5:E29" si="1">F5-$T5+$U5</f>
        <v>2375.1299345634479</v>
      </c>
      <c r="F5" s="100">
        <v>2243.0805459849794</v>
      </c>
      <c r="G5" s="100">
        <v>32.982889471378016</v>
      </c>
      <c r="H5" s="101">
        <f t="shared" ref="H5:H50" si="2">G5/(E5-R5)</f>
        <v>1.5339894683582093E-2</v>
      </c>
      <c r="I5" s="126">
        <v>0</v>
      </c>
      <c r="J5" s="101"/>
      <c r="K5" s="101"/>
      <c r="L5" s="101"/>
      <c r="M5" s="101"/>
      <c r="N5" s="101"/>
      <c r="O5" s="101"/>
      <c r="P5" s="101"/>
      <c r="Q5" s="100">
        <v>0</v>
      </c>
      <c r="R5" s="100">
        <v>224.99199999999999</v>
      </c>
      <c r="S5" s="100">
        <f t="shared" ref="S5:S50" si="3">E5+G5+Q5-R5-B5</f>
        <v>0</v>
      </c>
      <c r="T5" s="100">
        <v>-44.4</v>
      </c>
      <c r="U5" s="100">
        <v>87.649388578468688</v>
      </c>
      <c r="V5" s="100">
        <v>311.38369095681367</v>
      </c>
      <c r="W5" s="100"/>
      <c r="X5" s="100">
        <v>1082.9570827078428</v>
      </c>
      <c r="Y5" s="125">
        <v>0.7</v>
      </c>
      <c r="Z5" s="100">
        <v>944.51728834368441</v>
      </c>
      <c r="AA5" s="101">
        <f t="shared" ref="AA5:AA30" si="4">AD5/Z5</f>
        <v>0.80260040472615324</v>
      </c>
      <c r="AB5" s="101"/>
      <c r="AD5" s="124">
        <f t="shared" ref="AD5:AD33" si="5">Y5*X5</f>
        <v>758.06995789548989</v>
      </c>
      <c r="AE5" s="100"/>
      <c r="AG5" s="100">
        <v>174.96458500174066</v>
      </c>
      <c r="AH5" s="127"/>
      <c r="AI5" s="111">
        <f t="shared" ref="AI5:AI50" si="6">AG5/B5</f>
        <v>8.0144251786473497E-2</v>
      </c>
      <c r="AJ5" s="111"/>
      <c r="AK5" s="128">
        <v>0</v>
      </c>
      <c r="AL5" s="121"/>
      <c r="AM5" s="121"/>
      <c r="AN5" s="121"/>
      <c r="AO5" s="100">
        <v>56.554000000000002</v>
      </c>
      <c r="AP5" s="121"/>
      <c r="AQ5" s="107">
        <f t="shared" ref="AQ5:AQ50" si="7">AG5/(AG5+AD5)</f>
        <v>0.18752208729426667</v>
      </c>
      <c r="AR5" s="107">
        <f t="shared" ref="AR5:AR13" si="8">(AG5+AK5)/AD5</f>
        <v>0.23080268935530338</v>
      </c>
      <c r="AS5" s="107">
        <f t="shared" ref="AS5:AS50" si="9">AQ5/(1-AQ5)</f>
        <v>0.23080268935530338</v>
      </c>
      <c r="AT5" s="107">
        <f t="shared" ref="AT5:AT50" si="10">-AK5/AG5</f>
        <v>0</v>
      </c>
      <c r="AU5" s="107">
        <v>0.2779234399580493</v>
      </c>
      <c r="AV5" s="121"/>
      <c r="AW5" s="122">
        <f t="shared" ref="AW5:AW33" si="11">-G5</f>
        <v>-32.982889471378016</v>
      </c>
      <c r="AX5" s="121">
        <v>0</v>
      </c>
      <c r="AY5" s="107">
        <f t="shared" ref="AY5:AY51" si="12">AW5/AG5</f>
        <v>-0.1885118035232666</v>
      </c>
      <c r="AZ5" s="121"/>
      <c r="BA5" s="101">
        <f t="shared" ref="BA5:BA50" si="13">AG5/E5</f>
        <v>7.3665268773558445E-2</v>
      </c>
      <c r="BB5" s="101">
        <f t="shared" ref="BB5:BB50" si="14">AG5/B5</f>
        <v>8.0144251786473497E-2</v>
      </c>
      <c r="BC5" s="101">
        <f t="shared" ref="BC5:BC50" si="15">(AG5-AW5)/B5</f>
        <v>9.5252389232764398E-2</v>
      </c>
      <c r="BD5" s="102">
        <f t="shared" ref="BD5:BD50" si="16">AO5/AG5</f>
        <v>0.32323112702743456</v>
      </c>
      <c r="BE5" s="102"/>
      <c r="BF5" s="102">
        <f t="shared" ref="BF5:BF50" si="17">AO5/E5</f>
        <v>2.3810907848456173E-2</v>
      </c>
      <c r="BG5" s="102">
        <f t="shared" ref="BG5:BG50" si="18">BL5/BM5/1000</f>
        <v>3.4157591790296093E-2</v>
      </c>
      <c r="BH5" s="102">
        <f t="shared" ref="BH5:BH50" si="19">AO5/B5</f>
        <v>2.5905116829712312E-2</v>
      </c>
      <c r="BI5" s="102"/>
      <c r="BJ5" s="102">
        <f t="shared" ref="BJ5:BJ50" si="20">BL5/BN5/1000</f>
        <v>3.8896925858951173E-2</v>
      </c>
      <c r="BL5" s="100">
        <v>36567</v>
      </c>
      <c r="BM5" s="100">
        <v>1070.538</v>
      </c>
      <c r="BN5" s="100">
        <v>940.1</v>
      </c>
      <c r="BP5" s="99">
        <v>50</v>
      </c>
      <c r="BW5" s="100">
        <f t="shared" ref="BW5:BW50" si="21">BX5+BY5</f>
        <v>-164.5580549644219</v>
      </c>
      <c r="BX5" s="100">
        <v>760.44613517123696</v>
      </c>
      <c r="BY5" s="100">
        <v>-925.00419013565886</v>
      </c>
      <c r="BZ5" s="101">
        <f t="shared" ref="BZ5:BZ50" si="22">BW5/$E5</f>
        <v>-6.9283811622149374E-2</v>
      </c>
      <c r="CA5" s="101">
        <f t="shared" ref="CA5:CA50" si="23">BX5/$E5</f>
        <v>0.32017033009649132</v>
      </c>
      <c r="CB5" s="101">
        <f t="shared" ref="CB5:CB50" si="24">BY5/$E5</f>
        <v>-0.38945414171864068</v>
      </c>
      <c r="CF5" s="100"/>
      <c r="CG5" s="100"/>
      <c r="CH5" s="100"/>
      <c r="CI5" s="100"/>
      <c r="CJ5" s="100"/>
      <c r="CK5" s="100"/>
      <c r="CL5" s="100"/>
      <c r="CN5" s="100"/>
      <c r="CO5" s="100"/>
      <c r="CP5" s="100"/>
      <c r="CQ5" s="100"/>
      <c r="CR5" s="100"/>
      <c r="CS5" s="100"/>
      <c r="CT5" s="100"/>
      <c r="CU5" s="100"/>
      <c r="CV5" s="100"/>
      <c r="CW5" s="100"/>
      <c r="CX5" s="100"/>
      <c r="DC5" s="100"/>
      <c r="DD5" s="100"/>
      <c r="DE5" s="100"/>
      <c r="DF5" s="100"/>
      <c r="DG5" s="100"/>
      <c r="DH5" s="100"/>
      <c r="DI5" s="100"/>
      <c r="DJ5" s="100"/>
      <c r="DK5" s="100"/>
      <c r="DL5" s="100"/>
      <c r="DM5" s="100"/>
      <c r="DV5" s="101">
        <v>0.49200000000000005</v>
      </c>
      <c r="DW5" s="102">
        <f t="shared" ref="DW5:DW51" si="25">BP5/100-DV5</f>
        <v>7.9999999999999516E-3</v>
      </c>
      <c r="DZ5" s="115"/>
      <c r="EA5" s="115"/>
      <c r="EB5" s="115"/>
      <c r="EN5" s="99">
        <f t="shared" ref="EN5:EN33" si="26">EO5/EP$1</f>
        <v>0.52905795518417165</v>
      </c>
      <c r="EO5" s="99">
        <v>0.41666699941666702</v>
      </c>
    </row>
    <row r="6" spans="1:152" s="99" customFormat="1">
      <c r="A6" s="98">
        <v>1971</v>
      </c>
      <c r="B6" s="100">
        <f t="shared" si="0"/>
        <v>2469.469117600388</v>
      </c>
      <c r="C6" s="100">
        <v>2335.4889283446892</v>
      </c>
      <c r="D6" s="112">
        <v>7.7912763928394038E-2</v>
      </c>
      <c r="E6" s="100">
        <f t="shared" si="1"/>
        <v>2697.9909346417508</v>
      </c>
      <c r="F6" s="100">
        <v>2564.0107453860519</v>
      </c>
      <c r="G6" s="100">
        <v>30.348182958637473</v>
      </c>
      <c r="H6" s="101">
        <f t="shared" si="2"/>
        <v>1.2442262508437246E-2</v>
      </c>
      <c r="I6" s="126">
        <v>0</v>
      </c>
      <c r="J6" s="101"/>
      <c r="K6" s="101"/>
      <c r="L6" s="101"/>
      <c r="M6" s="101"/>
      <c r="N6" s="101"/>
      <c r="O6" s="101"/>
      <c r="P6" s="101"/>
      <c r="Q6" s="100">
        <v>0</v>
      </c>
      <c r="R6" s="100">
        <v>258.87</v>
      </c>
      <c r="S6" s="100">
        <f t="shared" si="3"/>
        <v>0</v>
      </c>
      <c r="T6" s="100">
        <v>-45.7</v>
      </c>
      <c r="U6" s="100">
        <v>88.280189255699042</v>
      </c>
      <c r="V6" s="100">
        <v>359.54860434418271</v>
      </c>
      <c r="W6" s="100"/>
      <c r="X6" s="100">
        <v>1255.3247202561499</v>
      </c>
      <c r="Y6" s="125">
        <v>0.7</v>
      </c>
      <c r="Z6" s="100">
        <v>1098.5510538906431</v>
      </c>
      <c r="AA6" s="101">
        <f t="shared" si="4"/>
        <v>0.79989664664850357</v>
      </c>
      <c r="AB6" s="101"/>
      <c r="AD6" s="124">
        <f t="shared" si="5"/>
        <v>878.72730417930495</v>
      </c>
      <c r="AE6" s="100"/>
      <c r="AG6" s="100">
        <v>191.5700397936852</v>
      </c>
      <c r="AH6" s="127"/>
      <c r="AI6" s="111">
        <f t="shared" si="6"/>
        <v>7.7575394010124754E-2</v>
      </c>
      <c r="AJ6" s="111"/>
      <c r="AK6" s="128">
        <v>0</v>
      </c>
      <c r="AL6" s="121"/>
      <c r="AM6" s="121"/>
      <c r="AN6" s="121"/>
      <c r="AO6" s="100">
        <v>46.332999999999998</v>
      </c>
      <c r="AP6" s="121"/>
      <c r="AQ6" s="107">
        <f t="shared" si="7"/>
        <v>0.17898768120134625</v>
      </c>
      <c r="AR6" s="107">
        <f t="shared" si="8"/>
        <v>0.21800852082615518</v>
      </c>
      <c r="AS6" s="107">
        <f t="shared" si="9"/>
        <v>0.21800852082615516</v>
      </c>
      <c r="AT6" s="107">
        <f t="shared" si="10"/>
        <v>0</v>
      </c>
      <c r="AU6" s="107">
        <v>0.27760736196319019</v>
      </c>
      <c r="AV6" s="121"/>
      <c r="AW6" s="122">
        <f t="shared" si="11"/>
        <v>-30.348182958637473</v>
      </c>
      <c r="AX6" s="121">
        <v>0</v>
      </c>
      <c r="AY6" s="107">
        <f t="shared" si="12"/>
        <v>-0.15841821086074573</v>
      </c>
      <c r="AZ6" s="121"/>
      <c r="BA6" s="101">
        <f t="shared" si="13"/>
        <v>7.1004701066248233E-2</v>
      </c>
      <c r="BB6" s="101">
        <f t="shared" si="14"/>
        <v>7.7575394010124754E-2</v>
      </c>
      <c r="BC6" s="101">
        <f t="shared" si="15"/>
        <v>8.9864749136026129E-2</v>
      </c>
      <c r="BD6" s="102">
        <f t="shared" si="16"/>
        <v>0.24185932231312973</v>
      </c>
      <c r="BE6" s="102"/>
      <c r="BF6" s="102">
        <f t="shared" si="17"/>
        <v>1.7173148880929159E-2</v>
      </c>
      <c r="BG6" s="102">
        <f t="shared" si="18"/>
        <v>2.6105742330779804E-2</v>
      </c>
      <c r="BH6" s="102">
        <f t="shared" si="19"/>
        <v>1.8762332223462796E-2</v>
      </c>
      <c r="BI6" s="102"/>
      <c r="BJ6" s="102">
        <f t="shared" si="20"/>
        <v>2.9728613569321535E-2</v>
      </c>
      <c r="BL6" s="100">
        <v>30234</v>
      </c>
      <c r="BM6" s="100">
        <v>1158.136</v>
      </c>
      <c r="BN6" s="100">
        <v>1017</v>
      </c>
      <c r="BP6" s="99">
        <v>50</v>
      </c>
      <c r="BW6" s="100">
        <f t="shared" si="21"/>
        <v>-171.16069297225386</v>
      </c>
      <c r="BX6" s="100">
        <v>850.8514863553944</v>
      </c>
      <c r="BY6" s="100">
        <v>-1022.0121793276483</v>
      </c>
      <c r="BZ6" s="101">
        <f t="shared" si="22"/>
        <v>-6.3440054884758609E-2</v>
      </c>
      <c r="CA6" s="101">
        <f t="shared" si="23"/>
        <v>0.31536484256881819</v>
      </c>
      <c r="CB6" s="101">
        <f t="shared" si="24"/>
        <v>-0.37880489745357682</v>
      </c>
      <c r="CF6" s="100"/>
      <c r="CG6" s="100"/>
      <c r="CH6" s="100"/>
      <c r="CI6" s="100"/>
      <c r="CJ6" s="100"/>
      <c r="CK6" s="100"/>
      <c r="CL6" s="100"/>
      <c r="CN6" s="100"/>
      <c r="CO6" s="100"/>
      <c r="CP6" s="100"/>
      <c r="CQ6" s="100"/>
      <c r="CR6" s="100"/>
      <c r="CS6" s="100"/>
      <c r="CT6" s="100"/>
      <c r="CU6" s="100"/>
      <c r="CV6" s="100"/>
      <c r="CW6" s="100"/>
      <c r="CX6" s="100"/>
      <c r="DC6" s="100"/>
      <c r="DD6" s="100"/>
      <c r="DE6" s="100"/>
      <c r="DF6" s="100"/>
      <c r="DG6" s="100"/>
      <c r="DH6" s="100"/>
      <c r="DI6" s="100"/>
      <c r="DJ6" s="100"/>
      <c r="DK6" s="100"/>
      <c r="DL6" s="100"/>
      <c r="DM6" s="100"/>
      <c r="DV6" s="101">
        <v>0.48</v>
      </c>
      <c r="DW6" s="102">
        <f t="shared" si="25"/>
        <v>2.0000000000000018E-2</v>
      </c>
      <c r="DZ6" s="115"/>
      <c r="EA6" s="115"/>
      <c r="EB6" s="115"/>
      <c r="EN6" s="99">
        <f t="shared" si="26"/>
        <v>0.52176105057509481</v>
      </c>
      <c r="EO6" s="99">
        <v>0.41092022003512402</v>
      </c>
    </row>
    <row r="7" spans="1:152" s="99" customFormat="1">
      <c r="A7" s="98">
        <v>1972</v>
      </c>
      <c r="B7" s="100">
        <f t="shared" si="0"/>
        <v>2997.439549548656</v>
      </c>
      <c r="C7" s="100">
        <v>2839.1244054453987</v>
      </c>
      <c r="D7" s="112">
        <v>8.8570545077102755E-2</v>
      </c>
      <c r="E7" s="100">
        <f t="shared" si="1"/>
        <v>3274.5244764145127</v>
      </c>
      <c r="F7" s="100">
        <v>3116.2093323112554</v>
      </c>
      <c r="G7" s="100">
        <v>33.29166668590512</v>
      </c>
      <c r="H7" s="101">
        <f t="shared" si="2"/>
        <v>1.1225819694399713E-2</v>
      </c>
      <c r="I7" s="126">
        <v>0</v>
      </c>
      <c r="J7" s="101"/>
      <c r="K7" s="101"/>
      <c r="L7" s="101"/>
      <c r="M7" s="101"/>
      <c r="N7" s="101"/>
      <c r="O7" s="101"/>
      <c r="P7" s="101"/>
      <c r="Q7" s="100">
        <v>-1.4855935517621424</v>
      </c>
      <c r="R7" s="100">
        <v>308.89100000000002</v>
      </c>
      <c r="S7" s="100">
        <f t="shared" si="3"/>
        <v>0</v>
      </c>
      <c r="T7" s="100">
        <v>-55.7</v>
      </c>
      <c r="U7" s="100">
        <v>102.61514410325776</v>
      </c>
      <c r="V7" s="100">
        <v>422.37053201356559</v>
      </c>
      <c r="W7" s="100"/>
      <c r="X7" s="100">
        <v>1467.3807070044575</v>
      </c>
      <c r="Y7" s="125">
        <v>0.7</v>
      </c>
      <c r="Z7" s="100">
        <v>1281.69557309167</v>
      </c>
      <c r="AA7" s="101">
        <f t="shared" si="4"/>
        <v>0.80141222023995762</v>
      </c>
      <c r="AB7" s="101"/>
      <c r="AD7" s="124">
        <f t="shared" si="5"/>
        <v>1027.1664949031201</v>
      </c>
      <c r="AE7" s="100"/>
      <c r="AG7" s="100">
        <v>275.0807021308691</v>
      </c>
      <c r="AH7" s="127"/>
      <c r="AI7" s="111">
        <f t="shared" si="6"/>
        <v>9.1771893172054059E-2</v>
      </c>
      <c r="AJ7" s="111"/>
      <c r="AK7" s="128">
        <v>0</v>
      </c>
      <c r="AL7" s="121"/>
      <c r="AM7" s="121"/>
      <c r="AN7" s="121"/>
      <c r="AO7" s="100">
        <v>49.201999999999998</v>
      </c>
      <c r="AP7" s="121"/>
      <c r="AQ7" s="107">
        <f t="shared" si="7"/>
        <v>0.21123539582760903</v>
      </c>
      <c r="AR7" s="107">
        <f t="shared" si="8"/>
        <v>0.26780536894051832</v>
      </c>
      <c r="AS7" s="107">
        <f t="shared" si="9"/>
        <v>0.26780536894051826</v>
      </c>
      <c r="AT7" s="107">
        <f t="shared" si="10"/>
        <v>0</v>
      </c>
      <c r="AU7" s="107">
        <v>0.2947867298578199</v>
      </c>
      <c r="AV7" s="121"/>
      <c r="AW7" s="122">
        <f t="shared" si="11"/>
        <v>-33.29166668590512</v>
      </c>
      <c r="AX7" s="121">
        <v>0</v>
      </c>
      <c r="AY7" s="107">
        <f t="shared" si="12"/>
        <v>-0.12102508983006258</v>
      </c>
      <c r="AZ7" s="121"/>
      <c r="BA7" s="101">
        <f t="shared" si="13"/>
        <v>8.4006305071835236E-2</v>
      </c>
      <c r="BB7" s="101">
        <f t="shared" si="14"/>
        <v>9.1771893172054059E-2</v>
      </c>
      <c r="BC7" s="101">
        <f t="shared" si="15"/>
        <v>0.10287859478707681</v>
      </c>
      <c r="BD7" s="102">
        <f t="shared" si="16"/>
        <v>0.17886387383362226</v>
      </c>
      <c r="BE7" s="102">
        <f t="shared" ref="BE7:BE50" si="27">BD7</f>
        <v>0.17886387383362226</v>
      </c>
      <c r="BF7" s="102">
        <f t="shared" si="17"/>
        <v>1.5025693151597521E-2</v>
      </c>
      <c r="BG7" s="102">
        <f t="shared" si="18"/>
        <v>2.8727574959227193E-2</v>
      </c>
      <c r="BH7" s="102">
        <f t="shared" si="19"/>
        <v>1.6414676321798938E-2</v>
      </c>
      <c r="BI7" s="102">
        <f t="shared" ref="BI7:BI50" si="28">BH7</f>
        <v>1.6414676321798938E-2</v>
      </c>
      <c r="BJ7" s="102">
        <f t="shared" si="20"/>
        <v>3.2625111308993766E-2</v>
      </c>
      <c r="BL7" s="100">
        <v>36638</v>
      </c>
      <c r="BM7" s="100">
        <v>1275.3600000000001</v>
      </c>
      <c r="BN7" s="100">
        <v>1123</v>
      </c>
      <c r="BP7" s="99">
        <v>50</v>
      </c>
      <c r="BW7" s="100">
        <f t="shared" si="21"/>
        <v>-152.24159560365899</v>
      </c>
      <c r="BX7" s="100">
        <v>984.30095839830153</v>
      </c>
      <c r="BY7" s="100">
        <v>-1136.5425540019605</v>
      </c>
      <c r="BZ7" s="101">
        <f t="shared" si="22"/>
        <v>-4.6492734044351412E-2</v>
      </c>
      <c r="CA7" s="101">
        <f t="shared" si="23"/>
        <v>0.30059355655697401</v>
      </c>
      <c r="CB7" s="101">
        <f t="shared" si="24"/>
        <v>-0.3470862906013254</v>
      </c>
      <c r="CF7" s="100"/>
      <c r="CG7" s="100"/>
      <c r="CH7" s="100"/>
      <c r="CI7" s="100"/>
      <c r="CJ7" s="100"/>
      <c r="CK7" s="100"/>
      <c r="CL7" s="100"/>
      <c r="CN7" s="100"/>
      <c r="CO7" s="100"/>
      <c r="CP7" s="100"/>
      <c r="CQ7" s="100"/>
      <c r="CR7" s="100"/>
      <c r="CS7" s="100"/>
      <c r="CT7" s="100"/>
      <c r="CU7" s="100"/>
      <c r="CV7" s="100"/>
      <c r="CW7" s="100"/>
      <c r="CX7" s="100"/>
      <c r="DC7" s="100"/>
      <c r="DD7" s="100"/>
      <c r="DE7" s="100"/>
      <c r="DF7" s="100"/>
      <c r="DG7" s="100"/>
      <c r="DH7" s="100"/>
      <c r="DI7" s="100"/>
      <c r="DJ7" s="100"/>
      <c r="DK7" s="100"/>
      <c r="DL7" s="100"/>
      <c r="DM7" s="100"/>
      <c r="DV7" s="101">
        <v>0.48</v>
      </c>
      <c r="DW7" s="102">
        <f t="shared" si="25"/>
        <v>2.0000000000000018E-2</v>
      </c>
      <c r="DZ7" s="115"/>
      <c r="EA7" s="115"/>
      <c r="EB7" s="115"/>
      <c r="EN7" s="99">
        <f t="shared" si="26"/>
        <v>0.50839101524448549</v>
      </c>
      <c r="EO7" s="99">
        <v>0.40039046153000801</v>
      </c>
    </row>
    <row r="8" spans="1:152" s="99" customFormat="1">
      <c r="A8" s="98">
        <v>1973</v>
      </c>
      <c r="B8" s="100">
        <f t="shared" si="0"/>
        <v>3622.747404256555</v>
      </c>
      <c r="C8" s="100">
        <v>3447.5181203301881</v>
      </c>
      <c r="D8" s="112">
        <v>0.10123442959291654</v>
      </c>
      <c r="E8" s="100">
        <f t="shared" si="1"/>
        <v>3938.0766396987774</v>
      </c>
      <c r="F8" s="100">
        <v>3762.8473557724105</v>
      </c>
      <c r="G8" s="100">
        <v>8.6573050801989453</v>
      </c>
      <c r="H8" s="101">
        <f t="shared" si="2"/>
        <v>2.4218767308600568E-3</v>
      </c>
      <c r="I8" s="126">
        <v>0</v>
      </c>
      <c r="J8" s="101"/>
      <c r="K8" s="101"/>
      <c r="L8" s="101"/>
      <c r="M8" s="101"/>
      <c r="N8" s="101"/>
      <c r="O8" s="101"/>
      <c r="P8" s="101"/>
      <c r="Q8" s="100">
        <v>39.463459477578958</v>
      </c>
      <c r="R8" s="100">
        <v>363.45</v>
      </c>
      <c r="S8" s="100">
        <f t="shared" si="3"/>
        <v>0</v>
      </c>
      <c r="T8" s="100">
        <v>-64.2</v>
      </c>
      <c r="U8" s="100">
        <v>111.02928392636704</v>
      </c>
      <c r="V8" s="100">
        <v>533.56413671482505</v>
      </c>
      <c r="W8" s="100"/>
      <c r="X8" s="100">
        <v>1786.5065658527651</v>
      </c>
      <c r="Y8" s="125">
        <v>0.7</v>
      </c>
      <c r="Z8" s="100">
        <v>1565.0624332493712</v>
      </c>
      <c r="AA8" s="101">
        <f t="shared" si="4"/>
        <v>0.7990445425876993</v>
      </c>
      <c r="AB8" s="101"/>
      <c r="AD8" s="124">
        <f t="shared" si="5"/>
        <v>1250.5545960969355</v>
      </c>
      <c r="AE8" s="100"/>
      <c r="AG8" s="100">
        <v>392.27208469184899</v>
      </c>
      <c r="AH8" s="127"/>
      <c r="AI8" s="111">
        <f t="shared" si="6"/>
        <v>0.10828027486292531</v>
      </c>
      <c r="AJ8" s="111"/>
      <c r="AK8" s="128">
        <v>0</v>
      </c>
      <c r="AL8" s="121"/>
      <c r="AM8" s="121"/>
      <c r="AN8" s="121"/>
      <c r="AO8" s="100">
        <v>59.487000000000002</v>
      </c>
      <c r="AP8" s="121"/>
      <c r="AQ8" s="107">
        <f t="shared" si="7"/>
        <v>0.23877873988721929</v>
      </c>
      <c r="AR8" s="107">
        <f t="shared" si="8"/>
        <v>0.31367849585788288</v>
      </c>
      <c r="AS8" s="107">
        <f t="shared" si="9"/>
        <v>0.31367849585788293</v>
      </c>
      <c r="AT8" s="107">
        <f t="shared" si="10"/>
        <v>0</v>
      </c>
      <c r="AU8" s="107">
        <v>0.30848675348001797</v>
      </c>
      <c r="AV8" s="121"/>
      <c r="AW8" s="122">
        <f t="shared" si="11"/>
        <v>-8.6573050801989453</v>
      </c>
      <c r="AX8" s="121">
        <v>0</v>
      </c>
      <c r="AY8" s="107">
        <f t="shared" si="12"/>
        <v>-2.2069643540910459E-2</v>
      </c>
      <c r="AZ8" s="121"/>
      <c r="BA8" s="101">
        <f t="shared" si="13"/>
        <v>9.9610068716654995E-2</v>
      </c>
      <c r="BB8" s="101">
        <f t="shared" si="14"/>
        <v>0.10828027486292531</v>
      </c>
      <c r="BC8" s="101">
        <f t="shared" si="15"/>
        <v>0.11066998193166189</v>
      </c>
      <c r="BD8" s="102">
        <f t="shared" si="16"/>
        <v>0.15164729360420909</v>
      </c>
      <c r="BE8" s="102">
        <f t="shared" si="27"/>
        <v>0.15164729360420909</v>
      </c>
      <c r="BF8" s="102">
        <f t="shared" si="17"/>
        <v>1.5105597336610023E-2</v>
      </c>
      <c r="BG8" s="102">
        <f t="shared" si="18"/>
        <v>2.9284990660158425E-2</v>
      </c>
      <c r="BH8" s="102">
        <f t="shared" si="19"/>
        <v>1.6420410633682499E-2</v>
      </c>
      <c r="BI8" s="102">
        <f t="shared" si="28"/>
        <v>1.6420410633682499E-2</v>
      </c>
      <c r="BJ8" s="102">
        <f t="shared" si="20"/>
        <v>3.3138424821002391E-2</v>
      </c>
      <c r="BL8" s="100">
        <v>41655</v>
      </c>
      <c r="BM8" s="100">
        <v>1422.4009999999998</v>
      </c>
      <c r="BN8" s="100">
        <v>1257</v>
      </c>
      <c r="BP8" s="99">
        <v>50</v>
      </c>
      <c r="BW8" s="100">
        <f t="shared" si="21"/>
        <v>-234.39364927802694</v>
      </c>
      <c r="BX8" s="100">
        <v>1307.0683779349995</v>
      </c>
      <c r="BY8" s="100">
        <v>-1541.4620272130264</v>
      </c>
      <c r="BZ8" s="101">
        <f t="shared" si="22"/>
        <v>-5.9519829277866886E-2</v>
      </c>
      <c r="CA8" s="101">
        <f t="shared" si="23"/>
        <v>0.33190526683984922</v>
      </c>
      <c r="CB8" s="101">
        <f t="shared" si="24"/>
        <v>-0.39142509611771609</v>
      </c>
      <c r="CF8" s="100"/>
      <c r="CG8" s="100"/>
      <c r="CH8" s="100"/>
      <c r="CI8" s="100"/>
      <c r="CJ8" s="100"/>
      <c r="CK8" s="100"/>
      <c r="CL8" s="100"/>
      <c r="CN8" s="100"/>
      <c r="CO8" s="100"/>
      <c r="CP8" s="100"/>
      <c r="CQ8" s="100"/>
      <c r="CR8" s="100"/>
      <c r="CS8" s="100"/>
      <c r="CT8" s="100"/>
      <c r="CU8" s="100"/>
      <c r="CV8" s="100"/>
      <c r="CW8" s="100"/>
      <c r="CX8" s="100"/>
      <c r="DC8" s="100"/>
      <c r="DD8" s="100"/>
      <c r="DE8" s="100"/>
      <c r="DF8" s="100"/>
      <c r="DG8" s="100"/>
      <c r="DH8" s="100"/>
      <c r="DI8" s="100"/>
      <c r="DJ8" s="100"/>
      <c r="DK8" s="100"/>
      <c r="DL8" s="100"/>
      <c r="DM8" s="100"/>
      <c r="DV8" s="101">
        <v>0.48</v>
      </c>
      <c r="DW8" s="102">
        <f t="shared" si="25"/>
        <v>2.0000000000000018E-2</v>
      </c>
      <c r="DZ8" s="115"/>
      <c r="EA8" s="115"/>
      <c r="EB8" s="115"/>
      <c r="EN8" s="99">
        <f t="shared" si="26"/>
        <v>0.51827019175496591</v>
      </c>
      <c r="EO8" s="99">
        <v>0.40817094529930797</v>
      </c>
    </row>
    <row r="9" spans="1:152" s="99" customFormat="1">
      <c r="A9" s="98">
        <v>1974</v>
      </c>
      <c r="B9" s="100">
        <f t="shared" si="0"/>
        <v>4054.9850584138067</v>
      </c>
      <c r="C9" s="100">
        <v>3838.1486403739614</v>
      </c>
      <c r="D9" s="112">
        <v>0.10962903844648282</v>
      </c>
      <c r="E9" s="100">
        <f t="shared" si="1"/>
        <v>4397.8479599790935</v>
      </c>
      <c r="F9" s="100">
        <v>4181.0115419392478</v>
      </c>
      <c r="G9" s="100">
        <v>15.000223935624701</v>
      </c>
      <c r="H9" s="101">
        <f t="shared" si="2"/>
        <v>3.782037879565396E-3</v>
      </c>
      <c r="I9" s="126">
        <v>0</v>
      </c>
      <c r="J9" s="101"/>
      <c r="K9" s="101"/>
      <c r="L9" s="101"/>
      <c r="M9" s="101"/>
      <c r="N9" s="101"/>
      <c r="O9" s="101"/>
      <c r="P9" s="101"/>
      <c r="Q9" s="100">
        <v>73.809874499088323</v>
      </c>
      <c r="R9" s="100">
        <v>431.673</v>
      </c>
      <c r="S9" s="100">
        <f t="shared" si="3"/>
        <v>0</v>
      </c>
      <c r="T9" s="100">
        <v>-87.2</v>
      </c>
      <c r="U9" s="100">
        <v>129.63641803984547</v>
      </c>
      <c r="V9" s="100">
        <v>567.07672186825789</v>
      </c>
      <c r="W9" s="100"/>
      <c r="X9" s="100">
        <v>2163.074822501072</v>
      </c>
      <c r="Y9" s="125">
        <v>0.7</v>
      </c>
      <c r="Z9" s="100">
        <v>1902.9677062362066</v>
      </c>
      <c r="AA9" s="101">
        <f t="shared" si="4"/>
        <v>0.79567949092815848</v>
      </c>
      <c r="AB9" s="101"/>
      <c r="AD9" s="124">
        <f t="shared" si="5"/>
        <v>1514.1523757507503</v>
      </c>
      <c r="AE9" s="100"/>
      <c r="AG9" s="100">
        <v>467.72256440369517</v>
      </c>
      <c r="AH9" s="127"/>
      <c r="AI9" s="111">
        <f t="shared" si="6"/>
        <v>0.11534507714971821</v>
      </c>
      <c r="AJ9" s="111"/>
      <c r="AK9" s="128">
        <v>0</v>
      </c>
      <c r="AL9" s="121"/>
      <c r="AM9" s="121"/>
      <c r="AN9" s="121"/>
      <c r="AO9" s="100">
        <v>83.180999999999997</v>
      </c>
      <c r="AP9" s="121"/>
      <c r="AQ9" s="107">
        <f t="shared" si="7"/>
        <v>0.23600003962270497</v>
      </c>
      <c r="AR9" s="107">
        <f t="shared" si="8"/>
        <v>0.30890059144264659</v>
      </c>
      <c r="AS9" s="107">
        <f t="shared" si="9"/>
        <v>0.30890059144264659</v>
      </c>
      <c r="AT9" s="107">
        <f t="shared" si="10"/>
        <v>0</v>
      </c>
      <c r="AU9" s="107">
        <v>0.31730769230769235</v>
      </c>
      <c r="AV9" s="121"/>
      <c r="AW9" s="122">
        <f t="shared" si="11"/>
        <v>-15.000223935624701</v>
      </c>
      <c r="AX9" s="121">
        <v>0</v>
      </c>
      <c r="AY9" s="107">
        <f t="shared" si="12"/>
        <v>-3.2070772456207361E-2</v>
      </c>
      <c r="AZ9" s="121"/>
      <c r="BA9" s="101">
        <f t="shared" si="13"/>
        <v>0.10635259987612637</v>
      </c>
      <c r="BB9" s="101">
        <f t="shared" si="14"/>
        <v>0.11534507714971821</v>
      </c>
      <c r="BC9" s="101">
        <f t="shared" si="15"/>
        <v>0.11904428287293052</v>
      </c>
      <c r="BD9" s="102">
        <f t="shared" si="16"/>
        <v>0.17784260655897241</v>
      </c>
      <c r="BE9" s="102">
        <f t="shared" si="27"/>
        <v>0.17784260655897241</v>
      </c>
      <c r="BF9" s="102">
        <f t="shared" si="17"/>
        <v>1.8914023576293761E-2</v>
      </c>
      <c r="BG9" s="102">
        <f t="shared" si="18"/>
        <v>2.8999167096956661E-2</v>
      </c>
      <c r="BH9" s="102">
        <f t="shared" si="19"/>
        <v>2.0513269174051656E-2</v>
      </c>
      <c r="BI9" s="102">
        <f t="shared" si="28"/>
        <v>2.0513269174051656E-2</v>
      </c>
      <c r="BJ9" s="102">
        <f t="shared" si="20"/>
        <v>3.3095202842759845E-2</v>
      </c>
      <c r="BL9" s="100">
        <v>44705</v>
      </c>
      <c r="BM9" s="100">
        <v>1541.596</v>
      </c>
      <c r="BN9" s="100">
        <v>1350.8</v>
      </c>
      <c r="BP9" s="99">
        <v>50</v>
      </c>
      <c r="BW9" s="100">
        <f t="shared" si="21"/>
        <v>-554.49461885002324</v>
      </c>
      <c r="BX9" s="100">
        <v>1619.804866652107</v>
      </c>
      <c r="BY9" s="100">
        <v>-2174.2994855021302</v>
      </c>
      <c r="BZ9" s="101">
        <f t="shared" si="22"/>
        <v>-0.12608317156390719</v>
      </c>
      <c r="CA9" s="101">
        <f t="shared" si="23"/>
        <v>0.36831761384034006</v>
      </c>
      <c r="CB9" s="101">
        <f t="shared" si="24"/>
        <v>-0.4944007854042472</v>
      </c>
      <c r="CF9" s="100"/>
      <c r="CG9" s="100"/>
      <c r="CH9" s="100"/>
      <c r="CI9" s="100"/>
      <c r="CJ9" s="100"/>
      <c r="CK9" s="100"/>
      <c r="CL9" s="100"/>
      <c r="CN9" s="100"/>
      <c r="CO9" s="100"/>
      <c r="CP9" s="100"/>
      <c r="CQ9" s="100"/>
      <c r="CR9" s="100"/>
      <c r="CS9" s="100"/>
      <c r="CT9" s="100"/>
      <c r="CU9" s="100"/>
      <c r="CV9" s="100"/>
      <c r="CW9" s="100"/>
      <c r="CX9" s="100"/>
      <c r="DC9" s="100"/>
      <c r="DD9" s="100"/>
      <c r="DE9" s="100"/>
      <c r="DF9" s="100"/>
      <c r="DG9" s="100"/>
      <c r="DH9" s="100"/>
      <c r="DI9" s="100"/>
      <c r="DJ9" s="100"/>
      <c r="DK9" s="100"/>
      <c r="DL9" s="100"/>
      <c r="DM9" s="100"/>
      <c r="DV9" s="101">
        <v>0.48</v>
      </c>
      <c r="DW9" s="102">
        <f t="shared" si="25"/>
        <v>2.0000000000000018E-2</v>
      </c>
      <c r="DZ9" s="115"/>
      <c r="EA9" s="115"/>
      <c r="EB9" s="115"/>
      <c r="EN9" s="99">
        <f t="shared" si="26"/>
        <v>0.5431386398409056</v>
      </c>
      <c r="EO9" s="99">
        <v>0.42775643974766298</v>
      </c>
    </row>
    <row r="10" spans="1:152" s="99" customFormat="1">
      <c r="A10" s="98">
        <v>1975</v>
      </c>
      <c r="B10" s="100">
        <f t="shared" si="0"/>
        <v>5151.025942163441</v>
      </c>
      <c r="C10" s="100">
        <v>4855.1405851978525</v>
      </c>
      <c r="D10" s="112">
        <v>0.13598748263884039</v>
      </c>
      <c r="E10" s="100">
        <f t="shared" si="1"/>
        <v>5553.2934816994975</v>
      </c>
      <c r="F10" s="100">
        <v>5257.4081247339091</v>
      </c>
      <c r="G10" s="100">
        <v>-3.523652664640482</v>
      </c>
      <c r="H10" s="101">
        <f t="shared" si="2"/>
        <v>-6.9936452132506998E-4</v>
      </c>
      <c r="I10" s="126">
        <v>0</v>
      </c>
      <c r="J10" s="101"/>
      <c r="K10" s="101"/>
      <c r="L10" s="101"/>
      <c r="M10" s="101"/>
      <c r="N10" s="101"/>
      <c r="O10" s="101"/>
      <c r="P10" s="101"/>
      <c r="Q10" s="100">
        <v>116.18611312858383</v>
      </c>
      <c r="R10" s="100">
        <v>514.92999999999995</v>
      </c>
      <c r="S10" s="100">
        <f t="shared" si="3"/>
        <v>0</v>
      </c>
      <c r="T10" s="100">
        <v>-129.80000000000001</v>
      </c>
      <c r="U10" s="100">
        <v>166.08535696558829</v>
      </c>
      <c r="V10" s="100">
        <v>639.70494224456718</v>
      </c>
      <c r="W10" s="100"/>
      <c r="X10" s="100">
        <v>2766.5508845493796</v>
      </c>
      <c r="Y10" s="125">
        <v>0.7</v>
      </c>
      <c r="Z10" s="100">
        <v>2411.4827948899165</v>
      </c>
      <c r="AA10" s="101">
        <f t="shared" si="4"/>
        <v>0.80306839563123245</v>
      </c>
      <c r="AB10" s="101"/>
      <c r="AD10" s="124">
        <f t="shared" si="5"/>
        <v>1936.5856191845655</v>
      </c>
      <c r="AE10" s="100"/>
      <c r="AG10" s="100">
        <v>497.82888677934466</v>
      </c>
      <c r="AH10" s="127"/>
      <c r="AI10" s="111">
        <f t="shared" si="6"/>
        <v>9.6646550098766451E-2</v>
      </c>
      <c r="AJ10" s="111"/>
      <c r="AK10" s="128">
        <v>0</v>
      </c>
      <c r="AL10" s="121"/>
      <c r="AM10" s="121"/>
      <c r="AN10" s="121"/>
      <c r="AO10" s="100">
        <v>73.314999999999998</v>
      </c>
      <c r="AP10" s="121"/>
      <c r="AQ10" s="107">
        <f t="shared" si="7"/>
        <v>0.20449635243289371</v>
      </c>
      <c r="AR10" s="107">
        <f t="shared" si="8"/>
        <v>0.25706526055324347</v>
      </c>
      <c r="AS10" s="107">
        <f t="shared" si="9"/>
        <v>0.25706526055324347</v>
      </c>
      <c r="AT10" s="107">
        <f t="shared" si="10"/>
        <v>0</v>
      </c>
      <c r="AU10" s="107">
        <v>0.33743747595228935</v>
      </c>
      <c r="AV10" s="121"/>
      <c r="AW10" s="122">
        <f t="shared" si="11"/>
        <v>3.523652664640482</v>
      </c>
      <c r="AX10" s="121">
        <v>0</v>
      </c>
      <c r="AY10" s="107">
        <f t="shared" si="12"/>
        <v>7.0780397807696706E-3</v>
      </c>
      <c r="AZ10" s="121"/>
      <c r="BA10" s="101">
        <f t="shared" si="13"/>
        <v>8.96457009556412E-2</v>
      </c>
      <c r="BB10" s="101">
        <f t="shared" si="14"/>
        <v>9.6646550098766451E-2</v>
      </c>
      <c r="BC10" s="101">
        <f t="shared" si="15"/>
        <v>9.5962481972493227E-2</v>
      </c>
      <c r="BD10" s="102">
        <f t="shared" si="16"/>
        <v>0.14726947741884611</v>
      </c>
      <c r="BE10" s="102">
        <f t="shared" si="27"/>
        <v>0.14726947741884611</v>
      </c>
      <c r="BF10" s="102">
        <f t="shared" si="17"/>
        <v>1.3202075532583433E-2</v>
      </c>
      <c r="BG10" s="102">
        <f t="shared" si="18"/>
        <v>2.8225796825351358E-2</v>
      </c>
      <c r="BH10" s="102">
        <f t="shared" si="19"/>
        <v>1.4233086927379665E-2</v>
      </c>
      <c r="BI10" s="102">
        <f t="shared" si="28"/>
        <v>1.4233086927379665E-2</v>
      </c>
      <c r="BJ10" s="102">
        <f t="shared" si="20"/>
        <v>3.2591137757563234E-2</v>
      </c>
      <c r="BL10" s="100">
        <v>47293</v>
      </c>
      <c r="BM10" s="100">
        <v>1675.5239999999999</v>
      </c>
      <c r="BN10" s="100">
        <v>1451.1</v>
      </c>
      <c r="BP10" s="99">
        <v>50</v>
      </c>
      <c r="BW10" s="100">
        <f t="shared" si="21"/>
        <v>-296.97895231371649</v>
      </c>
      <c r="BX10" s="100">
        <v>2062.1486903921459</v>
      </c>
      <c r="BY10" s="100">
        <v>-2359.1276427058624</v>
      </c>
      <c r="BZ10" s="101">
        <f t="shared" si="22"/>
        <v>-5.3477986224281231E-2</v>
      </c>
      <c r="CA10" s="101">
        <f t="shared" si="23"/>
        <v>0.37133796317227197</v>
      </c>
      <c r="CB10" s="101">
        <f t="shared" si="24"/>
        <v>-0.42481594939655321</v>
      </c>
      <c r="CF10" s="100"/>
      <c r="CG10" s="100"/>
      <c r="CH10" s="100"/>
      <c r="CI10" s="100"/>
      <c r="CJ10" s="100"/>
      <c r="CK10" s="100"/>
      <c r="CL10" s="100"/>
      <c r="CN10" s="100"/>
      <c r="CO10" s="100"/>
      <c r="CP10" s="100"/>
      <c r="CQ10" s="100"/>
      <c r="CR10" s="100"/>
      <c r="CS10" s="100"/>
      <c r="CT10" s="100"/>
      <c r="CU10" s="100"/>
      <c r="CV10" s="100"/>
      <c r="CW10" s="100"/>
      <c r="CX10" s="100"/>
      <c r="DC10" s="100"/>
      <c r="DD10" s="100"/>
      <c r="DE10" s="100"/>
      <c r="DF10" s="100"/>
      <c r="DG10" s="100"/>
      <c r="DH10" s="100"/>
      <c r="DI10" s="100"/>
      <c r="DJ10" s="100"/>
      <c r="DK10" s="100"/>
      <c r="DL10" s="100"/>
      <c r="DM10" s="100"/>
      <c r="DV10" s="101">
        <v>0.48</v>
      </c>
      <c r="DW10" s="102">
        <f t="shared" si="25"/>
        <v>2.0000000000000018E-2</v>
      </c>
      <c r="DZ10" s="115"/>
      <c r="EA10" s="115"/>
      <c r="EB10" s="115"/>
      <c r="EN10" s="99">
        <f t="shared" si="26"/>
        <v>0.57397388106448111</v>
      </c>
      <c r="EO10" s="99">
        <v>0.45204116566666702</v>
      </c>
    </row>
    <row r="11" spans="1:152" s="99" customFormat="1">
      <c r="A11" s="98">
        <v>1976</v>
      </c>
      <c r="B11" s="100">
        <f t="shared" si="0"/>
        <v>6268.479465047184</v>
      </c>
      <c r="C11" s="100">
        <v>5863.0427032464877</v>
      </c>
      <c r="D11" s="112">
        <v>0.16219755704110256</v>
      </c>
      <c r="E11" s="100">
        <f t="shared" si="1"/>
        <v>6881.5168372103999</v>
      </c>
      <c r="F11" s="100">
        <v>6476.0800754097036</v>
      </c>
      <c r="G11" s="100">
        <v>-50.488552516811119</v>
      </c>
      <c r="H11" s="101">
        <f t="shared" si="2"/>
        <v>-8.1150720665818955E-3</v>
      </c>
      <c r="I11" s="126">
        <v>0</v>
      </c>
      <c r="J11" s="101"/>
      <c r="K11" s="101"/>
      <c r="L11" s="101"/>
      <c r="M11" s="101"/>
      <c r="N11" s="101"/>
      <c r="O11" s="101"/>
      <c r="P11" s="101"/>
      <c r="Q11" s="100">
        <v>97.390180353596634</v>
      </c>
      <c r="R11" s="100">
        <v>659.93899999999996</v>
      </c>
      <c r="S11" s="100">
        <f t="shared" si="3"/>
        <v>0</v>
      </c>
      <c r="T11" s="100">
        <v>-171.2</v>
      </c>
      <c r="U11" s="100">
        <v>234.23676180069651</v>
      </c>
      <c r="V11" s="100">
        <v>883.71463564246903</v>
      </c>
      <c r="W11" s="100"/>
      <c r="X11" s="100">
        <v>3290.1803775881613</v>
      </c>
      <c r="Y11" s="125">
        <v>0.70000000000000007</v>
      </c>
      <c r="Z11" s="100">
        <v>2877.3052406851725</v>
      </c>
      <c r="AA11" s="101">
        <f t="shared" si="4"/>
        <v>0.80044558072791383</v>
      </c>
      <c r="AB11" s="101"/>
      <c r="AD11" s="124">
        <f t="shared" si="5"/>
        <v>2303.1262643117129</v>
      </c>
      <c r="AE11" s="100"/>
      <c r="AG11" s="100">
        <v>720.60776647184468</v>
      </c>
      <c r="AH11" s="127"/>
      <c r="AI11" s="111">
        <f t="shared" si="6"/>
        <v>0.11495734659257124</v>
      </c>
      <c r="AJ11" s="111"/>
      <c r="AK11" s="128">
        <v>0</v>
      </c>
      <c r="AL11" s="121"/>
      <c r="AM11" s="121"/>
      <c r="AN11" s="121"/>
      <c r="AO11" s="100">
        <v>90.620999999999995</v>
      </c>
      <c r="AP11" s="121"/>
      <c r="AQ11" s="107">
        <f t="shared" si="7"/>
        <v>0.2383171797306225</v>
      </c>
      <c r="AR11" s="107">
        <f t="shared" si="8"/>
        <v>0.31288244054964898</v>
      </c>
      <c r="AS11" s="107">
        <f t="shared" si="9"/>
        <v>0.31288244054964903</v>
      </c>
      <c r="AT11" s="107">
        <f t="shared" si="10"/>
        <v>0</v>
      </c>
      <c r="AU11" s="107">
        <v>0.32755632582322358</v>
      </c>
      <c r="AV11" s="121"/>
      <c r="AW11" s="122">
        <f t="shared" si="11"/>
        <v>50.488552516811119</v>
      </c>
      <c r="AX11" s="121">
        <v>0</v>
      </c>
      <c r="AY11" s="107">
        <f t="shared" si="12"/>
        <v>7.0063847304903823E-2</v>
      </c>
      <c r="AZ11" s="121"/>
      <c r="BA11" s="101">
        <f t="shared" si="13"/>
        <v>0.10471641405791599</v>
      </c>
      <c r="BB11" s="101">
        <f t="shared" si="14"/>
        <v>0.11495734659257124</v>
      </c>
      <c r="BC11" s="101">
        <f t="shared" si="15"/>
        <v>0.10690299261433243</v>
      </c>
      <c r="BD11" s="102">
        <f t="shared" si="16"/>
        <v>0.12575634654020995</v>
      </c>
      <c r="BE11" s="102">
        <f t="shared" si="27"/>
        <v>0.12575634654020995</v>
      </c>
      <c r="BF11" s="102">
        <f t="shared" si="17"/>
        <v>1.3168753654715397E-2</v>
      </c>
      <c r="BG11" s="102">
        <f t="shared" si="18"/>
        <v>2.6247233604902241E-2</v>
      </c>
      <c r="BH11" s="102">
        <f t="shared" si="19"/>
        <v>1.4456615915438413E-2</v>
      </c>
      <c r="BI11" s="102">
        <f t="shared" si="28"/>
        <v>1.4456615915438413E-2</v>
      </c>
      <c r="BJ11" s="102">
        <f t="shared" si="20"/>
        <v>3.0185781520931387E-2</v>
      </c>
      <c r="BL11" s="100">
        <v>48744</v>
      </c>
      <c r="BM11" s="100">
        <v>1857.11</v>
      </c>
      <c r="BN11" s="100">
        <v>1614.8</v>
      </c>
      <c r="BP11" s="99">
        <v>50</v>
      </c>
      <c r="BW11" s="100">
        <f t="shared" si="21"/>
        <v>-477.21842847057587</v>
      </c>
      <c r="BX11" s="100">
        <v>2741.788166549004</v>
      </c>
      <c r="BY11" s="100">
        <v>-3219.0065950195799</v>
      </c>
      <c r="BZ11" s="101">
        <f t="shared" si="22"/>
        <v>-6.9347854515172364E-2</v>
      </c>
      <c r="CA11" s="101">
        <f t="shared" si="23"/>
        <v>0.39842788027827575</v>
      </c>
      <c r="CB11" s="101">
        <f t="shared" si="24"/>
        <v>-0.46777573479344814</v>
      </c>
      <c r="CF11" s="100"/>
      <c r="CG11" s="100"/>
      <c r="CH11" s="100"/>
      <c r="CI11" s="100"/>
      <c r="CJ11" s="100"/>
      <c r="CK11" s="100"/>
      <c r="CL11" s="100"/>
      <c r="CN11" s="100"/>
      <c r="CO11" s="100"/>
      <c r="CP11" s="100"/>
      <c r="CQ11" s="100"/>
      <c r="CR11" s="100"/>
      <c r="CS11" s="100"/>
      <c r="CT11" s="100"/>
      <c r="CU11" s="100"/>
      <c r="CV11" s="100"/>
      <c r="CW11" s="100"/>
      <c r="CX11" s="100"/>
      <c r="DC11" s="100"/>
      <c r="DD11" s="100"/>
      <c r="DE11" s="100"/>
      <c r="DF11" s="100"/>
      <c r="DG11" s="100"/>
      <c r="DH11" s="100"/>
      <c r="DI11" s="100"/>
      <c r="DJ11" s="100"/>
      <c r="DK11" s="100"/>
      <c r="DL11" s="100"/>
      <c r="DM11" s="100"/>
      <c r="DV11" s="101">
        <v>0.48</v>
      </c>
      <c r="DW11" s="102">
        <f t="shared" si="25"/>
        <v>2.0000000000000018E-2</v>
      </c>
      <c r="DZ11" s="115"/>
      <c r="EA11" s="115"/>
      <c r="EB11" s="115"/>
      <c r="EN11" s="99">
        <f t="shared" si="26"/>
        <v>0.70662172513387222</v>
      </c>
      <c r="EO11" s="99">
        <v>0.55650983233333295</v>
      </c>
    </row>
    <row r="12" spans="1:152" s="99" customFormat="1">
      <c r="A12" s="98">
        <v>1977</v>
      </c>
      <c r="B12" s="100">
        <f t="shared" si="0"/>
        <v>7640.6184765192593</v>
      </c>
      <c r="C12" s="100">
        <v>7197.5338158570139</v>
      </c>
      <c r="D12" s="112">
        <v>0.18576658286374367</v>
      </c>
      <c r="E12" s="100">
        <f t="shared" si="1"/>
        <v>8326.0970280261645</v>
      </c>
      <c r="F12" s="100">
        <v>7883.0123673639191</v>
      </c>
      <c r="G12" s="100">
        <v>-136.75637797434285</v>
      </c>
      <c r="H12" s="101">
        <f t="shared" si="2"/>
        <v>-1.8243577888113229E-2</v>
      </c>
      <c r="I12" s="126">
        <v>0</v>
      </c>
      <c r="J12" s="101"/>
      <c r="K12" s="101"/>
      <c r="L12" s="101"/>
      <c r="M12" s="101"/>
      <c r="N12" s="101"/>
      <c r="O12" s="101"/>
      <c r="P12" s="101"/>
      <c r="Q12" s="100">
        <v>281.23682646743629</v>
      </c>
      <c r="R12" s="100">
        <v>829.95899999999995</v>
      </c>
      <c r="S12" s="100">
        <f t="shared" si="3"/>
        <v>0</v>
      </c>
      <c r="T12" s="100">
        <v>-244.8</v>
      </c>
      <c r="U12" s="100">
        <v>198.28466066224473</v>
      </c>
      <c r="V12" s="100">
        <v>995.59169637771402</v>
      </c>
      <c r="W12" s="100"/>
      <c r="X12" s="100">
        <v>3887.7835353913588</v>
      </c>
      <c r="Y12" s="125">
        <v>0.7</v>
      </c>
      <c r="Z12" s="100">
        <v>3423.4439802469997</v>
      </c>
      <c r="AA12" s="101">
        <f t="shared" si="4"/>
        <v>0.79494464944555632</v>
      </c>
      <c r="AB12" s="101"/>
      <c r="AD12" s="124">
        <f t="shared" si="5"/>
        <v>2721.4484747739511</v>
      </c>
      <c r="AE12" s="100"/>
      <c r="AG12" s="100">
        <v>988.46113091420023</v>
      </c>
      <c r="AH12" s="127"/>
      <c r="AI12" s="111">
        <f t="shared" si="6"/>
        <v>0.12936925642235458</v>
      </c>
      <c r="AJ12" s="111"/>
      <c r="AK12" s="128">
        <v>0</v>
      </c>
      <c r="AL12" s="121"/>
      <c r="AM12" s="121"/>
      <c r="AN12" s="121"/>
      <c r="AO12" s="100">
        <v>98.683999999999997</v>
      </c>
      <c r="AP12" s="121"/>
      <c r="AQ12" s="107">
        <f t="shared" si="7"/>
        <v>0.26643806345002591</v>
      </c>
      <c r="AR12" s="107">
        <f t="shared" si="8"/>
        <v>0.36321140748266556</v>
      </c>
      <c r="AS12" s="107">
        <f t="shared" si="9"/>
        <v>0.36321140748266556</v>
      </c>
      <c r="AT12" s="107">
        <f t="shared" si="10"/>
        <v>0</v>
      </c>
      <c r="AU12" s="107">
        <v>0.29896238651102464</v>
      </c>
      <c r="AV12" s="121"/>
      <c r="AW12" s="122">
        <f t="shared" si="11"/>
        <v>136.75637797434285</v>
      </c>
      <c r="AX12" s="121">
        <v>0</v>
      </c>
      <c r="AY12" s="107">
        <f t="shared" si="12"/>
        <v>0.13835281297086582</v>
      </c>
      <c r="AZ12" s="121"/>
      <c r="BA12" s="101">
        <f t="shared" si="13"/>
        <v>0.11871842564252832</v>
      </c>
      <c r="BB12" s="101">
        <f t="shared" si="14"/>
        <v>0.12936925642235458</v>
      </c>
      <c r="BC12" s="101">
        <f t="shared" si="15"/>
        <v>0.11147065588437258</v>
      </c>
      <c r="BD12" s="102">
        <f t="shared" si="16"/>
        <v>9.9835994470242759E-2</v>
      </c>
      <c r="BE12" s="102">
        <f t="shared" si="27"/>
        <v>9.9835994470242759E-2</v>
      </c>
      <c r="BF12" s="102">
        <f t="shared" si="17"/>
        <v>1.1852372085963384E-2</v>
      </c>
      <c r="BG12" s="102">
        <f t="shared" si="18"/>
        <v>3.1035862491393978E-2</v>
      </c>
      <c r="BH12" s="102">
        <f t="shared" si="19"/>
        <v>1.2915708368801609E-2</v>
      </c>
      <c r="BI12" s="102">
        <f t="shared" si="28"/>
        <v>1.2915708368801609E-2</v>
      </c>
      <c r="BJ12" s="102">
        <f t="shared" si="20"/>
        <v>3.5662978818035249E-2</v>
      </c>
      <c r="BL12" s="100">
        <v>64147</v>
      </c>
      <c r="BM12" s="100">
        <v>2066.8670000000002</v>
      </c>
      <c r="BN12" s="100">
        <v>1798.7</v>
      </c>
      <c r="BP12" s="99">
        <v>45</v>
      </c>
      <c r="BW12" s="100">
        <f t="shared" si="21"/>
        <v>-671.52764270586295</v>
      </c>
      <c r="BX12" s="100">
        <v>3588.3276427058622</v>
      </c>
      <c r="BY12" s="100">
        <v>-4259.8552854117252</v>
      </c>
      <c r="BZ12" s="101">
        <f t="shared" si="22"/>
        <v>-8.0653352999065328E-2</v>
      </c>
      <c r="CA12" s="101">
        <f t="shared" si="23"/>
        <v>0.43097355587225639</v>
      </c>
      <c r="CB12" s="101">
        <f t="shared" si="24"/>
        <v>-0.51162690887132178</v>
      </c>
      <c r="CF12" s="100"/>
      <c r="CG12" s="100"/>
      <c r="CH12" s="100"/>
      <c r="CI12" s="100"/>
      <c r="CJ12" s="100"/>
      <c r="CK12" s="100"/>
      <c r="CL12" s="100"/>
      <c r="CN12" s="100"/>
      <c r="CO12" s="100"/>
      <c r="CP12" s="100"/>
      <c r="CQ12" s="100"/>
      <c r="CR12" s="100"/>
      <c r="CS12" s="100"/>
      <c r="CT12" s="100"/>
      <c r="CU12" s="100"/>
      <c r="CV12" s="100"/>
      <c r="CW12" s="100"/>
      <c r="CX12" s="100"/>
      <c r="DC12" s="100">
        <v>1</v>
      </c>
      <c r="DD12" s="100">
        <v>0</v>
      </c>
      <c r="DE12" s="100" t="s">
        <v>65</v>
      </c>
      <c r="DF12" s="100" t="s">
        <v>65</v>
      </c>
      <c r="DG12" s="100"/>
      <c r="DH12" s="100"/>
      <c r="DI12" s="100"/>
      <c r="DJ12" s="100"/>
      <c r="DK12" s="100"/>
      <c r="DL12" s="100"/>
      <c r="DM12" s="100"/>
      <c r="DV12" s="101">
        <v>0.48</v>
      </c>
      <c r="DW12" s="102">
        <f t="shared" si="25"/>
        <v>-2.9999999999999971E-2</v>
      </c>
      <c r="DZ12" s="115"/>
      <c r="EA12" s="115"/>
      <c r="EB12" s="115"/>
      <c r="EN12" s="99">
        <f t="shared" si="26"/>
        <v>0.72790528642751573</v>
      </c>
      <c r="EO12" s="99">
        <v>0.57327199900000003</v>
      </c>
    </row>
    <row r="13" spans="1:152" s="99" customFormat="1">
      <c r="A13" s="98">
        <v>1978</v>
      </c>
      <c r="B13" s="100">
        <f t="shared" si="0"/>
        <v>8885.2453255265427</v>
      </c>
      <c r="C13" s="100">
        <v>8379.6461807091418</v>
      </c>
      <c r="D13" s="112">
        <v>0.20483063793780054</v>
      </c>
      <c r="E13" s="100">
        <f t="shared" si="1"/>
        <v>9821.7969127179313</v>
      </c>
      <c r="F13" s="100">
        <v>9316.1977679005304</v>
      </c>
      <c r="G13" s="100">
        <v>-291.48473843242681</v>
      </c>
      <c r="H13" s="101">
        <f t="shared" si="2"/>
        <v>-3.3282538134467535E-2</v>
      </c>
      <c r="I13" s="126">
        <v>0</v>
      </c>
      <c r="J13" s="101"/>
      <c r="K13" s="101"/>
      <c r="L13" s="101"/>
      <c r="M13" s="101"/>
      <c r="N13" s="101"/>
      <c r="O13" s="101"/>
      <c r="P13" s="101"/>
      <c r="Q13" s="100">
        <v>418.84215124104196</v>
      </c>
      <c r="R13" s="100">
        <v>1063.9090000000001</v>
      </c>
      <c r="S13" s="100">
        <f t="shared" si="3"/>
        <v>0</v>
      </c>
      <c r="T13" s="100">
        <v>-312.2</v>
      </c>
      <c r="U13" s="100">
        <v>193.39914481740016</v>
      </c>
      <c r="V13" s="100">
        <v>1083.724948736193</v>
      </c>
      <c r="W13" s="100"/>
      <c r="X13" s="100">
        <v>4642.6485014589389</v>
      </c>
      <c r="Y13" s="125">
        <v>0.7</v>
      </c>
      <c r="Z13" s="100">
        <v>4096.4788092491335</v>
      </c>
      <c r="AA13" s="101">
        <f t="shared" si="4"/>
        <v>0.79332863719047064</v>
      </c>
      <c r="AB13" s="101"/>
      <c r="AD13" s="124">
        <f t="shared" si="5"/>
        <v>3249.8539510212572</v>
      </c>
      <c r="AE13" s="100"/>
      <c r="AG13" s="100">
        <v>1198.0189967454457</v>
      </c>
      <c r="AH13" s="127"/>
      <c r="AI13" s="111">
        <f t="shared" si="6"/>
        <v>0.13483240505511318</v>
      </c>
      <c r="AJ13" s="111"/>
      <c r="AK13" s="128">
        <v>0</v>
      </c>
      <c r="AL13" s="121"/>
      <c r="AM13" s="121"/>
      <c r="AN13" s="121"/>
      <c r="AO13" s="100">
        <v>134.66800000000001</v>
      </c>
      <c r="AP13" s="121"/>
      <c r="AQ13" s="107">
        <f t="shared" si="7"/>
        <v>0.26934649681191469</v>
      </c>
      <c r="AR13" s="107">
        <f t="shared" si="8"/>
        <v>0.36863779566739352</v>
      </c>
      <c r="AS13" s="107">
        <f t="shared" si="9"/>
        <v>0.36863779566739358</v>
      </c>
      <c r="AT13" s="107">
        <f t="shared" si="10"/>
        <v>0</v>
      </c>
      <c r="AU13" s="107">
        <v>0.29335684891240449</v>
      </c>
      <c r="AV13" s="121"/>
      <c r="AW13" s="122">
        <f t="shared" si="11"/>
        <v>291.48473843242681</v>
      </c>
      <c r="AX13" s="121">
        <v>0</v>
      </c>
      <c r="AY13" s="107">
        <f t="shared" si="12"/>
        <v>0.24330560635872894</v>
      </c>
      <c r="AZ13" s="121"/>
      <c r="BA13" s="101">
        <f t="shared" si="13"/>
        <v>0.12197554148102667</v>
      </c>
      <c r="BB13" s="101">
        <f t="shared" si="14"/>
        <v>0.13483240505511318</v>
      </c>
      <c r="BC13" s="101">
        <f t="shared" si="15"/>
        <v>0.10202692498637311</v>
      </c>
      <c r="BD13" s="102">
        <f t="shared" si="16"/>
        <v>0.1124089020005867</v>
      </c>
      <c r="BE13" s="102">
        <f t="shared" si="27"/>
        <v>0.1124089020005867</v>
      </c>
      <c r="BF13" s="102">
        <f t="shared" si="17"/>
        <v>1.3711136688809225E-2</v>
      </c>
      <c r="BG13" s="102">
        <f t="shared" si="18"/>
        <v>3.033406816444217E-2</v>
      </c>
      <c r="BH13" s="102">
        <f t="shared" si="19"/>
        <v>1.5156362606343628E-2</v>
      </c>
      <c r="BI13" s="102">
        <f t="shared" si="28"/>
        <v>1.5156362606343628E-2</v>
      </c>
      <c r="BJ13" s="102">
        <f t="shared" si="20"/>
        <v>3.4869698014680525E-2</v>
      </c>
      <c r="BL13" s="100">
        <v>70782</v>
      </c>
      <c r="BM13" s="100">
        <v>2333.4160000000002</v>
      </c>
      <c r="BN13" s="100">
        <v>2029.9</v>
      </c>
      <c r="BP13" s="99">
        <v>45</v>
      </c>
      <c r="BW13" s="100">
        <f t="shared" si="21"/>
        <v>-869.34607117643827</v>
      </c>
      <c r="BX13" s="100">
        <v>4297.767118862721</v>
      </c>
      <c r="BY13" s="100">
        <v>-5167.1131900391592</v>
      </c>
      <c r="BZ13" s="101">
        <f t="shared" si="22"/>
        <v>-8.8511916801165963E-2</v>
      </c>
      <c r="CA13" s="101">
        <f t="shared" si="23"/>
        <v>0.43757442319924977</v>
      </c>
      <c r="CB13" s="101">
        <f t="shared" si="24"/>
        <v>-0.52608634000041576</v>
      </c>
      <c r="CF13" s="100"/>
      <c r="CG13" s="100"/>
      <c r="CH13" s="100"/>
      <c r="CI13" s="100"/>
      <c r="CJ13" s="100"/>
      <c r="CK13" s="100"/>
      <c r="CL13" s="100"/>
      <c r="CN13" s="100"/>
      <c r="CO13" s="100"/>
      <c r="CP13" s="100"/>
      <c r="CQ13" s="100"/>
      <c r="CR13" s="100"/>
      <c r="CS13" s="100"/>
      <c r="CT13" s="100"/>
      <c r="CU13" s="100"/>
      <c r="CV13" s="100"/>
      <c r="CW13" s="100"/>
      <c r="CX13" s="100"/>
      <c r="DC13" s="100"/>
      <c r="DD13" s="100"/>
      <c r="DE13" s="100"/>
      <c r="DF13" s="100"/>
      <c r="DG13" s="100"/>
      <c r="DH13" s="100"/>
      <c r="DI13" s="100"/>
      <c r="DJ13" s="100"/>
      <c r="DK13" s="100"/>
      <c r="DL13" s="100"/>
      <c r="DM13" s="100"/>
      <c r="DV13" s="101">
        <v>0.48</v>
      </c>
      <c r="DW13" s="102">
        <f t="shared" si="25"/>
        <v>-2.9999999999999971E-2</v>
      </c>
      <c r="DZ13" s="115"/>
      <c r="EA13" s="115"/>
      <c r="EB13" s="115"/>
      <c r="EN13" s="99">
        <f t="shared" si="26"/>
        <v>0.66217422626393907</v>
      </c>
      <c r="EO13" s="99">
        <v>0.52150458233333297</v>
      </c>
    </row>
    <row r="14" spans="1:152" s="99" customFormat="1">
      <c r="A14" s="98">
        <v>1979</v>
      </c>
      <c r="B14" s="100">
        <f t="shared" si="0"/>
        <v>10490.603991778094</v>
      </c>
      <c r="C14" s="100">
        <v>9840.7439913022899</v>
      </c>
      <c r="D14" s="112">
        <v>0.23285646788208286</v>
      </c>
      <c r="E14" s="100">
        <f t="shared" si="1"/>
        <v>11686.145341992093</v>
      </c>
      <c r="F14" s="100">
        <v>11036.285341516288</v>
      </c>
      <c r="G14" s="100">
        <v>-354.42421364605127</v>
      </c>
      <c r="H14" s="101">
        <f t="shared" si="2"/>
        <v>-3.4087611488967891E-2</v>
      </c>
      <c r="I14" s="126">
        <v>0</v>
      </c>
      <c r="J14" s="101"/>
      <c r="K14" s="101"/>
      <c r="L14" s="101"/>
      <c r="M14" s="101"/>
      <c r="N14" s="101"/>
      <c r="O14" s="101"/>
      <c r="P14" s="101"/>
      <c r="Q14" s="100">
        <v>447.57886343205121</v>
      </c>
      <c r="R14" s="100">
        <v>1288.6959999999999</v>
      </c>
      <c r="S14" s="100">
        <f t="shared" si="3"/>
        <v>0</v>
      </c>
      <c r="T14" s="100">
        <v>-340.5</v>
      </c>
      <c r="U14" s="100">
        <v>309.36000047580455</v>
      </c>
      <c r="V14" s="100">
        <v>1183.9139399424212</v>
      </c>
      <c r="W14" s="100"/>
      <c r="X14" s="100">
        <v>5763.4712964072096</v>
      </c>
      <c r="Y14" s="125">
        <v>0.7</v>
      </c>
      <c r="Z14" s="100">
        <v>5085.9088102556325</v>
      </c>
      <c r="AA14" s="101">
        <f t="shared" si="4"/>
        <v>0.79325643813150959</v>
      </c>
      <c r="AB14" s="101"/>
      <c r="AD14" s="124">
        <f t="shared" si="5"/>
        <v>4034.4299074850464</v>
      </c>
      <c r="AE14" s="100"/>
      <c r="AG14" s="100">
        <v>1402.8565716080022</v>
      </c>
      <c r="AH14" s="127"/>
      <c r="AI14" s="111">
        <f t="shared" si="6"/>
        <v>0.13372505269548607</v>
      </c>
      <c r="AJ14" s="111"/>
      <c r="AK14" s="128">
        <v>0</v>
      </c>
      <c r="AL14" s="121"/>
      <c r="AM14" s="121"/>
      <c r="AN14" s="121"/>
      <c r="AO14" s="100">
        <v>178.703</v>
      </c>
      <c r="AP14" s="121"/>
      <c r="AQ14" s="107">
        <f t="shared" si="7"/>
        <v>0.25800674233409193</v>
      </c>
      <c r="AR14" s="107">
        <f t="shared" ref="AR14:AR50" si="29">(AG14-AK14)/AD14</f>
        <v>0.34772114122128961</v>
      </c>
      <c r="AS14" s="107">
        <f t="shared" si="9"/>
        <v>0.34772114122128961</v>
      </c>
      <c r="AT14" s="107">
        <f t="shared" si="10"/>
        <v>0</v>
      </c>
      <c r="AU14" s="107">
        <v>0.25456953642384106</v>
      </c>
      <c r="AV14" s="121"/>
      <c r="AW14" s="122">
        <f t="shared" si="11"/>
        <v>354.42421364605127</v>
      </c>
      <c r="AX14" s="121">
        <v>0</v>
      </c>
      <c r="AY14" s="107">
        <f t="shared" si="12"/>
        <v>0.25264465435678723</v>
      </c>
      <c r="AZ14" s="121"/>
      <c r="BA14" s="101">
        <f t="shared" si="13"/>
        <v>0.12004442273767431</v>
      </c>
      <c r="BB14" s="101">
        <f t="shared" si="14"/>
        <v>0.13372505269548607</v>
      </c>
      <c r="BC14" s="101">
        <f t="shared" si="15"/>
        <v>9.9940132978391827E-2</v>
      </c>
      <c r="BD14" s="102">
        <f t="shared" si="16"/>
        <v>0.12738508242162241</v>
      </c>
      <c r="BE14" s="102">
        <f t="shared" si="27"/>
        <v>0.12738508242162241</v>
      </c>
      <c r="BF14" s="102">
        <f t="shared" si="17"/>
        <v>1.5291868684694725E-2</v>
      </c>
      <c r="BG14" s="102">
        <f t="shared" si="18"/>
        <v>3.0334323761938481E-2</v>
      </c>
      <c r="BH14" s="102">
        <f t="shared" si="19"/>
        <v>1.7034576859450295E-2</v>
      </c>
      <c r="BI14" s="102">
        <f t="shared" si="28"/>
        <v>1.7034576859450295E-2</v>
      </c>
      <c r="BJ14" s="102">
        <f t="shared" si="20"/>
        <v>3.4911484743350235E-2</v>
      </c>
      <c r="BL14" s="100">
        <v>78488</v>
      </c>
      <c r="BM14" s="100">
        <v>2587.4319999999998</v>
      </c>
      <c r="BN14" s="100">
        <v>2248.1999999999998</v>
      </c>
      <c r="BP14" s="99">
        <v>45</v>
      </c>
      <c r="BW14" s="100">
        <f t="shared" si="21"/>
        <v>-1672.0552854117268</v>
      </c>
      <c r="BX14" s="100">
        <v>5014.5065950195776</v>
      </c>
      <c r="BY14" s="100">
        <v>-6686.5618804313044</v>
      </c>
      <c r="BZ14" s="101">
        <f t="shared" si="22"/>
        <v>-0.14308013775966763</v>
      </c>
      <c r="CA14" s="101">
        <f t="shared" si="23"/>
        <v>0.42909842794790826</v>
      </c>
      <c r="CB14" s="101">
        <f t="shared" si="24"/>
        <v>-0.57217856570757586</v>
      </c>
      <c r="CF14" s="100"/>
      <c r="CG14" s="100"/>
      <c r="CH14" s="100"/>
      <c r="CI14" s="100"/>
      <c r="CJ14" s="100"/>
      <c r="CK14" s="100"/>
      <c r="CL14" s="100"/>
      <c r="CN14" s="100"/>
      <c r="CO14" s="100"/>
      <c r="CP14" s="100"/>
      <c r="CQ14" s="100"/>
      <c r="CR14" s="100"/>
      <c r="CS14" s="100"/>
      <c r="CT14" s="100"/>
      <c r="CU14" s="100"/>
      <c r="CV14" s="100"/>
      <c r="CW14" s="100"/>
      <c r="CX14" s="100"/>
      <c r="DC14" s="100"/>
      <c r="DD14" s="100"/>
      <c r="DE14" s="100"/>
      <c r="DF14" s="100"/>
      <c r="DG14" s="100"/>
      <c r="DH14" s="100"/>
      <c r="DI14" s="100"/>
      <c r="DJ14" s="100"/>
      <c r="DK14" s="100"/>
      <c r="DL14" s="100"/>
      <c r="DM14" s="100"/>
      <c r="DV14" s="101">
        <v>0.46</v>
      </c>
      <c r="DW14" s="102">
        <f t="shared" si="25"/>
        <v>-1.0000000000000009E-2</v>
      </c>
      <c r="DZ14" s="115"/>
      <c r="EA14" s="115"/>
      <c r="EB14" s="115"/>
      <c r="EN14" s="99">
        <f t="shared" si="26"/>
        <v>0.62038751655031332</v>
      </c>
      <c r="EO14" s="99">
        <v>0.48859487408443097</v>
      </c>
    </row>
    <row r="15" spans="1:152" s="99" customFormat="1">
      <c r="A15" s="98">
        <v>1980</v>
      </c>
      <c r="B15" s="100">
        <f t="shared" si="0"/>
        <v>12296.520089673691</v>
      </c>
      <c r="C15" s="100">
        <v>11384.138752396831</v>
      </c>
      <c r="D15" s="112">
        <v>0.26855695857480938</v>
      </c>
      <c r="E15" s="100">
        <f t="shared" si="1"/>
        <v>14009.617681107859</v>
      </c>
      <c r="F15" s="100">
        <v>13097.236343830999</v>
      </c>
      <c r="G15" s="100">
        <v>-433.33259143416484</v>
      </c>
      <c r="H15" s="101">
        <f t="shared" si="2"/>
        <v>-3.5037968630520978E-2</v>
      </c>
      <c r="I15" s="126">
        <v>0</v>
      </c>
      <c r="J15" s="101"/>
      <c r="K15" s="101"/>
      <c r="L15" s="101"/>
      <c r="M15" s="101"/>
      <c r="N15" s="101"/>
      <c r="O15" s="101"/>
      <c r="P15" s="101"/>
      <c r="Q15" s="100">
        <v>362.33800000000002</v>
      </c>
      <c r="R15" s="100">
        <v>1642.1030000000001</v>
      </c>
      <c r="S15" s="100">
        <f t="shared" si="3"/>
        <v>0</v>
      </c>
      <c r="T15" s="100">
        <v>-492.7</v>
      </c>
      <c r="U15" s="100">
        <v>419.68133727685927</v>
      </c>
      <c r="V15" s="100">
        <v>1500.6156457125271</v>
      </c>
      <c r="W15" s="100"/>
      <c r="X15" s="100">
        <v>7160.5431218125814</v>
      </c>
      <c r="Y15" s="125">
        <v>0.7</v>
      </c>
      <c r="Z15" s="100">
        <v>6313.6351467178338</v>
      </c>
      <c r="AA15" s="101">
        <f t="shared" si="4"/>
        <v>0.79389766256520389</v>
      </c>
      <c r="AB15" s="101"/>
      <c r="AD15" s="124">
        <f t="shared" si="5"/>
        <v>5012.3801852688066</v>
      </c>
      <c r="AE15" s="100"/>
      <c r="AG15" s="100">
        <v>1363.7013657954421</v>
      </c>
      <c r="AH15" s="127"/>
      <c r="AI15" s="111">
        <f t="shared" si="6"/>
        <v>0.11090140591407192</v>
      </c>
      <c r="AJ15" s="111"/>
      <c r="AK15" s="128">
        <v>0</v>
      </c>
      <c r="AL15" s="121"/>
      <c r="AM15" s="121"/>
      <c r="AN15" s="121"/>
      <c r="AO15" s="100">
        <v>183.80699999999999</v>
      </c>
      <c r="AP15" s="121"/>
      <c r="AQ15" s="107">
        <f t="shared" si="7"/>
        <v>0.21387765430444081</v>
      </c>
      <c r="AR15" s="107">
        <f t="shared" si="29"/>
        <v>0.27206662611174393</v>
      </c>
      <c r="AS15" s="107">
        <f t="shared" si="9"/>
        <v>0.27206662611174393</v>
      </c>
      <c r="AT15" s="107">
        <f t="shared" si="10"/>
        <v>0</v>
      </c>
      <c r="AU15" s="107">
        <v>0.20804020100502513</v>
      </c>
      <c r="AV15" s="121"/>
      <c r="AW15" s="122">
        <f t="shared" si="11"/>
        <v>433.33259143416484</v>
      </c>
      <c r="AX15" s="121">
        <v>0</v>
      </c>
      <c r="AY15" s="107">
        <f t="shared" si="12"/>
        <v>0.31776208655580795</v>
      </c>
      <c r="AZ15" s="121"/>
      <c r="BA15" s="101">
        <f t="shared" si="13"/>
        <v>9.7340369797129456E-2</v>
      </c>
      <c r="BB15" s="101">
        <f t="shared" si="14"/>
        <v>0.11090140591407192</v>
      </c>
      <c r="BC15" s="101">
        <f t="shared" si="15"/>
        <v>7.5661143768843808E-2</v>
      </c>
      <c r="BD15" s="102">
        <f t="shared" si="16"/>
        <v>0.13478537501704857</v>
      </c>
      <c r="BE15" s="102">
        <f t="shared" si="27"/>
        <v>0.13478537501704857</v>
      </c>
      <c r="BF15" s="102">
        <f t="shared" si="17"/>
        <v>1.312005824740428E-2</v>
      </c>
      <c r="BG15" s="102">
        <f t="shared" si="18"/>
        <v>2.7894907327415692E-2</v>
      </c>
      <c r="BH15" s="102">
        <f t="shared" si="19"/>
        <v>1.4947887586046111E-2</v>
      </c>
      <c r="BI15" s="102">
        <f t="shared" si="28"/>
        <v>1.4947887586046111E-2</v>
      </c>
      <c r="BJ15" s="102">
        <f t="shared" si="20"/>
        <v>3.2398219878028676E-2</v>
      </c>
      <c r="BL15" s="100">
        <v>78624</v>
      </c>
      <c r="BM15" s="100">
        <v>2818.5790000000002</v>
      </c>
      <c r="BN15" s="100">
        <v>2426.8000000000002</v>
      </c>
      <c r="BP15" s="99">
        <v>45</v>
      </c>
      <c r="BW15" s="100">
        <f t="shared" si="21"/>
        <v>-1633.2434519607295</v>
      </c>
      <c r="BX15" s="100">
        <v>5907.4763330980086</v>
      </c>
      <c r="BY15" s="100">
        <v>-7540.7197850587381</v>
      </c>
      <c r="BZ15" s="101">
        <f t="shared" si="22"/>
        <v>-0.11658015865509153</v>
      </c>
      <c r="CA15" s="101">
        <f t="shared" si="23"/>
        <v>0.42167291553318498</v>
      </c>
      <c r="CB15" s="101">
        <f t="shared" si="24"/>
        <v>-0.5382530741882765</v>
      </c>
      <c r="CF15" s="100"/>
      <c r="CG15" s="100"/>
      <c r="CH15" s="100"/>
      <c r="CI15" s="100"/>
      <c r="CJ15" s="100"/>
      <c r="CK15" s="100"/>
      <c r="CL15" s="100"/>
      <c r="CN15" s="100"/>
      <c r="CO15" s="100"/>
      <c r="CP15" s="100"/>
      <c r="CQ15" s="100"/>
      <c r="CR15" s="100"/>
      <c r="CS15" s="100"/>
      <c r="CT15" s="100"/>
      <c r="CU15" s="100"/>
      <c r="CV15" s="100"/>
      <c r="CW15" s="100"/>
      <c r="CX15" s="100"/>
      <c r="DC15" s="100"/>
      <c r="DD15" s="100"/>
      <c r="DE15" s="100"/>
      <c r="DF15" s="100"/>
      <c r="DG15" s="100"/>
      <c r="DH15" s="100"/>
      <c r="DI15" s="100"/>
      <c r="DJ15" s="100"/>
      <c r="DK15" s="100"/>
      <c r="DL15" s="100"/>
      <c r="DM15" s="100"/>
      <c r="DV15" s="101">
        <v>0.46</v>
      </c>
      <c r="DW15" s="102">
        <f t="shared" si="25"/>
        <v>-1.0000000000000009E-2</v>
      </c>
      <c r="DZ15" s="115"/>
      <c r="EA15" s="115"/>
      <c r="EB15" s="115"/>
      <c r="EN15" s="99">
        <f t="shared" si="26"/>
        <v>0.61791203867823696</v>
      </c>
      <c r="EO15" s="99">
        <v>0.48664527682958703</v>
      </c>
    </row>
    <row r="16" spans="1:152" s="99" customFormat="1">
      <c r="A16" s="98">
        <v>1981</v>
      </c>
      <c r="B16" s="100">
        <f t="shared" si="0"/>
        <v>14673.782205281785</v>
      </c>
      <c r="C16" s="100">
        <v>13636.164429316887</v>
      </c>
      <c r="D16" s="112">
        <v>0.31787664889213646</v>
      </c>
      <c r="E16" s="100">
        <f t="shared" si="1"/>
        <v>16929.705394323028</v>
      </c>
      <c r="F16" s="100">
        <v>15892.087618358131</v>
      </c>
      <c r="G16" s="100">
        <v>-618.81418904124723</v>
      </c>
      <c r="H16" s="101">
        <f t="shared" si="2"/>
        <v>-4.1103873634723613E-2</v>
      </c>
      <c r="I16" s="126">
        <v>0</v>
      </c>
      <c r="J16" s="101"/>
      <c r="K16" s="101"/>
      <c r="L16" s="101"/>
      <c r="M16" s="101"/>
      <c r="N16" s="101"/>
      <c r="O16" s="101"/>
      <c r="P16" s="101"/>
      <c r="Q16" s="100">
        <v>237.70900000000003</v>
      </c>
      <c r="R16" s="100">
        <v>1874.818</v>
      </c>
      <c r="S16" s="100">
        <f t="shared" si="3"/>
        <v>0</v>
      </c>
      <c r="T16" s="100">
        <v>-584.79999999999995</v>
      </c>
      <c r="U16" s="100">
        <v>452.81777596489883</v>
      </c>
      <c r="V16" s="100">
        <v>1894.3710793969585</v>
      </c>
      <c r="W16" s="100"/>
      <c r="X16" s="100">
        <v>8485.4400402462179</v>
      </c>
      <c r="Y16" s="125">
        <v>0.7</v>
      </c>
      <c r="Z16" s="100">
        <v>7436.1164789666454</v>
      </c>
      <c r="AA16" s="101">
        <f t="shared" si="4"/>
        <v>0.79877823928300995</v>
      </c>
      <c r="AB16" s="101"/>
      <c r="AD16" s="124">
        <f t="shared" si="5"/>
        <v>5939.8080281723524</v>
      </c>
      <c r="AE16" s="100"/>
      <c r="AG16" s="100">
        <v>1917.6061874548507</v>
      </c>
      <c r="AH16" s="127"/>
      <c r="AI16" s="111">
        <f t="shared" si="6"/>
        <v>0.13068247576719613</v>
      </c>
      <c r="AJ16" s="111"/>
      <c r="AK16" s="128">
        <v>0</v>
      </c>
      <c r="AL16" s="121"/>
      <c r="AM16" s="121"/>
      <c r="AN16" s="121"/>
      <c r="AO16" s="100">
        <v>253.49100000000001</v>
      </c>
      <c r="AP16" s="121"/>
      <c r="AQ16" s="107">
        <f t="shared" si="7"/>
        <v>0.24405054065254997</v>
      </c>
      <c r="AR16" s="107">
        <f t="shared" si="29"/>
        <v>0.3228397581806845</v>
      </c>
      <c r="AS16" s="107">
        <f t="shared" si="9"/>
        <v>0.3228397581806845</v>
      </c>
      <c r="AT16" s="107">
        <f t="shared" si="10"/>
        <v>0</v>
      </c>
      <c r="AU16" s="107">
        <v>0.22812425895186153</v>
      </c>
      <c r="AV16" s="121"/>
      <c r="AW16" s="122">
        <f t="shared" si="11"/>
        <v>618.81418904124723</v>
      </c>
      <c r="AX16" s="121">
        <v>0</v>
      </c>
      <c r="AY16" s="107">
        <f t="shared" si="12"/>
        <v>0.32270139358622452</v>
      </c>
      <c r="AZ16" s="121"/>
      <c r="BA16" s="101">
        <f t="shared" si="13"/>
        <v>0.11326872752894294</v>
      </c>
      <c r="BB16" s="101">
        <f t="shared" si="14"/>
        <v>0.13068247576719613</v>
      </c>
      <c r="BC16" s="101">
        <f t="shared" si="15"/>
        <v>8.8511058719823912E-2</v>
      </c>
      <c r="BD16" s="102">
        <f t="shared" si="16"/>
        <v>0.13219137571538961</v>
      </c>
      <c r="BE16" s="102">
        <f t="shared" si="27"/>
        <v>0.13219137571538961</v>
      </c>
      <c r="BF16" s="102">
        <f t="shared" si="17"/>
        <v>1.4973148917582592E-2</v>
      </c>
      <c r="BG16" s="102">
        <f t="shared" si="18"/>
        <v>2.3934982134452502E-2</v>
      </c>
      <c r="BH16" s="102">
        <f t="shared" si="19"/>
        <v>1.7275096253558723E-2</v>
      </c>
      <c r="BI16" s="102">
        <f t="shared" si="28"/>
        <v>1.7275096253558723E-2</v>
      </c>
      <c r="BJ16" s="102">
        <f t="shared" si="20"/>
        <v>2.7910804158554056E-2</v>
      </c>
      <c r="BL16" s="100">
        <v>75976</v>
      </c>
      <c r="BM16" s="100">
        <v>3174.2660000000001</v>
      </c>
      <c r="BN16" s="100">
        <v>2722.1</v>
      </c>
      <c r="BP16" s="99">
        <v>45</v>
      </c>
      <c r="BW16" s="100">
        <f t="shared" si="21"/>
        <v>-2104.5540676473129</v>
      </c>
      <c r="BX16" s="100">
        <v>7008.4158092548669</v>
      </c>
      <c r="BY16" s="100">
        <v>-9112.9698769021797</v>
      </c>
      <c r="BZ16" s="101">
        <f t="shared" si="22"/>
        <v>-0.1243113225321112</v>
      </c>
      <c r="CA16" s="101">
        <f t="shared" si="23"/>
        <v>0.41397151610239902</v>
      </c>
      <c r="CB16" s="101">
        <f t="shared" si="24"/>
        <v>-0.53828283863451021</v>
      </c>
      <c r="CF16" s="100"/>
      <c r="CG16" s="100"/>
      <c r="CH16" s="100"/>
      <c r="CI16" s="100"/>
      <c r="CJ16" s="100"/>
      <c r="CK16" s="100"/>
      <c r="CL16" s="100"/>
      <c r="CN16" s="100"/>
      <c r="CO16" s="100"/>
      <c r="CP16" s="100"/>
      <c r="CQ16" s="100"/>
      <c r="CR16" s="100"/>
      <c r="CS16" s="100"/>
      <c r="CT16" s="100"/>
      <c r="CU16" s="100"/>
      <c r="CV16" s="100"/>
      <c r="CW16" s="100"/>
      <c r="CX16" s="100"/>
      <c r="DC16" s="100"/>
      <c r="DD16" s="100"/>
      <c r="DE16" s="100"/>
      <c r="DF16" s="100"/>
      <c r="DG16" s="100"/>
      <c r="DH16" s="100"/>
      <c r="DI16" s="100"/>
      <c r="DJ16" s="100"/>
      <c r="DK16" s="100"/>
      <c r="DL16" s="100"/>
      <c r="DM16" s="100"/>
      <c r="DV16" s="101">
        <v>0.46</v>
      </c>
      <c r="DW16" s="102">
        <f t="shared" si="25"/>
        <v>-1.0000000000000009E-2</v>
      </c>
      <c r="DZ16" s="115"/>
      <c r="EA16" s="115"/>
      <c r="EB16" s="115"/>
      <c r="EN16" s="99">
        <f t="shared" si="26"/>
        <v>0.7888858135663932</v>
      </c>
      <c r="EO16" s="99">
        <v>0.62129806687560296</v>
      </c>
    </row>
    <row r="17" spans="1:145" s="99" customFormat="1">
      <c r="A17" s="98">
        <v>1982</v>
      </c>
      <c r="B17" s="100">
        <f t="shared" si="0"/>
        <v>17071.905412089385</v>
      </c>
      <c r="C17" s="100">
        <v>15722.752128272723</v>
      </c>
      <c r="D17" s="112">
        <v>0.37154689626305759</v>
      </c>
      <c r="E17" s="100">
        <f t="shared" si="1"/>
        <v>20201.826782594275</v>
      </c>
      <c r="F17" s="100">
        <v>18852.673498777618</v>
      </c>
      <c r="G17" s="100">
        <v>-1173.9483705049015</v>
      </c>
      <c r="H17" s="101">
        <f t="shared" si="2"/>
        <v>-6.5219514130145498E-2</v>
      </c>
      <c r="I17" s="126">
        <v>0</v>
      </c>
      <c r="J17" s="101"/>
      <c r="K17" s="101"/>
      <c r="L17" s="101"/>
      <c r="M17" s="101"/>
      <c r="N17" s="101"/>
      <c r="O17" s="101"/>
      <c r="P17" s="101"/>
      <c r="Q17" s="100">
        <v>245.89800000000002</v>
      </c>
      <c r="R17" s="100">
        <v>2201.8710000000001</v>
      </c>
      <c r="S17" s="100">
        <f t="shared" si="3"/>
        <v>0</v>
      </c>
      <c r="T17" s="100">
        <v>-705.1</v>
      </c>
      <c r="U17" s="100">
        <v>644.05328381666004</v>
      </c>
      <c r="V17" s="100">
        <v>2357.0603918353781</v>
      </c>
      <c r="W17" s="100"/>
      <c r="X17" s="100">
        <v>9681.7346561915656</v>
      </c>
      <c r="Y17" s="125">
        <v>0.7</v>
      </c>
      <c r="Z17" s="100">
        <v>8483.8074877099571</v>
      </c>
      <c r="AA17" s="101">
        <f t="shared" si="4"/>
        <v>0.79884111811257952</v>
      </c>
      <c r="AB17" s="101"/>
      <c r="AD17" s="124">
        <f t="shared" si="5"/>
        <v>6777.2142593340959</v>
      </c>
      <c r="AE17" s="100"/>
      <c r="AG17" s="100">
        <v>2148.686667051953</v>
      </c>
      <c r="AH17" s="127"/>
      <c r="AI17" s="111">
        <f t="shared" si="6"/>
        <v>0.12586097539706206</v>
      </c>
      <c r="AJ17" s="111"/>
      <c r="AK17" s="128">
        <v>0</v>
      </c>
      <c r="AL17" s="121"/>
      <c r="AM17" s="121"/>
      <c r="AN17" s="121"/>
      <c r="AO17" s="100">
        <v>294.32499999999999</v>
      </c>
      <c r="AP17" s="121"/>
      <c r="AQ17" s="107">
        <f t="shared" si="7"/>
        <v>0.24072490662541118</v>
      </c>
      <c r="AR17" s="107">
        <f t="shared" si="29"/>
        <v>0.3170457041538296</v>
      </c>
      <c r="AS17" s="107">
        <f t="shared" si="9"/>
        <v>0.31704570415382949</v>
      </c>
      <c r="AT17" s="107">
        <f t="shared" si="10"/>
        <v>0</v>
      </c>
      <c r="AU17" s="107">
        <v>0.23835967535241354</v>
      </c>
      <c r="AV17" s="121"/>
      <c r="AW17" s="122">
        <f t="shared" si="11"/>
        <v>1173.9483705049015</v>
      </c>
      <c r="AX17" s="121">
        <v>0</v>
      </c>
      <c r="AY17" s="107">
        <f t="shared" si="12"/>
        <v>0.54635624100352675</v>
      </c>
      <c r="AZ17" s="121"/>
      <c r="BA17" s="101">
        <f t="shared" si="13"/>
        <v>0.10636100834718787</v>
      </c>
      <c r="BB17" s="101">
        <f t="shared" si="14"/>
        <v>0.12586097539706206</v>
      </c>
      <c r="BC17" s="101">
        <f t="shared" si="15"/>
        <v>5.7096045990085872E-2</v>
      </c>
      <c r="BD17" s="102">
        <f t="shared" si="16"/>
        <v>0.13697902282040061</v>
      </c>
      <c r="BE17" s="102">
        <f t="shared" si="27"/>
        <v>0.13697902282040061</v>
      </c>
      <c r="BF17" s="102">
        <f t="shared" si="17"/>
        <v>1.4569226989590265E-2</v>
      </c>
      <c r="BG17" s="102">
        <f t="shared" si="18"/>
        <v>1.9254693923280188E-2</v>
      </c>
      <c r="BH17" s="102">
        <f t="shared" si="19"/>
        <v>1.7240313421112045E-2</v>
      </c>
      <c r="BI17" s="102">
        <f t="shared" si="28"/>
        <v>1.7240313421112045E-2</v>
      </c>
      <c r="BJ17" s="102">
        <f t="shared" si="20"/>
        <v>2.2629207153921981E-2</v>
      </c>
      <c r="BL17" s="100">
        <v>64276</v>
      </c>
      <c r="BM17" s="100">
        <v>3338.1989999999996</v>
      </c>
      <c r="BN17" s="100">
        <v>2840.4</v>
      </c>
      <c r="BP17" s="99">
        <v>50</v>
      </c>
      <c r="BW17" s="100">
        <f t="shared" si="21"/>
        <v>-1307.891686285393</v>
      </c>
      <c r="BX17" s="100">
        <v>8191.555285411725</v>
      </c>
      <c r="BY17" s="100">
        <v>-9499.446971697118</v>
      </c>
      <c r="BZ17" s="101">
        <f t="shared" si="22"/>
        <v>-6.4741258320869355E-2</v>
      </c>
      <c r="CA17" s="101">
        <f t="shared" si="23"/>
        <v>0.40548586885565718</v>
      </c>
      <c r="CB17" s="101">
        <f t="shared" si="24"/>
        <v>-0.47022712717652654</v>
      </c>
      <c r="CF17" s="100"/>
      <c r="CG17" s="100"/>
      <c r="CH17" s="100"/>
      <c r="CI17" s="100"/>
      <c r="CJ17" s="100"/>
      <c r="CK17" s="100"/>
      <c r="CL17" s="100"/>
      <c r="CN17" s="100"/>
      <c r="CO17" s="100"/>
      <c r="CP17" s="100"/>
      <c r="CQ17" s="100"/>
      <c r="CR17" s="100"/>
      <c r="CS17" s="100"/>
      <c r="CT17" s="100"/>
      <c r="CU17" s="100"/>
      <c r="CV17" s="100"/>
      <c r="CW17" s="100"/>
      <c r="CX17" s="100"/>
      <c r="DC17" s="100"/>
      <c r="DD17" s="100"/>
      <c r="DE17" s="100"/>
      <c r="DF17" s="100"/>
      <c r="DG17" s="100"/>
      <c r="DH17" s="100"/>
      <c r="DI17" s="100"/>
      <c r="DJ17" s="100"/>
      <c r="DK17" s="100"/>
      <c r="DL17" s="100"/>
      <c r="DM17" s="100"/>
      <c r="DV17" s="101">
        <v>0.46</v>
      </c>
      <c r="DW17" s="102">
        <f t="shared" si="25"/>
        <v>3.999999999999998E-2</v>
      </c>
      <c r="DZ17" s="115"/>
      <c r="EA17" s="115"/>
      <c r="EB17" s="115"/>
      <c r="EN17" s="99">
        <f t="shared" si="26"/>
        <v>0.89460873789299911</v>
      </c>
      <c r="EO17" s="99">
        <v>0.70456163604996203</v>
      </c>
    </row>
    <row r="18" spans="1:145" s="99" customFormat="1">
      <c r="A18" s="98">
        <v>1983</v>
      </c>
      <c r="B18" s="100">
        <f t="shared" si="0"/>
        <v>18575.636082549965</v>
      </c>
      <c r="C18" s="100">
        <v>17150.615341118199</v>
      </c>
      <c r="D18" s="112">
        <v>0.4125316011404484</v>
      </c>
      <c r="E18" s="100">
        <f t="shared" si="1"/>
        <v>22204.550464309585</v>
      </c>
      <c r="F18" s="100">
        <v>20779.529722877818</v>
      </c>
      <c r="G18" s="100">
        <v>-1492.8833817596203</v>
      </c>
      <c r="H18" s="101">
        <f t="shared" si="2"/>
        <v>-7.558402444360815E-2</v>
      </c>
      <c r="I18" s="126">
        <v>0</v>
      </c>
      <c r="J18" s="101"/>
      <c r="K18" s="101"/>
      <c r="L18" s="101"/>
      <c r="M18" s="101"/>
      <c r="N18" s="101"/>
      <c r="O18" s="101"/>
      <c r="P18" s="101"/>
      <c r="Q18" s="100">
        <v>317.21100000000007</v>
      </c>
      <c r="R18" s="100">
        <v>2453.2420000000002</v>
      </c>
      <c r="S18" s="100">
        <f t="shared" si="3"/>
        <v>0</v>
      </c>
      <c r="T18" s="100">
        <v>-857.6</v>
      </c>
      <c r="U18" s="100">
        <v>567.42074143176796</v>
      </c>
      <c r="V18" s="100">
        <v>2724.0659154404211</v>
      </c>
      <c r="W18" s="100"/>
      <c r="X18" s="100">
        <v>10601.523769118277</v>
      </c>
      <c r="Y18" s="125">
        <v>0.7</v>
      </c>
      <c r="Z18" s="100">
        <v>9297.2085995144025</v>
      </c>
      <c r="AA18" s="101">
        <f t="shared" si="4"/>
        <v>0.7982037359869929</v>
      </c>
      <c r="AB18" s="101"/>
      <c r="AD18" s="124">
        <f t="shared" si="5"/>
        <v>7421.0666383827938</v>
      </c>
      <c r="AE18" s="100"/>
      <c r="AG18" s="100">
        <v>2559.5401798478952</v>
      </c>
      <c r="AH18" s="127"/>
      <c r="AI18" s="111">
        <f t="shared" si="6"/>
        <v>0.1377901767925104</v>
      </c>
      <c r="AJ18" s="111"/>
      <c r="AK18" s="128">
        <v>0</v>
      </c>
      <c r="AL18" s="121"/>
      <c r="AM18" s="121"/>
      <c r="AN18" s="121"/>
      <c r="AO18" s="100">
        <v>272.81599999999997</v>
      </c>
      <c r="AP18" s="121"/>
      <c r="AQ18" s="107">
        <f t="shared" si="7"/>
        <v>0.25645135876634378</v>
      </c>
      <c r="AR18" s="107">
        <f t="shared" si="29"/>
        <v>0.34490192644404993</v>
      </c>
      <c r="AS18" s="107">
        <f t="shared" si="9"/>
        <v>0.34490192644404993</v>
      </c>
      <c r="AT18" s="107">
        <f t="shared" si="10"/>
        <v>0</v>
      </c>
      <c r="AU18" s="107">
        <v>0.23436609009693973</v>
      </c>
      <c r="AV18" s="121"/>
      <c r="AW18" s="122">
        <f t="shared" si="11"/>
        <v>1492.8833817596203</v>
      </c>
      <c r="AX18" s="121">
        <v>0</v>
      </c>
      <c r="AY18" s="107">
        <f t="shared" si="12"/>
        <v>0.5832623349746896</v>
      </c>
      <c r="AZ18" s="121"/>
      <c r="BA18" s="101">
        <f t="shared" si="13"/>
        <v>0.11527097492750255</v>
      </c>
      <c r="BB18" s="101">
        <f t="shared" si="14"/>
        <v>0.1377901767925104</v>
      </c>
      <c r="BC18" s="101">
        <f t="shared" si="15"/>
        <v>5.74223565399355E-2</v>
      </c>
      <c r="BD18" s="102">
        <f t="shared" si="16"/>
        <v>0.10658789502425882</v>
      </c>
      <c r="BE18" s="102">
        <f t="shared" si="27"/>
        <v>0.10658789502425882</v>
      </c>
      <c r="BF18" s="102">
        <f t="shared" si="17"/>
        <v>1.2286490574916611E-2</v>
      </c>
      <c r="BG18" s="102">
        <f t="shared" si="18"/>
        <v>1.4311556140023388E-2</v>
      </c>
      <c r="BH18" s="102">
        <f t="shared" si="19"/>
        <v>1.4686764899334162E-2</v>
      </c>
      <c r="BI18" s="102">
        <f t="shared" si="28"/>
        <v>1.4686764899334162E-2</v>
      </c>
      <c r="BJ18" s="102">
        <f t="shared" si="20"/>
        <v>1.6759026302891684E-2</v>
      </c>
      <c r="BL18" s="100">
        <v>51291</v>
      </c>
      <c r="BM18" s="100">
        <v>3583.8870000000002</v>
      </c>
      <c r="BN18" s="100">
        <v>3060.5</v>
      </c>
      <c r="BP18" s="99">
        <v>50</v>
      </c>
      <c r="BW18" s="100">
        <f t="shared" si="21"/>
        <v>-631.6592586259394</v>
      </c>
      <c r="BX18" s="100">
        <v>9869.2644996470099</v>
      </c>
      <c r="BY18" s="100">
        <v>-10500.923758272949</v>
      </c>
      <c r="BZ18" s="101">
        <f t="shared" si="22"/>
        <v>-2.8447288750170149E-2</v>
      </c>
      <c r="CA18" s="101">
        <f t="shared" si="23"/>
        <v>0.44447035824978043</v>
      </c>
      <c r="CB18" s="101">
        <f t="shared" si="24"/>
        <v>-0.47291764699995059</v>
      </c>
      <c r="CF18" s="100"/>
      <c r="CG18" s="100"/>
      <c r="CH18" s="100"/>
      <c r="CI18" s="100"/>
      <c r="CJ18" s="100"/>
      <c r="CK18" s="100"/>
      <c r="CL18" s="100">
        <v>1090</v>
      </c>
      <c r="CN18" s="100">
        <v>31</v>
      </c>
      <c r="CO18" s="119">
        <f t="shared" ref="CO18:CO49" si="30">CN18*EN18</f>
        <v>31.673636179727609</v>
      </c>
      <c r="CP18" s="116">
        <f t="shared" ref="CP18:CP49" si="31">CO18/AO18</f>
        <v>0.11609889515177853</v>
      </c>
      <c r="CQ18" s="116"/>
      <c r="CR18" s="100">
        <v>561</v>
      </c>
      <c r="CS18" s="100">
        <v>477</v>
      </c>
      <c r="CT18" s="100">
        <v>241</v>
      </c>
      <c r="CU18" s="100">
        <v>216</v>
      </c>
      <c r="CV18" s="100">
        <f t="shared" ref="CV18:CV49" si="32">CR18-CT18</f>
        <v>320</v>
      </c>
      <c r="CW18" s="101">
        <f t="shared" ref="CW18:CW49" si="33">CV18*EN18/E18</f>
        <v>1.4724624320418673E-2</v>
      </c>
      <c r="CX18" s="100">
        <f t="shared" ref="CX18:CX49" si="34">CS18-CU18</f>
        <v>261</v>
      </c>
      <c r="CY18" s="101">
        <f t="shared" ref="CY18:CY49" si="35">CX18*EN18/E18</f>
        <v>1.2009771711341479E-2</v>
      </c>
      <c r="CZ18" s="100">
        <f t="shared" ref="CZ18:CZ49" si="36">CV18-CX18</f>
        <v>59</v>
      </c>
      <c r="DA18" s="101">
        <f t="shared" ref="DA18:DA49" si="37">CZ18*EN18/E18</f>
        <v>2.7148526090771926E-3</v>
      </c>
      <c r="DB18" s="101"/>
      <c r="DC18" s="100">
        <v>1</v>
      </c>
      <c r="DD18" s="100">
        <v>0</v>
      </c>
      <c r="DE18" s="108">
        <f t="shared" ref="DE18:DF20" si="38">DE19*CT18/CT19</f>
        <v>33.673972602739724</v>
      </c>
      <c r="DF18" s="108">
        <f t="shared" si="38"/>
        <v>31.930434782608696</v>
      </c>
      <c r="DG18" s="100"/>
      <c r="DH18" s="100">
        <f t="shared" ref="DH18:DH49" si="39">DD18+CS18</f>
        <v>477</v>
      </c>
      <c r="DI18" s="100">
        <f t="shared" ref="DI18:DI49" si="40">DF18+CU18</f>
        <v>247.9304347826087</v>
      </c>
      <c r="DJ18" s="100">
        <f t="shared" ref="DJ18:DJ49" si="41">DH18-DI18</f>
        <v>229.0695652173913</v>
      </c>
      <c r="DK18" s="101">
        <f t="shared" ref="DK18:DK49" si="42">DJ18*EN18/E18</f>
        <v>1.0540510284586659E-2</v>
      </c>
      <c r="DL18" s="100">
        <f t="shared" ref="DL18:DL49" si="43">CZ18+DC18-DE18</f>
        <v>26.326027397260276</v>
      </c>
      <c r="DM18" s="101">
        <f t="shared" ref="DM18:DM49" si="44">DL18*EN18/E18</f>
        <v>1.211377697730334E-3</v>
      </c>
      <c r="DN18" s="101"/>
      <c r="DV18" s="101">
        <v>0.46</v>
      </c>
      <c r="DW18" s="102">
        <f t="shared" si="25"/>
        <v>3.999999999999998E-2</v>
      </c>
      <c r="DZ18" s="115"/>
      <c r="EA18" s="115"/>
      <c r="EB18" s="115"/>
      <c r="EN18" s="99">
        <f t="shared" si="26"/>
        <v>1.0217301993460519</v>
      </c>
      <c r="EO18" s="99">
        <v>0.80467792271777405</v>
      </c>
    </row>
    <row r="19" spans="1:145" s="99" customFormat="1">
      <c r="A19" s="98">
        <v>1984</v>
      </c>
      <c r="B19" s="100">
        <f t="shared" si="0"/>
        <v>20349.935436559746</v>
      </c>
      <c r="C19" s="100">
        <v>18843.232018449751</v>
      </c>
      <c r="D19" s="112">
        <v>0.44267178516255745</v>
      </c>
      <c r="E19" s="100">
        <f t="shared" si="1"/>
        <v>24519.217877552823</v>
      </c>
      <c r="F19" s="100">
        <v>23012.514459442828</v>
      </c>
      <c r="G19" s="100">
        <v>-2106.8746794244917</v>
      </c>
      <c r="H19" s="101">
        <f t="shared" si="2"/>
        <v>-9.6201875973592366E-2</v>
      </c>
      <c r="I19" s="126">
        <v>0</v>
      </c>
      <c r="J19" s="101"/>
      <c r="K19" s="101"/>
      <c r="L19" s="101"/>
      <c r="M19" s="101"/>
      <c r="N19" s="101"/>
      <c r="O19" s="101"/>
      <c r="P19" s="101"/>
      <c r="Q19" s="100">
        <v>556.25300000000004</v>
      </c>
      <c r="R19" s="100">
        <v>2618.6607615685834</v>
      </c>
      <c r="S19" s="100">
        <f t="shared" si="3"/>
        <v>0</v>
      </c>
      <c r="T19" s="100">
        <v>-933.4</v>
      </c>
      <c r="U19" s="100">
        <v>573.3034181099938</v>
      </c>
      <c r="V19" s="100">
        <v>3108.2077651752461</v>
      </c>
      <c r="W19" s="100"/>
      <c r="X19" s="100">
        <v>11517.886389507148</v>
      </c>
      <c r="Y19" s="125">
        <v>0.7</v>
      </c>
      <c r="Z19" s="100">
        <v>10065.4285752794</v>
      </c>
      <c r="AA19" s="101">
        <f t="shared" si="4"/>
        <v>0.80101114546244745</v>
      </c>
      <c r="AB19" s="101"/>
      <c r="AD19" s="124">
        <f t="shared" si="5"/>
        <v>8062.5204726550028</v>
      </c>
      <c r="AE19" s="100"/>
      <c r="AG19" s="100">
        <v>3260.5508628856446</v>
      </c>
      <c r="AH19" s="127"/>
      <c r="AI19" s="111">
        <f t="shared" si="6"/>
        <v>0.16022413796104193</v>
      </c>
      <c r="AJ19" s="111"/>
      <c r="AK19" s="128">
        <v>0</v>
      </c>
      <c r="AL19" s="121"/>
      <c r="AM19" s="121"/>
      <c r="AN19" s="121"/>
      <c r="AO19" s="100">
        <v>266.17500000000001</v>
      </c>
      <c r="AP19" s="121"/>
      <c r="AQ19" s="107">
        <f t="shared" si="7"/>
        <v>0.28795640036740627</v>
      </c>
      <c r="AR19" s="107">
        <f t="shared" si="29"/>
        <v>0.40440838245858607</v>
      </c>
      <c r="AS19" s="107">
        <f t="shared" si="9"/>
        <v>0.40440838245858601</v>
      </c>
      <c r="AT19" s="107">
        <f t="shared" si="10"/>
        <v>0</v>
      </c>
      <c r="AU19" s="107">
        <v>0.19833708643686127</v>
      </c>
      <c r="AV19" s="121"/>
      <c r="AW19" s="122">
        <f t="shared" si="11"/>
        <v>2106.8746794244917</v>
      </c>
      <c r="AX19" s="121">
        <v>0</v>
      </c>
      <c r="AY19" s="107">
        <f t="shared" si="12"/>
        <v>0.64617138883086478</v>
      </c>
      <c r="AZ19" s="121"/>
      <c r="BA19" s="101">
        <f t="shared" si="13"/>
        <v>0.13297939922752008</v>
      </c>
      <c r="BB19" s="101">
        <f t="shared" si="14"/>
        <v>0.16022413796104193</v>
      </c>
      <c r="BC19" s="101">
        <f t="shared" si="15"/>
        <v>5.6691884210527371E-2</v>
      </c>
      <c r="BD19" s="102">
        <f t="shared" si="16"/>
        <v>8.1634978625798979E-2</v>
      </c>
      <c r="BE19" s="102">
        <f t="shared" si="27"/>
        <v>8.1634978625798979E-2</v>
      </c>
      <c r="BF19" s="102">
        <f t="shared" si="17"/>
        <v>1.0855770413610192E-2</v>
      </c>
      <c r="BG19" s="102">
        <f t="shared" si="18"/>
        <v>1.8424186573687003E-2</v>
      </c>
      <c r="BH19" s="102">
        <f t="shared" si="19"/>
        <v>1.3079894077786723E-2</v>
      </c>
      <c r="BI19" s="102">
        <f t="shared" si="28"/>
        <v>1.3079894077786723E-2</v>
      </c>
      <c r="BJ19" s="102">
        <f t="shared" si="20"/>
        <v>2.1409407665505229E-2</v>
      </c>
      <c r="BL19" s="100">
        <v>73734</v>
      </c>
      <c r="BM19" s="100">
        <v>4002.0219999999999</v>
      </c>
      <c r="BN19" s="100">
        <v>3444</v>
      </c>
      <c r="BP19" s="99">
        <v>50</v>
      </c>
      <c r="BW19" s="100">
        <f t="shared" si="21"/>
        <v>-197.17862003079063</v>
      </c>
      <c r="BX19" s="100">
        <v>12435.773713882301</v>
      </c>
      <c r="BY19" s="100">
        <v>-12632.952333913092</v>
      </c>
      <c r="BZ19" s="101">
        <f t="shared" si="22"/>
        <v>-8.0417989274978591E-3</v>
      </c>
      <c r="CA19" s="101">
        <f t="shared" si="23"/>
        <v>0.50718476323289119</v>
      </c>
      <c r="CB19" s="101">
        <f t="shared" si="24"/>
        <v>-0.51522656216038909</v>
      </c>
      <c r="CF19" s="100"/>
      <c r="CG19" s="100"/>
      <c r="CH19" s="100"/>
      <c r="CI19" s="100"/>
      <c r="CJ19" s="100"/>
      <c r="CK19" s="100"/>
      <c r="CL19" s="100">
        <v>1306</v>
      </c>
      <c r="CN19" s="100">
        <v>21</v>
      </c>
      <c r="CO19" s="119">
        <f t="shared" si="30"/>
        <v>24.599427463990217</v>
      </c>
      <c r="CP19" s="116">
        <f t="shared" si="31"/>
        <v>9.2418249136809308E-2</v>
      </c>
      <c r="CQ19" s="116"/>
      <c r="CR19" s="100">
        <v>772</v>
      </c>
      <c r="CS19" s="100">
        <v>687</v>
      </c>
      <c r="CT19" s="100">
        <v>312</v>
      </c>
      <c r="CU19" s="100">
        <v>256</v>
      </c>
      <c r="CV19" s="100">
        <f t="shared" si="32"/>
        <v>460</v>
      </c>
      <c r="CW19" s="101">
        <f t="shared" si="33"/>
        <v>2.1976418835344468E-2</v>
      </c>
      <c r="CX19" s="100">
        <f t="shared" si="34"/>
        <v>431</v>
      </c>
      <c r="CY19" s="101">
        <f t="shared" si="35"/>
        <v>2.0590948952246665E-2</v>
      </c>
      <c r="CZ19" s="100">
        <f t="shared" si="36"/>
        <v>29</v>
      </c>
      <c r="DA19" s="101">
        <f t="shared" si="37"/>
        <v>1.3854698830978033E-3</v>
      </c>
      <c r="DB19" s="101"/>
      <c r="DC19" s="100">
        <v>2</v>
      </c>
      <c r="DD19" s="100">
        <v>0</v>
      </c>
      <c r="DE19" s="108">
        <f t="shared" si="38"/>
        <v>43.594520547945201</v>
      </c>
      <c r="DF19" s="108">
        <f t="shared" si="38"/>
        <v>37.843478260869567</v>
      </c>
      <c r="DG19" s="100"/>
      <c r="DH19" s="100">
        <f t="shared" si="39"/>
        <v>687</v>
      </c>
      <c r="DI19" s="100">
        <f t="shared" si="40"/>
        <v>293.84347826086957</v>
      </c>
      <c r="DJ19" s="100">
        <f t="shared" si="41"/>
        <v>393.15652173913043</v>
      </c>
      <c r="DK19" s="101">
        <f t="shared" si="42"/>
        <v>1.8782983455622484E-2</v>
      </c>
      <c r="DL19" s="100">
        <f t="shared" si="43"/>
        <v>-12.594520547945201</v>
      </c>
      <c r="DM19" s="101">
        <f t="shared" si="44"/>
        <v>-6.0170099693912147E-4</v>
      </c>
      <c r="DN19" s="101"/>
      <c r="DV19" s="101">
        <v>0.46</v>
      </c>
      <c r="DW19" s="102">
        <f t="shared" si="25"/>
        <v>3.999999999999998E-2</v>
      </c>
      <c r="DZ19" s="115"/>
      <c r="EA19" s="115"/>
      <c r="EB19" s="115"/>
      <c r="EN19" s="99">
        <f t="shared" si="26"/>
        <v>1.1714013078090579</v>
      </c>
      <c r="EO19" s="99">
        <v>0.92255349958333299</v>
      </c>
    </row>
    <row r="20" spans="1:145" s="99" customFormat="1">
      <c r="A20" s="98">
        <v>1985</v>
      </c>
      <c r="B20" s="100">
        <f t="shared" si="0"/>
        <v>21899.611036002643</v>
      </c>
      <c r="C20" s="100">
        <v>20377.539113805251</v>
      </c>
      <c r="D20" s="112">
        <v>0.47168264124608977</v>
      </c>
      <c r="E20" s="100">
        <f t="shared" si="1"/>
        <v>26520.08581621098</v>
      </c>
      <c r="F20" s="100">
        <v>24998.013894013584</v>
      </c>
      <c r="G20" s="100">
        <v>-2577.2476378554534</v>
      </c>
      <c r="H20" s="101">
        <f t="shared" si="2"/>
        <v>-0.10883312680887579</v>
      </c>
      <c r="I20" s="126">
        <v>0</v>
      </c>
      <c r="J20" s="101"/>
      <c r="K20" s="101"/>
      <c r="L20" s="101"/>
      <c r="M20" s="101"/>
      <c r="N20" s="101"/>
      <c r="O20" s="101"/>
      <c r="P20" s="101"/>
      <c r="Q20" s="100">
        <v>796.13099999999986</v>
      </c>
      <c r="R20" s="100">
        <v>2839.3581423528753</v>
      </c>
      <c r="S20" s="100">
        <f t="shared" si="3"/>
        <v>0</v>
      </c>
      <c r="T20" s="100">
        <v>-1037.5999999999999</v>
      </c>
      <c r="U20" s="100">
        <v>484.47192219739554</v>
      </c>
      <c r="V20" s="100">
        <v>3311.307424927083</v>
      </c>
      <c r="W20" s="100"/>
      <c r="X20" s="100">
        <v>12360.532903708248</v>
      </c>
      <c r="Y20" s="125">
        <v>0.7</v>
      </c>
      <c r="Z20" s="100">
        <v>10782.265734950775</v>
      </c>
      <c r="AA20" s="101">
        <f t="shared" si="4"/>
        <v>0.80246334539400721</v>
      </c>
      <c r="AB20" s="101"/>
      <c r="AD20" s="124">
        <f t="shared" si="5"/>
        <v>8652.3730325957731</v>
      </c>
      <c r="AE20" s="100"/>
      <c r="AG20" s="100">
        <v>3909.0545850484064</v>
      </c>
      <c r="AH20" s="127"/>
      <c r="AI20" s="111">
        <f t="shared" si="6"/>
        <v>0.1784988134548133</v>
      </c>
      <c r="AJ20" s="111"/>
      <c r="AK20" s="128">
        <v>0</v>
      </c>
      <c r="AL20" s="121"/>
      <c r="AM20" s="121"/>
      <c r="AN20" s="121"/>
      <c r="AO20" s="100">
        <v>276.19299999999998</v>
      </c>
      <c r="AP20" s="121"/>
      <c r="AQ20" s="107">
        <f t="shared" si="7"/>
        <v>0.31119508896883857</v>
      </c>
      <c r="AR20" s="107">
        <f t="shared" si="29"/>
        <v>0.45178988126401459</v>
      </c>
      <c r="AS20" s="107">
        <f t="shared" si="9"/>
        <v>0.45178988126401465</v>
      </c>
      <c r="AT20" s="107">
        <f t="shared" si="10"/>
        <v>0</v>
      </c>
      <c r="AU20" s="107">
        <v>0.21783481408358016</v>
      </c>
      <c r="AV20" s="121"/>
      <c r="AW20" s="122">
        <f t="shared" si="11"/>
        <v>2577.2476378554534</v>
      </c>
      <c r="AX20" s="121">
        <v>0</v>
      </c>
      <c r="AY20" s="107">
        <f t="shared" si="12"/>
        <v>0.65930203372269847</v>
      </c>
      <c r="AZ20" s="121"/>
      <c r="BA20" s="101">
        <f t="shared" si="13"/>
        <v>0.14739977133327795</v>
      </c>
      <c r="BB20" s="101">
        <f t="shared" si="14"/>
        <v>0.1784988134548133</v>
      </c>
      <c r="BC20" s="101">
        <f t="shared" si="15"/>
        <v>6.0814182726966322E-2</v>
      </c>
      <c r="BD20" s="102">
        <f t="shared" si="16"/>
        <v>7.0654679793011863E-2</v>
      </c>
      <c r="BE20" s="102">
        <f t="shared" si="27"/>
        <v>7.0654679793011863E-2</v>
      </c>
      <c r="BF20" s="102">
        <f t="shared" si="17"/>
        <v>1.0414483645115921E-2</v>
      </c>
      <c r="BG20" s="102">
        <f t="shared" si="18"/>
        <v>1.8760426274281029E-2</v>
      </c>
      <c r="BH20" s="102">
        <f t="shared" si="19"/>
        <v>1.261177650808239E-2</v>
      </c>
      <c r="BI20" s="102">
        <f t="shared" si="28"/>
        <v>1.261177650808239E-2</v>
      </c>
      <c r="BJ20" s="102">
        <f t="shared" si="20"/>
        <v>2.1873948211280605E-2</v>
      </c>
      <c r="BL20" s="100">
        <v>80588</v>
      </c>
      <c r="BM20" s="100">
        <v>4295.6379999999999</v>
      </c>
      <c r="BN20" s="100">
        <v>3684.2</v>
      </c>
      <c r="BP20" s="99">
        <v>50</v>
      </c>
      <c r="BW20" s="100">
        <f t="shared" si="21"/>
        <v>289.54247628095618</v>
      </c>
      <c r="BX20" s="100">
        <v>13667.813190039158</v>
      </c>
      <c r="BY20" s="100">
        <v>-13378.270713758202</v>
      </c>
      <c r="BZ20" s="101">
        <f t="shared" si="22"/>
        <v>1.0917855933330617E-2</v>
      </c>
      <c r="CA20" s="101">
        <f t="shared" si="23"/>
        <v>0.51537590356078</v>
      </c>
      <c r="CB20" s="101">
        <f t="shared" si="24"/>
        <v>-0.50445804762744928</v>
      </c>
      <c r="CF20" s="100"/>
      <c r="CG20" s="100"/>
      <c r="CH20" s="100"/>
      <c r="CI20" s="100"/>
      <c r="CJ20" s="100"/>
      <c r="CK20" s="100"/>
      <c r="CL20" s="100">
        <v>1483</v>
      </c>
      <c r="CN20" s="100">
        <v>23</v>
      </c>
      <c r="CO20" s="119">
        <f t="shared" si="30"/>
        <v>27.615717577343986</v>
      </c>
      <c r="CP20" s="116">
        <f t="shared" si="31"/>
        <v>9.9987029277874478E-2</v>
      </c>
      <c r="CQ20" s="116"/>
      <c r="CR20" s="100">
        <v>798</v>
      </c>
      <c r="CS20" s="100">
        <v>708</v>
      </c>
      <c r="CT20" s="100">
        <v>393</v>
      </c>
      <c r="CU20" s="100">
        <v>362</v>
      </c>
      <c r="CV20" s="100">
        <f t="shared" si="32"/>
        <v>405</v>
      </c>
      <c r="CW20" s="101">
        <f t="shared" si="33"/>
        <v>1.8336168646128304E-2</v>
      </c>
      <c r="CX20" s="100">
        <f t="shared" si="34"/>
        <v>346</v>
      </c>
      <c r="CY20" s="101">
        <f t="shared" si="35"/>
        <v>1.5664973707556526E-2</v>
      </c>
      <c r="CZ20" s="100">
        <f t="shared" si="36"/>
        <v>59</v>
      </c>
      <c r="DA20" s="101">
        <f t="shared" si="37"/>
        <v>2.6711949385717776E-3</v>
      </c>
      <c r="DB20" s="101"/>
      <c r="DC20" s="100">
        <v>3</v>
      </c>
      <c r="DD20" s="100">
        <v>2</v>
      </c>
      <c r="DE20" s="108">
        <f t="shared" si="38"/>
        <v>54.912328767123284</v>
      </c>
      <c r="DF20" s="108">
        <f t="shared" si="38"/>
        <v>53.513043478260869</v>
      </c>
      <c r="DG20" s="100"/>
      <c r="DH20" s="100">
        <f t="shared" si="39"/>
        <v>710</v>
      </c>
      <c r="DI20" s="100">
        <f t="shared" si="40"/>
        <v>415.5130434782609</v>
      </c>
      <c r="DJ20" s="100">
        <f t="shared" si="41"/>
        <v>294.4869565217391</v>
      </c>
      <c r="DK20" s="101">
        <f t="shared" si="42"/>
        <v>1.333274691078435E-2</v>
      </c>
      <c r="DL20" s="100">
        <f t="shared" si="43"/>
        <v>7.0876712328767155</v>
      </c>
      <c r="DM20" s="101">
        <f t="shared" si="44"/>
        <v>3.2089070378849276E-4</v>
      </c>
      <c r="DN20" s="101"/>
      <c r="DO20" s="100">
        <v>1341.8000000000002</v>
      </c>
      <c r="DQ20" s="100">
        <v>901.10000000000014</v>
      </c>
      <c r="DS20" s="100">
        <f t="shared" ref="DS20:DS51" si="45">DO20-DQ20</f>
        <v>440.70000000000005</v>
      </c>
      <c r="DT20" s="101">
        <f t="shared" ref="DT20:DT51" si="46">DS20*EN20/E20</f>
        <v>1.9952467956416656E-2</v>
      </c>
      <c r="DU20" s="101">
        <f t="shared" ref="DU20:DU50" si="47">-DT20/BZ20</f>
        <v>-1.8275078988269748</v>
      </c>
      <c r="DV20" s="101">
        <v>0.46</v>
      </c>
      <c r="DW20" s="102">
        <f t="shared" si="25"/>
        <v>3.999999999999998E-2</v>
      </c>
      <c r="DX20" s="101"/>
      <c r="DY20" s="101"/>
      <c r="DZ20" s="114"/>
      <c r="EA20" s="114"/>
      <c r="EB20" s="114"/>
      <c r="EC20" s="101"/>
      <c r="ED20" s="101"/>
      <c r="EE20" s="101"/>
      <c r="EF20" s="101"/>
      <c r="EG20" s="101"/>
      <c r="EH20" s="101"/>
      <c r="EI20" s="101"/>
      <c r="EJ20" s="101"/>
      <c r="EK20" s="101"/>
      <c r="EL20" s="101"/>
      <c r="EM20" s="101"/>
      <c r="EN20" s="99">
        <f t="shared" si="26"/>
        <v>1.2006833729279993</v>
      </c>
      <c r="EO20" s="99">
        <v>0.94561499991666698</v>
      </c>
    </row>
    <row r="21" spans="1:145" s="99" customFormat="1">
      <c r="A21" s="98">
        <v>1986</v>
      </c>
      <c r="B21" s="100">
        <f t="shared" si="0"/>
        <v>23406.294975584678</v>
      </c>
      <c r="C21" s="100">
        <v>21891.969029739728</v>
      </c>
      <c r="D21" s="112">
        <v>0.50024983452426774</v>
      </c>
      <c r="E21" s="100">
        <f t="shared" si="1"/>
        <v>28138.885634678838</v>
      </c>
      <c r="F21" s="100">
        <v>26624.559688833884</v>
      </c>
      <c r="G21" s="100">
        <v>-2509.1434783799577</v>
      </c>
      <c r="H21" s="101">
        <f t="shared" si="2"/>
        <v>-9.9926866517074109E-2</v>
      </c>
      <c r="I21" s="126">
        <v>0</v>
      </c>
      <c r="J21" s="101"/>
      <c r="K21" s="101"/>
      <c r="L21" s="101"/>
      <c r="M21" s="101"/>
      <c r="N21" s="101"/>
      <c r="O21" s="101"/>
      <c r="P21" s="101"/>
      <c r="Q21" s="100">
        <v>805.6400000000001</v>
      </c>
      <c r="R21" s="100">
        <v>3029.0871807142021</v>
      </c>
      <c r="S21" s="100">
        <f t="shared" si="3"/>
        <v>0</v>
      </c>
      <c r="T21" s="100">
        <v>-1020.4</v>
      </c>
      <c r="U21" s="100">
        <v>493.92594584495055</v>
      </c>
      <c r="V21" s="100">
        <v>3546.0299569017679</v>
      </c>
      <c r="W21" s="100"/>
      <c r="X21" s="100">
        <v>13216.006281988128</v>
      </c>
      <c r="Y21" s="125">
        <v>0.69999999999999984</v>
      </c>
      <c r="Z21" s="100">
        <v>11503.888069388646</v>
      </c>
      <c r="AA21" s="101">
        <f t="shared" si="4"/>
        <v>0.80418066844797864</v>
      </c>
      <c r="AB21" s="101"/>
      <c r="AD21" s="124">
        <f t="shared" si="5"/>
        <v>9251.204397391688</v>
      </c>
      <c r="AE21" s="100"/>
      <c r="AG21" s="100">
        <v>4226.6266768223541</v>
      </c>
      <c r="AH21" s="127"/>
      <c r="AI21" s="111">
        <f t="shared" si="6"/>
        <v>0.18057649368390799</v>
      </c>
      <c r="AJ21" s="111"/>
      <c r="AK21" s="128">
        <v>0</v>
      </c>
      <c r="AL21" s="121"/>
      <c r="AM21" s="121"/>
      <c r="AN21" s="121"/>
      <c r="AO21" s="100">
        <v>327.529</v>
      </c>
      <c r="AP21" s="121"/>
      <c r="AQ21" s="107">
        <f t="shared" si="7"/>
        <v>0.31359843090100675</v>
      </c>
      <c r="AR21" s="107">
        <f t="shared" si="29"/>
        <v>0.45687312648870043</v>
      </c>
      <c r="AS21" s="107">
        <f t="shared" si="9"/>
        <v>0.45687312648870032</v>
      </c>
      <c r="AT21" s="107">
        <f t="shared" si="10"/>
        <v>0</v>
      </c>
      <c r="AU21" s="107">
        <v>0.24223784417106037</v>
      </c>
      <c r="AV21" s="121"/>
      <c r="AW21" s="122">
        <f t="shared" si="11"/>
        <v>2509.1434783799577</v>
      </c>
      <c r="AX21" s="121">
        <v>0</v>
      </c>
      <c r="AY21" s="107">
        <f t="shared" si="12"/>
        <v>0.59365155009771819</v>
      </c>
      <c r="AZ21" s="121"/>
      <c r="BA21" s="101">
        <f t="shared" si="13"/>
        <v>0.15020590124625929</v>
      </c>
      <c r="BB21" s="101">
        <f t="shared" si="14"/>
        <v>0.18057649368390799</v>
      </c>
      <c r="BC21" s="101">
        <f t="shared" si="15"/>
        <v>7.3376978297245196E-2</v>
      </c>
      <c r="BD21" s="102">
        <f t="shared" si="16"/>
        <v>7.7491821502967836E-2</v>
      </c>
      <c r="BE21" s="102">
        <f t="shared" si="27"/>
        <v>7.7491821502967836E-2</v>
      </c>
      <c r="BF21" s="102">
        <f t="shared" si="17"/>
        <v>1.163972888806754E-2</v>
      </c>
      <c r="BG21" s="102">
        <f t="shared" si="18"/>
        <v>1.846231972329563E-2</v>
      </c>
      <c r="BH21" s="102">
        <f t="shared" si="19"/>
        <v>1.3993201416185198E-2</v>
      </c>
      <c r="BI21" s="102">
        <f t="shared" si="28"/>
        <v>1.3993201416185198E-2</v>
      </c>
      <c r="BJ21" s="102">
        <f t="shared" si="20"/>
        <v>2.1653760199573827E-2</v>
      </c>
      <c r="BL21" s="100">
        <v>83328</v>
      </c>
      <c r="BM21" s="100">
        <v>4513.4089999999997</v>
      </c>
      <c r="BN21" s="100">
        <v>3848.2</v>
      </c>
      <c r="BP21" s="99">
        <v>50</v>
      </c>
      <c r="BW21" s="100">
        <f t="shared" si="21"/>
        <v>443.12619215708219</v>
      </c>
      <c r="BX21" s="100">
        <v>13177.3</v>
      </c>
      <c r="BY21" s="100">
        <v>-12734.173807842917</v>
      </c>
      <c r="BZ21" s="101">
        <f t="shared" si="22"/>
        <v>1.5747823062721645E-2</v>
      </c>
      <c r="CA21" s="101">
        <f t="shared" si="23"/>
        <v>0.46829501960660702</v>
      </c>
      <c r="CB21" s="101">
        <f t="shared" si="24"/>
        <v>-0.45254719654388537</v>
      </c>
      <c r="CF21" s="100"/>
      <c r="CG21" s="100"/>
      <c r="CH21" s="100"/>
      <c r="CI21" s="100"/>
      <c r="CJ21" s="100"/>
      <c r="CK21" s="100"/>
      <c r="CL21" s="100">
        <v>1124</v>
      </c>
      <c r="CN21" s="100">
        <v>34</v>
      </c>
      <c r="CO21" s="119">
        <f t="shared" si="30"/>
        <v>32.081663620565031</v>
      </c>
      <c r="CP21" s="116">
        <f t="shared" si="31"/>
        <v>9.7950604742068736E-2</v>
      </c>
      <c r="CQ21" s="116"/>
      <c r="CR21" s="100">
        <v>804</v>
      </c>
      <c r="CS21" s="100">
        <v>731</v>
      </c>
      <c r="CT21" s="100">
        <v>365</v>
      </c>
      <c r="CU21" s="100">
        <v>345</v>
      </c>
      <c r="CV21" s="100">
        <f t="shared" si="32"/>
        <v>439</v>
      </c>
      <c r="CW21" s="101">
        <f t="shared" si="33"/>
        <v>1.4720941597328088E-2</v>
      </c>
      <c r="CX21" s="100">
        <f t="shared" si="34"/>
        <v>386</v>
      </c>
      <c r="CY21" s="101">
        <f t="shared" si="35"/>
        <v>1.2943698078744056E-2</v>
      </c>
      <c r="CZ21" s="100">
        <f t="shared" si="36"/>
        <v>53</v>
      </c>
      <c r="DA21" s="101">
        <f t="shared" si="37"/>
        <v>1.7772435185840288E-3</v>
      </c>
      <c r="DB21" s="101"/>
      <c r="DC21" s="100">
        <v>11</v>
      </c>
      <c r="DD21" s="100">
        <v>2</v>
      </c>
      <c r="DE21" s="100">
        <v>51</v>
      </c>
      <c r="DF21" s="100">
        <v>51</v>
      </c>
      <c r="DG21" s="100"/>
      <c r="DH21" s="100">
        <f t="shared" si="39"/>
        <v>733</v>
      </c>
      <c r="DI21" s="100">
        <f t="shared" si="40"/>
        <v>396</v>
      </c>
      <c r="DJ21" s="100">
        <f t="shared" si="41"/>
        <v>337</v>
      </c>
      <c r="DK21" s="101">
        <f t="shared" si="42"/>
        <v>1.1300586146468259E-2</v>
      </c>
      <c r="DL21" s="100">
        <f t="shared" si="43"/>
        <v>13</v>
      </c>
      <c r="DM21" s="101">
        <f t="shared" si="44"/>
        <v>4.3592765550174291E-4</v>
      </c>
      <c r="DN21" s="101"/>
      <c r="DO21" s="100">
        <v>1433.9</v>
      </c>
      <c r="DQ21" s="100">
        <v>1002.9999999999999</v>
      </c>
      <c r="DS21" s="100">
        <f t="shared" si="45"/>
        <v>430.9000000000002</v>
      </c>
      <c r="DT21" s="101">
        <f t="shared" si="46"/>
        <v>1.4449325135053931E-2</v>
      </c>
      <c r="DU21" s="101">
        <f t="shared" si="47"/>
        <v>-0.91754429024913753</v>
      </c>
      <c r="DV21" s="101">
        <v>0.46</v>
      </c>
      <c r="DW21" s="102">
        <f t="shared" si="25"/>
        <v>3.999999999999998E-2</v>
      </c>
      <c r="DX21" s="101"/>
      <c r="DY21" s="101"/>
      <c r="DZ21" s="114"/>
      <c r="EA21" s="114"/>
      <c r="EB21" s="114"/>
      <c r="EC21" s="101"/>
      <c r="ED21" s="101"/>
      <c r="EE21" s="101"/>
      <c r="EF21" s="101"/>
      <c r="EG21" s="101"/>
      <c r="EH21" s="101"/>
      <c r="EI21" s="101"/>
      <c r="EJ21" s="101"/>
      <c r="EK21" s="101"/>
      <c r="EL21" s="101"/>
      <c r="EM21" s="101"/>
      <c r="EN21" s="99">
        <f t="shared" si="26"/>
        <v>0.94357834178132449</v>
      </c>
      <c r="EO21" s="99">
        <v>0.74312833316666704</v>
      </c>
    </row>
    <row r="22" spans="1:145" s="99" customFormat="1">
      <c r="A22" s="98">
        <v>1987</v>
      </c>
      <c r="B22" s="100">
        <f t="shared" si="0"/>
        <v>24645.948260264002</v>
      </c>
      <c r="C22" s="100">
        <v>23178.776820186162</v>
      </c>
      <c r="D22" s="112">
        <v>0.51578493289672955</v>
      </c>
      <c r="E22" s="100">
        <f t="shared" si="1"/>
        <v>29917.88342542556</v>
      </c>
      <c r="F22" s="100">
        <v>28450.71198534772</v>
      </c>
      <c r="G22" s="100">
        <v>-2583.0503277692924</v>
      </c>
      <c r="H22" s="101">
        <f t="shared" si="2"/>
        <v>-9.6990268822496645E-2</v>
      </c>
      <c r="I22" s="126">
        <v>0</v>
      </c>
      <c r="J22" s="101"/>
      <c r="K22" s="101"/>
      <c r="L22" s="101"/>
      <c r="M22" s="101"/>
      <c r="N22" s="101"/>
      <c r="O22" s="101"/>
      <c r="P22" s="101"/>
      <c r="Q22" s="100">
        <v>596.94200000000001</v>
      </c>
      <c r="R22" s="100">
        <v>3285.8268373922629</v>
      </c>
      <c r="S22" s="100">
        <f t="shared" si="3"/>
        <v>0</v>
      </c>
      <c r="T22" s="100">
        <v>-1041.5597970450654</v>
      </c>
      <c r="U22" s="100">
        <v>425.61164303277474</v>
      </c>
      <c r="V22" s="100">
        <v>3494.6963449875611</v>
      </c>
      <c r="W22" s="100"/>
      <c r="X22" s="100">
        <v>13916.629590993167</v>
      </c>
      <c r="Y22" s="125">
        <v>0.7</v>
      </c>
      <c r="Z22" s="100">
        <v>12124.915869791455</v>
      </c>
      <c r="AA22" s="101">
        <f t="shared" si="4"/>
        <v>0.80343986039243087</v>
      </c>
      <c r="AB22" s="101"/>
      <c r="AD22" s="124">
        <f t="shared" si="5"/>
        <v>9741.6407136952166</v>
      </c>
      <c r="AE22" s="100"/>
      <c r="AG22" s="100">
        <v>4741.4619416981686</v>
      </c>
      <c r="AH22" s="127"/>
      <c r="AI22" s="111">
        <f t="shared" si="6"/>
        <v>0.19238301937615848</v>
      </c>
      <c r="AJ22" s="111"/>
      <c r="AK22" s="128">
        <v>0</v>
      </c>
      <c r="AL22" s="121"/>
      <c r="AM22" s="121"/>
      <c r="AN22" s="121"/>
      <c r="AO22" s="100">
        <v>324.697</v>
      </c>
      <c r="AP22" s="121"/>
      <c r="AQ22" s="107">
        <f t="shared" si="7"/>
        <v>0.32737888106679192</v>
      </c>
      <c r="AR22" s="107">
        <f t="shared" si="29"/>
        <v>0.48672108539503184</v>
      </c>
      <c r="AS22" s="107">
        <f t="shared" si="9"/>
        <v>0.48672108539503195</v>
      </c>
      <c r="AT22" s="107">
        <f t="shared" si="10"/>
        <v>0</v>
      </c>
      <c r="AU22" s="107">
        <v>0.24970843592069455</v>
      </c>
      <c r="AV22" s="121"/>
      <c r="AW22" s="122">
        <f t="shared" si="11"/>
        <v>2583.0503277692924</v>
      </c>
      <c r="AX22" s="121">
        <v>0</v>
      </c>
      <c r="AY22" s="107">
        <f t="shared" si="12"/>
        <v>0.544779302150038</v>
      </c>
      <c r="AZ22" s="121"/>
      <c r="BA22" s="101">
        <f t="shared" si="13"/>
        <v>0.15848253281409144</v>
      </c>
      <c r="BB22" s="101">
        <f t="shared" si="14"/>
        <v>0.19238301937615848</v>
      </c>
      <c r="BC22" s="101">
        <f t="shared" si="15"/>
        <v>8.7576732334897628E-2</v>
      </c>
      <c r="BD22" s="102">
        <f t="shared" si="16"/>
        <v>6.8480355635567716E-2</v>
      </c>
      <c r="BE22" s="102">
        <f t="shared" si="27"/>
        <v>6.8480355635567716E-2</v>
      </c>
      <c r="BF22" s="102">
        <f t="shared" si="17"/>
        <v>1.0852940209134512E-2</v>
      </c>
      <c r="BG22" s="102">
        <f t="shared" si="18"/>
        <v>2.2085240975829534E-2</v>
      </c>
      <c r="BH22" s="102">
        <f t="shared" si="19"/>
        <v>1.3174457585123646E-2</v>
      </c>
      <c r="BI22" s="102">
        <f t="shared" si="28"/>
        <v>1.3174457585123646E-2</v>
      </c>
      <c r="BJ22" s="102">
        <f t="shared" si="20"/>
        <v>2.5894591182753935E-2</v>
      </c>
      <c r="BL22" s="100">
        <v>106665</v>
      </c>
      <c r="BM22" s="100">
        <v>4829.6959999999999</v>
      </c>
      <c r="BN22" s="100">
        <v>4119.2</v>
      </c>
      <c r="BP22" s="99">
        <v>50</v>
      </c>
      <c r="BW22" s="100">
        <f t="shared" si="21"/>
        <v>1345.8498590590716</v>
      </c>
      <c r="BX22" s="100">
        <v>15052.7</v>
      </c>
      <c r="BY22" s="100">
        <v>-13706.850140940929</v>
      </c>
      <c r="BZ22" s="101">
        <f t="shared" si="22"/>
        <v>4.4984795211659524E-2</v>
      </c>
      <c r="CA22" s="101">
        <f t="shared" si="23"/>
        <v>0.50313385428888802</v>
      </c>
      <c r="CB22" s="101">
        <f t="shared" si="24"/>
        <v>-0.45814905907722847</v>
      </c>
      <c r="CF22" s="100"/>
      <c r="CG22" s="100"/>
      <c r="CH22" s="100"/>
      <c r="CI22" s="100"/>
      <c r="CJ22" s="100"/>
      <c r="CK22" s="100"/>
      <c r="CL22" s="100">
        <v>2373</v>
      </c>
      <c r="CN22" s="100">
        <v>57</v>
      </c>
      <c r="CO22" s="100">
        <f t="shared" si="30"/>
        <v>48.702391170749323</v>
      </c>
      <c r="CP22" s="116">
        <f t="shared" si="31"/>
        <v>0.14999335124977847</v>
      </c>
      <c r="CQ22" s="116"/>
      <c r="CR22" s="100">
        <v>1090</v>
      </c>
      <c r="CS22" s="100">
        <v>960</v>
      </c>
      <c r="CT22" s="100">
        <v>473</v>
      </c>
      <c r="CU22" s="100">
        <v>439</v>
      </c>
      <c r="CV22" s="100">
        <f t="shared" si="32"/>
        <v>617</v>
      </c>
      <c r="CW22" s="101">
        <f t="shared" si="33"/>
        <v>1.7620966571367032E-2</v>
      </c>
      <c r="CX22" s="100">
        <f t="shared" si="34"/>
        <v>521</v>
      </c>
      <c r="CY22" s="101">
        <f t="shared" si="35"/>
        <v>1.4879292680198091E-2</v>
      </c>
      <c r="CZ22" s="100">
        <f t="shared" si="36"/>
        <v>96</v>
      </c>
      <c r="DA22" s="101">
        <f t="shared" si="37"/>
        <v>2.7416738911689381E-3</v>
      </c>
      <c r="DB22" s="101"/>
      <c r="DC22" s="100">
        <v>82</v>
      </c>
      <c r="DD22" s="100">
        <v>5</v>
      </c>
      <c r="DE22" s="108">
        <f>DE23*CT22/CT23</f>
        <v>10.732576985413289</v>
      </c>
      <c r="DF22" s="108">
        <f>DF23*CU22/CU23</f>
        <v>1.4982935153583619</v>
      </c>
      <c r="DG22" s="100"/>
      <c r="DH22" s="100">
        <f t="shared" si="39"/>
        <v>965</v>
      </c>
      <c r="DI22" s="100">
        <f t="shared" si="40"/>
        <v>440.49829351535834</v>
      </c>
      <c r="DJ22" s="100">
        <f t="shared" si="41"/>
        <v>524.50170648464166</v>
      </c>
      <c r="DK22" s="101">
        <f t="shared" si="42"/>
        <v>1.497929827648433E-2</v>
      </c>
      <c r="DL22" s="100">
        <f t="shared" si="43"/>
        <v>167.26742301458671</v>
      </c>
      <c r="DM22" s="101">
        <f t="shared" si="44"/>
        <v>4.7770075679396118E-3</v>
      </c>
      <c r="DN22" s="101"/>
      <c r="DO22" s="100">
        <v>1810.5</v>
      </c>
      <c r="DQ22" s="100">
        <v>1111.7000000000003</v>
      </c>
      <c r="DS22" s="100">
        <f t="shared" si="45"/>
        <v>698.79999999999973</v>
      </c>
      <c r="DT22" s="101">
        <f t="shared" si="46"/>
        <v>1.9957101199467218E-2</v>
      </c>
      <c r="DU22" s="101">
        <f t="shared" si="47"/>
        <v>-0.44364103705632907</v>
      </c>
      <c r="DV22" s="101">
        <v>0.4</v>
      </c>
      <c r="DW22" s="102">
        <f t="shared" si="25"/>
        <v>9.9999999999999978E-2</v>
      </c>
      <c r="DX22" s="101"/>
      <c r="DY22" s="101"/>
      <c r="DZ22" s="114"/>
      <c r="EA22" s="114"/>
      <c r="EB22" s="114"/>
      <c r="EC22" s="101"/>
      <c r="ED22" s="101"/>
      <c r="EE22" s="101"/>
      <c r="EF22" s="101"/>
      <c r="EG22" s="101"/>
      <c r="EH22" s="101"/>
      <c r="EI22" s="101"/>
      <c r="EJ22" s="101"/>
      <c r="EK22" s="101"/>
      <c r="EL22" s="101"/>
      <c r="EM22" s="101"/>
      <c r="EN22" s="99">
        <f t="shared" si="26"/>
        <v>0.85442791527630391</v>
      </c>
      <c r="EO22" s="99">
        <v>0.67291666666666705</v>
      </c>
    </row>
    <row r="23" spans="1:145" s="99" customFormat="1">
      <c r="A23" s="98">
        <v>1988</v>
      </c>
      <c r="B23" s="100">
        <f t="shared" si="0"/>
        <v>26094.796235983384</v>
      </c>
      <c r="C23" s="100">
        <v>24543.160849204764</v>
      </c>
      <c r="D23" s="112">
        <v>0.53489805789395828</v>
      </c>
      <c r="E23" s="100">
        <f t="shared" si="1"/>
        <v>31940.939180693684</v>
      </c>
      <c r="F23" s="100">
        <v>30389.303793915064</v>
      </c>
      <c r="G23" s="100">
        <v>-3199.0866859055086</v>
      </c>
      <c r="H23" s="101">
        <f t="shared" si="2"/>
        <v>-0.11218582614493175</v>
      </c>
      <c r="I23" s="126">
        <v>0</v>
      </c>
      <c r="J23" s="101"/>
      <c r="K23" s="101"/>
      <c r="L23" s="101"/>
      <c r="M23" s="101"/>
      <c r="N23" s="101"/>
      <c r="O23" s="101"/>
      <c r="P23" s="101"/>
      <c r="Q23" s="100">
        <v>777.92154034465784</v>
      </c>
      <c r="R23" s="100">
        <v>3424.9777991494566</v>
      </c>
      <c r="S23" s="100">
        <f t="shared" si="3"/>
        <v>0</v>
      </c>
      <c r="T23" s="100">
        <v>-1225.1557689279853</v>
      </c>
      <c r="U23" s="100">
        <v>326.47961785063853</v>
      </c>
      <c r="V23" s="100">
        <v>3710.3784223318048</v>
      </c>
      <c r="W23" s="100"/>
      <c r="X23" s="100">
        <v>14789.783452670872</v>
      </c>
      <c r="Y23" s="125">
        <v>0.7</v>
      </c>
      <c r="Z23" s="100">
        <v>12914.387838231016</v>
      </c>
      <c r="AA23" s="101">
        <f t="shared" si="4"/>
        <v>0.80165227702250275</v>
      </c>
      <c r="AB23" s="101"/>
      <c r="AD23" s="124">
        <f t="shared" si="5"/>
        <v>10352.84841686961</v>
      </c>
      <c r="AE23" s="100"/>
      <c r="AG23" s="100">
        <v>5284.0633897237576</v>
      </c>
      <c r="AH23" s="127"/>
      <c r="AI23" s="111">
        <f t="shared" si="6"/>
        <v>0.20249490902087619</v>
      </c>
      <c r="AJ23" s="111"/>
      <c r="AK23" s="128">
        <v>0</v>
      </c>
      <c r="AL23" s="121"/>
      <c r="AM23" s="121"/>
      <c r="AN23" s="121"/>
      <c r="AO23" s="100">
        <v>425.197</v>
      </c>
      <c r="AP23" s="121"/>
      <c r="AQ23" s="107">
        <f t="shared" si="7"/>
        <v>0.33792243987049347</v>
      </c>
      <c r="AR23" s="107">
        <f t="shared" si="29"/>
        <v>0.51039705952939074</v>
      </c>
      <c r="AS23" s="107">
        <f t="shared" si="9"/>
        <v>0.51039705952939063</v>
      </c>
      <c r="AT23" s="107">
        <f t="shared" si="10"/>
        <v>0</v>
      </c>
      <c r="AU23" s="107">
        <v>0.25274104216118454</v>
      </c>
      <c r="AV23" s="121"/>
      <c r="AW23" s="122">
        <f t="shared" si="11"/>
        <v>3199.0866859055086</v>
      </c>
      <c r="AX23" s="121">
        <v>0</v>
      </c>
      <c r="AY23" s="107">
        <f t="shared" si="12"/>
        <v>0.60542170862805489</v>
      </c>
      <c r="AZ23" s="121"/>
      <c r="BA23" s="101">
        <f t="shared" si="13"/>
        <v>0.16543231117379437</v>
      </c>
      <c r="BB23" s="101">
        <f t="shared" si="14"/>
        <v>0.20249490902087619</v>
      </c>
      <c r="BC23" s="101">
        <f t="shared" si="15"/>
        <v>7.9900095212974809E-2</v>
      </c>
      <c r="BD23" s="102">
        <f t="shared" si="16"/>
        <v>8.0467808320942302E-2</v>
      </c>
      <c r="BE23" s="102">
        <f t="shared" si="27"/>
        <v>8.0467808320942302E-2</v>
      </c>
      <c r="BF23" s="102">
        <f t="shared" si="17"/>
        <v>1.3311975505623366E-2</v>
      </c>
      <c r="BG23" s="102">
        <f t="shared" si="18"/>
        <v>2.2479588670546204E-2</v>
      </c>
      <c r="BH23" s="102">
        <f t="shared" si="19"/>
        <v>1.6294321525058518E-2</v>
      </c>
      <c r="BI23" s="102">
        <f t="shared" si="28"/>
        <v>1.6294321525058518E-2</v>
      </c>
      <c r="BJ23" s="102">
        <f t="shared" si="20"/>
        <v>2.6280767347665466E-2</v>
      </c>
      <c r="BL23" s="100">
        <v>118090</v>
      </c>
      <c r="BM23" s="100">
        <v>5253.2099999999991</v>
      </c>
      <c r="BN23" s="100">
        <v>4493.3999999999996</v>
      </c>
      <c r="BP23" s="99">
        <v>47</v>
      </c>
      <c r="BW23" s="100">
        <f t="shared" si="21"/>
        <v>1907.1057930530133</v>
      </c>
      <c r="BX23" s="100">
        <v>17348.939708772876</v>
      </c>
      <c r="BY23" s="100">
        <v>-15441.833915719862</v>
      </c>
      <c r="BZ23" s="101">
        <f t="shared" si="22"/>
        <v>5.9707254763683978E-2</v>
      </c>
      <c r="CA23" s="101">
        <f t="shared" si="23"/>
        <v>0.54315684365534356</v>
      </c>
      <c r="CB23" s="101">
        <f t="shared" si="24"/>
        <v>-0.48344958889165957</v>
      </c>
      <c r="CF23" s="100"/>
      <c r="CG23" s="100"/>
      <c r="CH23" s="100"/>
      <c r="CI23" s="100"/>
      <c r="CJ23" s="100"/>
      <c r="CK23" s="100"/>
      <c r="CL23" s="100">
        <v>2919</v>
      </c>
      <c r="CM23" s="99">
        <v>2917</v>
      </c>
      <c r="CN23" s="100">
        <v>56</v>
      </c>
      <c r="CO23" s="100">
        <f t="shared" si="30"/>
        <v>46.678339792067689</v>
      </c>
      <c r="CP23" s="101">
        <f t="shared" si="31"/>
        <v>0.10978050125487171</v>
      </c>
      <c r="CQ23" s="101"/>
      <c r="CR23" s="100">
        <v>1218</v>
      </c>
      <c r="CS23" s="100">
        <v>1118</v>
      </c>
      <c r="CT23" s="100">
        <v>1053</v>
      </c>
      <c r="CU23" s="100">
        <v>1021</v>
      </c>
      <c r="CV23" s="100">
        <f t="shared" si="32"/>
        <v>165</v>
      </c>
      <c r="CW23" s="101">
        <f t="shared" si="33"/>
        <v>4.3058969948300847E-3</v>
      </c>
      <c r="CX23" s="100">
        <f t="shared" si="34"/>
        <v>97</v>
      </c>
      <c r="CY23" s="101">
        <f t="shared" si="35"/>
        <v>2.5313455060516259E-3</v>
      </c>
      <c r="CZ23" s="100">
        <f t="shared" si="36"/>
        <v>68</v>
      </c>
      <c r="DA23" s="101">
        <f t="shared" si="37"/>
        <v>1.7745514887784592E-3</v>
      </c>
      <c r="DB23" s="101"/>
      <c r="DC23" s="100">
        <v>77</v>
      </c>
      <c r="DD23" s="100">
        <v>6</v>
      </c>
      <c r="DE23" s="108">
        <f>DE24*CT23/CT24</f>
        <v>23.893030794165316</v>
      </c>
      <c r="DF23" s="108">
        <f>DF24*CU23/CU24</f>
        <v>3.4846416382252561</v>
      </c>
      <c r="DG23" s="100"/>
      <c r="DH23" s="100">
        <f t="shared" si="39"/>
        <v>1124</v>
      </c>
      <c r="DI23" s="100">
        <f t="shared" si="40"/>
        <v>1024.4846416382252</v>
      </c>
      <c r="DJ23" s="100">
        <f t="shared" si="41"/>
        <v>99.515358361774815</v>
      </c>
      <c r="DK23" s="101">
        <f t="shared" si="42"/>
        <v>2.5969871667236677E-3</v>
      </c>
      <c r="DL23" s="100">
        <f t="shared" si="43"/>
        <v>121.10696920583469</v>
      </c>
      <c r="DM23" s="101">
        <f t="shared" si="44"/>
        <v>3.1604493015538375E-3</v>
      </c>
      <c r="DN23" s="101"/>
      <c r="DO23" s="100">
        <v>2183.3999999999996</v>
      </c>
      <c r="DQ23" s="100">
        <v>1374.9999999999998</v>
      </c>
      <c r="DS23" s="100">
        <f t="shared" si="45"/>
        <v>808.39999999999986</v>
      </c>
      <c r="DT23" s="101">
        <f t="shared" si="46"/>
        <v>2.1096285640125091E-2</v>
      </c>
      <c r="DU23" s="101">
        <f t="shared" si="47"/>
        <v>-0.35332868214461238</v>
      </c>
      <c r="DV23" s="101">
        <v>0.34</v>
      </c>
      <c r="DW23" s="102">
        <f t="shared" si="25"/>
        <v>0.12999999999999995</v>
      </c>
      <c r="DX23" s="101"/>
      <c r="DY23" s="101"/>
      <c r="DZ23" s="114"/>
      <c r="EA23" s="114"/>
      <c r="EB23" s="114"/>
      <c r="EC23" s="101"/>
      <c r="ED23" s="101"/>
      <c r="EE23" s="101"/>
      <c r="EF23" s="101"/>
      <c r="EG23" s="101"/>
      <c r="EH23" s="101"/>
      <c r="EI23" s="101"/>
      <c r="EJ23" s="101"/>
      <c r="EK23" s="101"/>
      <c r="EL23" s="101"/>
      <c r="EM23" s="101"/>
      <c r="EN23" s="99">
        <f t="shared" si="26"/>
        <v>0.83354178200120876</v>
      </c>
      <c r="EO23" s="99">
        <v>0.65646749999999998</v>
      </c>
    </row>
    <row r="24" spans="1:145" s="99" customFormat="1">
      <c r="A24" s="98">
        <v>1989</v>
      </c>
      <c r="B24" s="100">
        <f t="shared" si="0"/>
        <v>28289.047017560828</v>
      </c>
      <c r="C24" s="100">
        <v>26927.842763409088</v>
      </c>
      <c r="D24" s="112">
        <v>0.5617333812510189</v>
      </c>
      <c r="E24" s="100">
        <f t="shared" si="1"/>
        <v>35066.908749412571</v>
      </c>
      <c r="F24" s="100">
        <v>33705.704495260834</v>
      </c>
      <c r="G24" s="100">
        <v>-3843.0767099647123</v>
      </c>
      <c r="H24" s="101">
        <f t="shared" si="2"/>
        <v>-0.12291201356824441</v>
      </c>
      <c r="I24" s="126">
        <v>0</v>
      </c>
      <c r="J24" s="101"/>
      <c r="K24" s="101"/>
      <c r="L24" s="101"/>
      <c r="M24" s="101"/>
      <c r="N24" s="101"/>
      <c r="O24" s="101"/>
      <c r="P24" s="101"/>
      <c r="Q24" s="100">
        <v>865.23127009360496</v>
      </c>
      <c r="R24" s="100">
        <v>3800.0162919806371</v>
      </c>
      <c r="S24" s="100">
        <f t="shared" si="3"/>
        <v>0</v>
      </c>
      <c r="T24" s="100">
        <v>-1239.4548252586455</v>
      </c>
      <c r="U24" s="100">
        <v>121.74942889309386</v>
      </c>
      <c r="V24" s="100">
        <v>4862.0806548971577</v>
      </c>
      <c r="W24" s="100"/>
      <c r="X24" s="100">
        <v>15795.6805856261</v>
      </c>
      <c r="Y24" s="125">
        <v>0.70000000000000007</v>
      </c>
      <c r="Z24" s="100">
        <v>13787.202599105476</v>
      </c>
      <c r="AA24" s="101">
        <f t="shared" si="4"/>
        <v>0.80197388342256282</v>
      </c>
      <c r="AB24" s="101"/>
      <c r="AD24" s="124">
        <f t="shared" si="5"/>
        <v>11056.97640993827</v>
      </c>
      <c r="AE24" s="100"/>
      <c r="AG24" s="100">
        <v>6167.1945819395041</v>
      </c>
      <c r="AH24" s="127"/>
      <c r="AI24" s="111">
        <f t="shared" si="6"/>
        <v>0.21800644532532787</v>
      </c>
      <c r="AJ24" s="111"/>
      <c r="AK24" s="128">
        <v>0</v>
      </c>
      <c r="AL24" s="121"/>
      <c r="AM24" s="121"/>
      <c r="AN24" s="121"/>
      <c r="AO24" s="100">
        <v>384.78100000000001</v>
      </c>
      <c r="AP24" s="121"/>
      <c r="AQ24" s="107">
        <f t="shared" si="7"/>
        <v>0.35805465382616702</v>
      </c>
      <c r="AR24" s="107">
        <f t="shared" si="29"/>
        <v>0.55776501217785768</v>
      </c>
      <c r="AS24" s="107">
        <f t="shared" si="9"/>
        <v>0.55776501217785779</v>
      </c>
      <c r="AT24" s="107">
        <f t="shared" si="10"/>
        <v>0</v>
      </c>
      <c r="AU24" s="107">
        <v>0.22421346077260057</v>
      </c>
      <c r="AV24" s="121"/>
      <c r="AW24" s="122">
        <f t="shared" si="11"/>
        <v>3843.0767099647123</v>
      </c>
      <c r="AX24" s="121">
        <v>0</v>
      </c>
      <c r="AY24" s="107">
        <f t="shared" si="12"/>
        <v>0.62314828223826102</v>
      </c>
      <c r="AZ24" s="121"/>
      <c r="BA24" s="101">
        <f t="shared" si="13"/>
        <v>0.1758693538118844</v>
      </c>
      <c r="BB24" s="101">
        <f t="shared" si="14"/>
        <v>0.21800644532532787</v>
      </c>
      <c r="BC24" s="101">
        <f t="shared" si="15"/>
        <v>8.2156103403980441E-2</v>
      </c>
      <c r="BD24" s="102">
        <f t="shared" si="16"/>
        <v>6.2391577708091589E-2</v>
      </c>
      <c r="BE24" s="102">
        <f t="shared" si="27"/>
        <v>6.2391577708091589E-2</v>
      </c>
      <c r="BF24" s="102">
        <f t="shared" si="17"/>
        <v>1.097276645482604E-2</v>
      </c>
      <c r="BG24" s="102">
        <f t="shared" si="18"/>
        <v>2.3175242412177485E-2</v>
      </c>
      <c r="BH24" s="102">
        <f t="shared" si="19"/>
        <v>1.3601766074380016E-2</v>
      </c>
      <c r="BI24" s="102">
        <f t="shared" si="28"/>
        <v>1.3601766074380016E-2</v>
      </c>
      <c r="BJ24" s="102">
        <f t="shared" si="20"/>
        <v>2.7106770942244156E-2</v>
      </c>
      <c r="BL24" s="100">
        <v>129630</v>
      </c>
      <c r="BM24" s="100">
        <v>5593.4690000000001</v>
      </c>
      <c r="BN24" s="100">
        <v>4782.2</v>
      </c>
      <c r="BP24" s="99">
        <v>43</v>
      </c>
      <c r="BW24" s="100">
        <f t="shared" si="21"/>
        <v>1900.9192604029595</v>
      </c>
      <c r="BX24" s="100">
        <v>20562.360664022224</v>
      </c>
      <c r="BY24" s="100">
        <v>-18661.441403619265</v>
      </c>
      <c r="BZ24" s="101">
        <f t="shared" si="22"/>
        <v>5.4208349928614764E-2</v>
      </c>
      <c r="CA24" s="101">
        <f t="shared" si="23"/>
        <v>0.58637505834804093</v>
      </c>
      <c r="CB24" s="101">
        <f t="shared" si="24"/>
        <v>-0.53216670841942615</v>
      </c>
      <c r="CF24" s="100"/>
      <c r="CG24" s="100"/>
      <c r="CH24" s="100"/>
      <c r="CI24" s="100"/>
      <c r="CJ24" s="100"/>
      <c r="CK24" s="100"/>
      <c r="CL24" s="100"/>
      <c r="CM24" s="99" t="s">
        <v>65</v>
      </c>
      <c r="CN24" s="100">
        <v>58</v>
      </c>
      <c r="CO24" s="119">
        <f t="shared" si="30"/>
        <v>51.959603706280774</v>
      </c>
      <c r="CP24" s="116">
        <f t="shared" si="31"/>
        <v>0.13503682278044074</v>
      </c>
      <c r="CQ24" s="116"/>
      <c r="CR24" s="100">
        <v>1305</v>
      </c>
      <c r="CS24" s="100">
        <v>1170</v>
      </c>
      <c r="CT24" s="100">
        <v>617</v>
      </c>
      <c r="CU24" s="100">
        <v>586</v>
      </c>
      <c r="CV24" s="100">
        <f t="shared" si="32"/>
        <v>688</v>
      </c>
      <c r="CW24" s="101">
        <f t="shared" si="33"/>
        <v>1.7576354020517212E-2</v>
      </c>
      <c r="CX24" s="100">
        <f t="shared" si="34"/>
        <v>584</v>
      </c>
      <c r="CY24" s="101">
        <f t="shared" si="35"/>
        <v>1.4919463296485538E-2</v>
      </c>
      <c r="CZ24" s="100">
        <f t="shared" si="36"/>
        <v>104</v>
      </c>
      <c r="DA24" s="101">
        <f t="shared" si="37"/>
        <v>2.6568907240316713E-3</v>
      </c>
      <c r="DB24" s="101"/>
      <c r="DC24" s="100">
        <v>171</v>
      </c>
      <c r="DD24" s="100">
        <v>7</v>
      </c>
      <c r="DE24" s="100">
        <v>14</v>
      </c>
      <c r="DF24" s="100">
        <v>2</v>
      </c>
      <c r="DG24" s="100"/>
      <c r="DH24" s="100">
        <f t="shared" si="39"/>
        <v>1177</v>
      </c>
      <c r="DI24" s="100">
        <f t="shared" si="40"/>
        <v>588</v>
      </c>
      <c r="DJ24" s="100">
        <f t="shared" si="41"/>
        <v>589</v>
      </c>
      <c r="DK24" s="101">
        <f t="shared" si="42"/>
        <v>1.50471984274486E-2</v>
      </c>
      <c r="DL24" s="100">
        <f t="shared" si="43"/>
        <v>261</v>
      </c>
      <c r="DM24" s="101">
        <f t="shared" si="44"/>
        <v>6.6677738362717906E-3</v>
      </c>
      <c r="DN24" s="101"/>
      <c r="DO24" s="100">
        <v>2482.8999999999996</v>
      </c>
      <c r="DQ24" s="100">
        <v>1565.5000000000002</v>
      </c>
      <c r="DS24" s="100">
        <f t="shared" si="45"/>
        <v>917.39999999999941</v>
      </c>
      <c r="DT24" s="101">
        <f t="shared" si="46"/>
        <v>2.3436841829102439E-2</v>
      </c>
      <c r="DU24" s="101">
        <f t="shared" si="47"/>
        <v>-0.43234744942367115</v>
      </c>
      <c r="DV24" s="101">
        <v>0.34</v>
      </c>
      <c r="DW24" s="102">
        <f t="shared" si="25"/>
        <v>8.9999999999999969E-2</v>
      </c>
      <c r="DX24" s="101"/>
      <c r="DY24" s="101"/>
      <c r="DZ24" s="114"/>
      <c r="EA24" s="114"/>
      <c r="EB24" s="114"/>
      <c r="EC24" s="101"/>
      <c r="ED24" s="101"/>
      <c r="EE24" s="101"/>
      <c r="EF24" s="101"/>
      <c r="EG24" s="101"/>
      <c r="EH24" s="101"/>
      <c r="EI24" s="101"/>
      <c r="EJ24" s="101"/>
      <c r="EK24" s="101"/>
      <c r="EL24" s="101"/>
      <c r="EM24" s="101"/>
      <c r="EN24" s="99">
        <f t="shared" si="26"/>
        <v>0.89585523631518571</v>
      </c>
      <c r="EO24" s="99">
        <v>0.70554333333333297</v>
      </c>
    </row>
    <row r="25" spans="1:145" s="99" customFormat="1">
      <c r="A25" s="98">
        <v>1990</v>
      </c>
      <c r="B25" s="100">
        <f t="shared" si="0"/>
        <v>31230.226017822908</v>
      </c>
      <c r="C25" s="100">
        <v>29514.436096070061</v>
      </c>
      <c r="D25" s="112">
        <v>0.56538915030016457</v>
      </c>
      <c r="E25" s="100">
        <f t="shared" si="1"/>
        <v>38256.809241072682</v>
      </c>
      <c r="F25" s="100">
        <v>36541.019319319836</v>
      </c>
      <c r="G25" s="100">
        <v>-4136.9945807578806</v>
      </c>
      <c r="H25" s="101">
        <f t="shared" si="2"/>
        <v>-0.12124414533908186</v>
      </c>
      <c r="I25" s="126">
        <v>0</v>
      </c>
      <c r="J25" s="101"/>
      <c r="K25" s="101"/>
      <c r="L25" s="101"/>
      <c r="M25" s="101"/>
      <c r="N25" s="100">
        <v>-226.91906739219485</v>
      </c>
      <c r="P25" s="101"/>
      <c r="Q25" s="100">
        <v>1246.0300933567867</v>
      </c>
      <c r="R25" s="100">
        <v>4135.6187358486641</v>
      </c>
      <c r="S25" s="100">
        <f t="shared" si="3"/>
        <v>0</v>
      </c>
      <c r="T25" s="100">
        <v>-1261.0784647342944</v>
      </c>
      <c r="U25" s="100">
        <v>454.7114570185513</v>
      </c>
      <c r="V25" s="100">
        <v>4799.9337196723045</v>
      </c>
      <c r="W25" s="100"/>
      <c r="X25" s="100">
        <v>16995.705513718352</v>
      </c>
      <c r="Y25" s="125">
        <v>0.7</v>
      </c>
      <c r="Z25" s="100">
        <v>14756.283065206131</v>
      </c>
      <c r="AA25" s="101">
        <f t="shared" si="4"/>
        <v>0.80623242364161418</v>
      </c>
      <c r="AB25" s="101"/>
      <c r="AD25" s="124">
        <f t="shared" si="5"/>
        <v>11896.993859602846</v>
      </c>
      <c r="AE25" s="100"/>
      <c r="AG25" s="100">
        <v>6447.8375534992047</v>
      </c>
      <c r="AH25" s="127"/>
      <c r="AI25" s="111">
        <f t="shared" si="6"/>
        <v>0.20646144378908629</v>
      </c>
      <c r="AJ25" s="111"/>
      <c r="AK25" s="128">
        <v>0</v>
      </c>
      <c r="AL25" s="121"/>
      <c r="AM25" s="121"/>
      <c r="AN25" s="121"/>
      <c r="AO25" s="100">
        <v>603.03700000000003</v>
      </c>
      <c r="AP25" s="121"/>
      <c r="AQ25" s="107">
        <f t="shared" si="7"/>
        <v>0.35147979331628515</v>
      </c>
      <c r="AR25" s="107">
        <f t="shared" si="29"/>
        <v>0.5419719997833512</v>
      </c>
      <c r="AS25" s="107">
        <f t="shared" si="9"/>
        <v>0.5419719997833512</v>
      </c>
      <c r="AT25" s="107">
        <f t="shared" si="10"/>
        <v>0</v>
      </c>
      <c r="AU25" s="107">
        <v>0.18157894736842103</v>
      </c>
      <c r="AV25" s="121"/>
      <c r="AW25" s="122">
        <f t="shared" si="11"/>
        <v>4136.9945807578806</v>
      </c>
      <c r="AX25" s="121">
        <v>0</v>
      </c>
      <c r="AY25" s="107">
        <f t="shared" si="12"/>
        <v>0.64160961662453131</v>
      </c>
      <c r="AZ25" s="121"/>
      <c r="BA25" s="101">
        <f t="shared" si="13"/>
        <v>0.16854091288347114</v>
      </c>
      <c r="BB25" s="101">
        <f t="shared" si="14"/>
        <v>0.20646144378908629</v>
      </c>
      <c r="BC25" s="101">
        <f t="shared" si="15"/>
        <v>7.3993795991823416E-2</v>
      </c>
      <c r="BD25" s="102">
        <f t="shared" si="16"/>
        <v>9.3525464157008006E-2</v>
      </c>
      <c r="BE25" s="102">
        <f t="shared" si="27"/>
        <v>9.3525464157008006E-2</v>
      </c>
      <c r="BF25" s="102">
        <f t="shared" si="17"/>
        <v>1.576286710687249E-2</v>
      </c>
      <c r="BG25" s="102">
        <f t="shared" si="18"/>
        <v>1.9870290639387628E-2</v>
      </c>
      <c r="BH25" s="102">
        <f t="shared" si="19"/>
        <v>1.9309402360900313E-2</v>
      </c>
      <c r="BI25" s="102">
        <f t="shared" si="28"/>
        <v>1.9309402360900313E-2</v>
      </c>
      <c r="BJ25" s="102">
        <f t="shared" si="20"/>
        <v>2.3231865927999838E-2</v>
      </c>
      <c r="BL25" s="100">
        <v>116998</v>
      </c>
      <c r="BM25" s="100">
        <v>5888.0870000000004</v>
      </c>
      <c r="BN25" s="100">
        <v>5036.1000000000004</v>
      </c>
      <c r="BP25" s="99">
        <v>43</v>
      </c>
      <c r="BW25" s="100">
        <f t="shared" si="21"/>
        <v>1678.8553057275385</v>
      </c>
      <c r="BX25" s="100">
        <v>20689.36619754077</v>
      </c>
      <c r="BY25" s="100">
        <v>-19010.510891813232</v>
      </c>
      <c r="BZ25" s="101">
        <f t="shared" si="22"/>
        <v>4.3883829807874093E-2</v>
      </c>
      <c r="CA25" s="101">
        <f t="shared" si="23"/>
        <v>0.54080218941334435</v>
      </c>
      <c r="CB25" s="101">
        <f t="shared" si="24"/>
        <v>-0.49691835960547026</v>
      </c>
      <c r="CF25" s="100"/>
      <c r="CG25" s="100"/>
      <c r="CH25" s="100"/>
      <c r="CI25" s="100"/>
      <c r="CJ25" s="100"/>
      <c r="CK25" s="100"/>
      <c r="CL25" s="100"/>
      <c r="CM25" s="99">
        <v>3739</v>
      </c>
      <c r="CN25" s="100">
        <v>167</v>
      </c>
      <c r="CO25" s="119">
        <f t="shared" si="30"/>
        <v>128.20069437743038</v>
      </c>
      <c r="CP25" s="116">
        <f t="shared" si="31"/>
        <v>0.21259175536066671</v>
      </c>
      <c r="CQ25" s="116"/>
      <c r="CR25" s="100">
        <v>1210</v>
      </c>
      <c r="CS25" s="100">
        <v>1145</v>
      </c>
      <c r="CT25" s="100">
        <v>717</v>
      </c>
      <c r="CU25" s="100">
        <v>674</v>
      </c>
      <c r="CV25" s="100">
        <f t="shared" si="32"/>
        <v>493</v>
      </c>
      <c r="CW25" s="101">
        <f t="shared" si="33"/>
        <v>9.8926371543059857E-3</v>
      </c>
      <c r="CX25" s="100">
        <f t="shared" si="34"/>
        <v>471</v>
      </c>
      <c r="CY25" s="101">
        <f t="shared" si="35"/>
        <v>9.4511807295702237E-3</v>
      </c>
      <c r="CZ25" s="100">
        <f t="shared" si="36"/>
        <v>22</v>
      </c>
      <c r="DA25" s="101">
        <f t="shared" si="37"/>
        <v>4.4145642473576409E-4</v>
      </c>
      <c r="DB25" s="101"/>
      <c r="DC25" s="100">
        <v>140</v>
      </c>
      <c r="DD25" s="100">
        <v>8</v>
      </c>
      <c r="DE25" s="108">
        <f>DE24*CT25/CT24</f>
        <v>16.269043760129659</v>
      </c>
      <c r="DF25" s="108">
        <f>DF24*CU25/CU24</f>
        <v>2.3003412969283277</v>
      </c>
      <c r="DG25" s="100"/>
      <c r="DH25" s="100">
        <f t="shared" si="39"/>
        <v>1153</v>
      </c>
      <c r="DI25" s="100">
        <f t="shared" si="40"/>
        <v>676.30034129692831</v>
      </c>
      <c r="DJ25" s="100">
        <f t="shared" si="41"/>
        <v>476.69965870307169</v>
      </c>
      <c r="DK25" s="101">
        <f t="shared" si="42"/>
        <v>9.565551227446227E-3</v>
      </c>
      <c r="DL25" s="100">
        <f t="shared" si="43"/>
        <v>145.73095623987035</v>
      </c>
      <c r="DM25" s="101">
        <f t="shared" si="44"/>
        <v>2.9242666779535119E-3</v>
      </c>
      <c r="DN25" s="101"/>
      <c r="DO25" s="100">
        <v>2539.5</v>
      </c>
      <c r="DQ25" s="100">
        <v>1755.3</v>
      </c>
      <c r="DS25" s="100">
        <f t="shared" si="45"/>
        <v>784.2</v>
      </c>
      <c r="DT25" s="101">
        <f t="shared" si="46"/>
        <v>1.5735914921717557E-2</v>
      </c>
      <c r="DU25" s="101">
        <f t="shared" si="47"/>
        <v>-0.35858116738238865</v>
      </c>
      <c r="DV25" s="101">
        <v>0.34</v>
      </c>
      <c r="DW25" s="102">
        <f t="shared" si="25"/>
        <v>8.9999999999999969E-2</v>
      </c>
      <c r="DX25" s="101"/>
      <c r="DY25" s="101"/>
      <c r="DZ25" s="114"/>
      <c r="EA25" s="114"/>
      <c r="EB25" s="114"/>
      <c r="EC25" s="101"/>
      <c r="ED25" s="101"/>
      <c r="EE25" s="101"/>
      <c r="EF25" s="101"/>
      <c r="EG25" s="101"/>
      <c r="EH25" s="101"/>
      <c r="EI25" s="101"/>
      <c r="EJ25" s="101"/>
      <c r="EK25" s="101"/>
      <c r="EL25" s="101"/>
      <c r="EM25" s="101"/>
      <c r="EN25" s="99">
        <f t="shared" si="26"/>
        <v>0.76766882860736763</v>
      </c>
      <c r="EO25" s="99">
        <v>0.60458833333333295</v>
      </c>
    </row>
    <row r="26" spans="1:145" s="99" customFormat="1">
      <c r="A26" s="98">
        <v>1991</v>
      </c>
      <c r="B26" s="100">
        <f t="shared" si="0"/>
        <v>32484.713743205259</v>
      </c>
      <c r="C26" s="100">
        <v>30683.076308543707</v>
      </c>
      <c r="D26" s="112">
        <v>0.578747133841093</v>
      </c>
      <c r="E26" s="100">
        <f t="shared" si="1"/>
        <v>39819.913595780279</v>
      </c>
      <c r="F26" s="100">
        <v>38018.276161118723</v>
      </c>
      <c r="G26" s="100">
        <v>-4082.1482444601329</v>
      </c>
      <c r="H26" s="101">
        <f t="shared" si="2"/>
        <v>-0.11550405706323137</v>
      </c>
      <c r="I26" s="126">
        <v>0</v>
      </c>
      <c r="J26" s="101"/>
      <c r="K26" s="101"/>
      <c r="L26" s="101"/>
      <c r="M26" s="101"/>
      <c r="N26" s="100">
        <v>-607.89828668209805</v>
      </c>
      <c r="P26" s="101"/>
      <c r="Q26" s="100">
        <v>1224.8285712512111</v>
      </c>
      <c r="R26" s="100">
        <v>4477.8801793661023</v>
      </c>
      <c r="S26" s="100">
        <f t="shared" si="3"/>
        <v>0</v>
      </c>
      <c r="T26" s="100">
        <v>-1389.7410242215235</v>
      </c>
      <c r="U26" s="100">
        <v>411.89641044002929</v>
      </c>
      <c r="V26" s="100">
        <v>4830.5204402435884</v>
      </c>
      <c r="W26" s="100"/>
      <c r="X26" s="100">
        <v>18031.793615027706</v>
      </c>
      <c r="Y26" s="125">
        <v>0.7</v>
      </c>
      <c r="Z26" s="100">
        <v>15667.902349777287</v>
      </c>
      <c r="AA26" s="101">
        <f t="shared" si="4"/>
        <v>0.80561234355017619</v>
      </c>
      <c r="AB26" s="101"/>
      <c r="AD26" s="124">
        <f t="shared" si="5"/>
        <v>12622.255530519393</v>
      </c>
      <c r="AE26" s="100"/>
      <c r="AG26" s="100">
        <v>6701.6601490939593</v>
      </c>
      <c r="AH26" s="127"/>
      <c r="AI26" s="111">
        <f t="shared" si="6"/>
        <v>0.20630196104146761</v>
      </c>
      <c r="AJ26" s="111"/>
      <c r="AK26" s="128">
        <v>0</v>
      </c>
      <c r="AL26" s="121"/>
      <c r="AM26" s="121"/>
      <c r="AN26" s="121"/>
      <c r="AO26" s="100">
        <v>754.37699999999995</v>
      </c>
      <c r="AP26" s="121"/>
      <c r="AQ26" s="107">
        <f t="shared" si="7"/>
        <v>0.34680653032263958</v>
      </c>
      <c r="AR26" s="107">
        <f t="shared" si="29"/>
        <v>0.5309399839743375</v>
      </c>
      <c r="AS26" s="107">
        <f t="shared" si="9"/>
        <v>0.53093998397433739</v>
      </c>
      <c r="AT26" s="107">
        <f t="shared" si="10"/>
        <v>0</v>
      </c>
      <c r="AU26" s="107">
        <v>0.19015238407340657</v>
      </c>
      <c r="AV26" s="121"/>
      <c r="AW26" s="122">
        <f t="shared" si="11"/>
        <v>4082.1482444601329</v>
      </c>
      <c r="AX26" s="121">
        <v>0</v>
      </c>
      <c r="AY26" s="107">
        <f t="shared" si="12"/>
        <v>0.60912492630830062</v>
      </c>
      <c r="AZ26" s="121"/>
      <c r="BA26" s="101">
        <f t="shared" si="13"/>
        <v>0.16829921373320444</v>
      </c>
      <c r="BB26" s="101">
        <f t="shared" si="14"/>
        <v>0.20630196104146761</v>
      </c>
      <c r="BC26" s="101">
        <f t="shared" si="15"/>
        <v>8.0638294224825754E-2</v>
      </c>
      <c r="BD26" s="102">
        <f t="shared" si="16"/>
        <v>0.11256569017484258</v>
      </c>
      <c r="BE26" s="102">
        <f t="shared" si="27"/>
        <v>0.11256569017484258</v>
      </c>
      <c r="BF26" s="102">
        <f t="shared" si="17"/>
        <v>1.8944717149761505E-2</v>
      </c>
      <c r="BG26" s="102">
        <f t="shared" si="18"/>
        <v>1.8535693369677315E-2</v>
      </c>
      <c r="BH26" s="102">
        <f t="shared" si="19"/>
        <v>2.3222522629056289E-2</v>
      </c>
      <c r="BI26" s="102">
        <f t="shared" si="28"/>
        <v>2.3222522629056289E-2</v>
      </c>
      <c r="BJ26" s="102">
        <f t="shared" si="20"/>
        <v>2.1750448313761783E-2</v>
      </c>
      <c r="BL26" s="100">
        <v>112800</v>
      </c>
      <c r="BM26" s="100">
        <v>6085.5560000000005</v>
      </c>
      <c r="BN26" s="100">
        <v>5186.1000000000004</v>
      </c>
      <c r="BP26" s="99">
        <v>40</v>
      </c>
      <c r="BW26" s="100">
        <f t="shared" si="21"/>
        <v>1875.9135765474239</v>
      </c>
      <c r="BX26" s="100">
        <v>21812.105428892122</v>
      </c>
      <c r="BY26" s="100">
        <v>-19936.191852344698</v>
      </c>
      <c r="BZ26" s="101">
        <f t="shared" si="22"/>
        <v>4.7109935887611136E-2</v>
      </c>
      <c r="CA26" s="101">
        <f t="shared" si="23"/>
        <v>0.54776877846373717</v>
      </c>
      <c r="CB26" s="101">
        <f t="shared" si="24"/>
        <v>-0.50065884257612603</v>
      </c>
      <c r="CF26" s="100"/>
      <c r="CG26" s="100"/>
      <c r="CH26" s="100"/>
      <c r="CI26" s="100"/>
      <c r="CJ26" s="100"/>
      <c r="CK26" s="100"/>
      <c r="CL26" s="100"/>
      <c r="CN26" s="100">
        <v>240</v>
      </c>
      <c r="CO26" s="119">
        <f t="shared" si="30"/>
        <v>189.33242250788504</v>
      </c>
      <c r="CP26" s="116">
        <f t="shared" si="31"/>
        <v>0.25097851937146154</v>
      </c>
      <c r="CQ26" s="116"/>
      <c r="CR26" s="100">
        <v>1013</v>
      </c>
      <c r="CS26" s="100">
        <v>917</v>
      </c>
      <c r="CT26" s="100">
        <v>997</v>
      </c>
      <c r="CU26" s="100">
        <v>944</v>
      </c>
      <c r="CV26" s="100">
        <f t="shared" si="32"/>
        <v>16</v>
      </c>
      <c r="CW26" s="101">
        <f t="shared" si="33"/>
        <v>3.1698113734388516E-4</v>
      </c>
      <c r="CX26" s="100">
        <f t="shared" si="34"/>
        <v>-27</v>
      </c>
      <c r="CY26" s="101">
        <f t="shared" si="35"/>
        <v>-5.3490566926780623E-4</v>
      </c>
      <c r="CZ26" s="100">
        <f t="shared" si="36"/>
        <v>43</v>
      </c>
      <c r="DA26" s="101">
        <f t="shared" si="37"/>
        <v>8.5188680661169144E-4</v>
      </c>
      <c r="DB26" s="101"/>
      <c r="DC26" s="100">
        <v>224</v>
      </c>
      <c r="DD26" s="100">
        <v>23</v>
      </c>
      <c r="DE26" s="100">
        <v>176</v>
      </c>
      <c r="DF26" s="100">
        <v>136</v>
      </c>
      <c r="DG26" s="100"/>
      <c r="DH26" s="100">
        <f t="shared" si="39"/>
        <v>940</v>
      </c>
      <c r="DI26" s="100">
        <f t="shared" si="40"/>
        <v>1080</v>
      </c>
      <c r="DJ26" s="100">
        <f t="shared" si="41"/>
        <v>-140</v>
      </c>
      <c r="DK26" s="101">
        <f t="shared" si="42"/>
        <v>-2.7735849517589953E-3</v>
      </c>
      <c r="DL26" s="100">
        <f t="shared" si="43"/>
        <v>91</v>
      </c>
      <c r="DM26" s="101">
        <f t="shared" si="44"/>
        <v>1.8028302186433472E-3</v>
      </c>
      <c r="DN26" s="101"/>
      <c r="DO26" s="100">
        <v>2680.7</v>
      </c>
      <c r="DQ26" s="100">
        <v>1947.5</v>
      </c>
      <c r="DS26" s="100">
        <f t="shared" si="45"/>
        <v>733.19999999999982</v>
      </c>
      <c r="DT26" s="101">
        <f t="shared" si="46"/>
        <v>1.4525660618783534E-2</v>
      </c>
      <c r="DU26" s="101">
        <f t="shared" si="47"/>
        <v>-0.30833539348126049</v>
      </c>
      <c r="DV26" s="101">
        <v>0.34</v>
      </c>
      <c r="DW26" s="102">
        <f t="shared" si="25"/>
        <v>0.06</v>
      </c>
      <c r="DX26" s="101"/>
      <c r="DY26" s="101"/>
      <c r="DZ26" s="114"/>
      <c r="EA26" s="114"/>
      <c r="EB26" s="114"/>
      <c r="EC26" s="101"/>
      <c r="ED26" s="101"/>
      <c r="EE26" s="101"/>
      <c r="EF26" s="101"/>
      <c r="EG26" s="101"/>
      <c r="EH26" s="101"/>
      <c r="EI26" s="101"/>
      <c r="EJ26" s="101"/>
      <c r="EK26" s="101"/>
      <c r="EL26" s="101"/>
      <c r="EM26" s="101"/>
      <c r="EN26" s="99">
        <f t="shared" si="26"/>
        <v>0.78888509378285432</v>
      </c>
      <c r="EO26" s="99">
        <v>0.62129749999999995</v>
      </c>
    </row>
    <row r="27" spans="1:145" s="99" customFormat="1">
      <c r="A27" s="98">
        <v>1992</v>
      </c>
      <c r="B27" s="100">
        <f t="shared" si="0"/>
        <v>34048.355428417097</v>
      </c>
      <c r="C27" s="100">
        <v>32272.15869635843</v>
      </c>
      <c r="D27" s="112">
        <v>0.59505867467479545</v>
      </c>
      <c r="E27" s="100">
        <f t="shared" si="1"/>
        <v>42265.343714393806</v>
      </c>
      <c r="F27" s="100">
        <v>40489.146982335136</v>
      </c>
      <c r="G27" s="100">
        <v>-4491.0013662381725</v>
      </c>
      <c r="H27" s="101">
        <f t="shared" si="2"/>
        <v>-0.11958766200152277</v>
      </c>
      <c r="I27" s="126">
        <v>0</v>
      </c>
      <c r="J27" s="101"/>
      <c r="K27" s="101"/>
      <c r="L27" s="101"/>
      <c r="M27" s="101"/>
      <c r="N27" s="100">
        <v>-836.37631782940764</v>
      </c>
      <c r="P27" s="101"/>
      <c r="Q27" s="100">
        <v>985.30405148026057</v>
      </c>
      <c r="R27" s="100">
        <v>4711.2909712187893</v>
      </c>
      <c r="S27" s="100">
        <f t="shared" si="3"/>
        <v>0</v>
      </c>
      <c r="T27" s="100">
        <v>-1441.6923577004534</v>
      </c>
      <c r="U27" s="100">
        <v>334.50437435821368</v>
      </c>
      <c r="V27" s="100">
        <v>5129.3913891442462</v>
      </c>
      <c r="W27" s="100"/>
      <c r="X27" s="100">
        <v>19292.759057232775</v>
      </c>
      <c r="Y27" s="125">
        <v>0.7</v>
      </c>
      <c r="Z27" s="100">
        <v>16842.612462606212</v>
      </c>
      <c r="AA27" s="101">
        <f t="shared" si="4"/>
        <v>0.8018311511973838</v>
      </c>
      <c r="AB27" s="101"/>
      <c r="AD27" s="124">
        <f t="shared" si="5"/>
        <v>13504.931340062942</v>
      </c>
      <c r="AE27" s="100"/>
      <c r="AG27" s="100">
        <v>7279.1989921138857</v>
      </c>
      <c r="AH27" s="127"/>
      <c r="AI27" s="111">
        <f t="shared" si="6"/>
        <v>0.21379003186857576</v>
      </c>
      <c r="AJ27" s="111"/>
      <c r="AK27" s="128">
        <v>0</v>
      </c>
      <c r="AL27" s="121"/>
      <c r="AM27" s="121"/>
      <c r="AN27" s="121"/>
      <c r="AO27" s="100">
        <v>938.00599999999997</v>
      </c>
      <c r="AP27" s="121"/>
      <c r="AQ27" s="107">
        <f t="shared" si="7"/>
        <v>0.35022870217690261</v>
      </c>
      <c r="AR27" s="107">
        <f t="shared" si="29"/>
        <v>0.53900303591472831</v>
      </c>
      <c r="AS27" s="107">
        <f t="shared" si="9"/>
        <v>0.53900303591472831</v>
      </c>
      <c r="AT27" s="107">
        <f t="shared" si="10"/>
        <v>0</v>
      </c>
      <c r="AU27" s="107">
        <v>0.16775154889812566</v>
      </c>
      <c r="AV27" s="121"/>
      <c r="AW27" s="122">
        <f t="shared" si="11"/>
        <v>4491.0013662381725</v>
      </c>
      <c r="AX27" s="121">
        <v>0</v>
      </c>
      <c r="AY27" s="107">
        <f t="shared" si="12"/>
        <v>0.61696367568789079</v>
      </c>
      <c r="AZ27" s="121"/>
      <c r="BA27" s="101">
        <f t="shared" si="13"/>
        <v>0.17222618704588685</v>
      </c>
      <c r="BB27" s="101">
        <f t="shared" si="14"/>
        <v>0.21379003186857576</v>
      </c>
      <c r="BC27" s="101">
        <f t="shared" si="15"/>
        <v>8.1889347981507959E-2</v>
      </c>
      <c r="BD27" s="102">
        <f t="shared" si="16"/>
        <v>0.12886115642891666</v>
      </c>
      <c r="BE27" s="102">
        <f t="shared" si="27"/>
        <v>0.12886115642891666</v>
      </c>
      <c r="BF27" s="102">
        <f t="shared" si="17"/>
        <v>2.2193265630075888E-2</v>
      </c>
      <c r="BG27" s="102">
        <f t="shared" si="18"/>
        <v>1.9658873265027511E-2</v>
      </c>
      <c r="BH27" s="102">
        <f t="shared" si="19"/>
        <v>2.7549230739559619E-2</v>
      </c>
      <c r="BI27" s="102">
        <f t="shared" si="28"/>
        <v>2.7549230739559619E-2</v>
      </c>
      <c r="BJ27" s="102">
        <f t="shared" si="20"/>
        <v>2.2978344273324E-2</v>
      </c>
      <c r="BL27" s="100">
        <v>126374</v>
      </c>
      <c r="BM27" s="100">
        <v>6428.3440000000001</v>
      </c>
      <c r="BN27" s="100">
        <v>5499.7</v>
      </c>
      <c r="BP27" s="99">
        <v>40</v>
      </c>
      <c r="BW27" s="100">
        <f t="shared" si="21"/>
        <v>3053.1944070577119</v>
      </c>
      <c r="BX27" s="100">
        <v>24352.588488046684</v>
      </c>
      <c r="BY27" s="100">
        <v>-21299.394080988972</v>
      </c>
      <c r="BZ27" s="101">
        <f t="shared" si="22"/>
        <v>7.2238721816378415E-2</v>
      </c>
      <c r="CA27" s="101">
        <f t="shared" si="23"/>
        <v>0.5761833773932663</v>
      </c>
      <c r="CB27" s="101">
        <f t="shared" si="24"/>
        <v>-0.50394465557688795</v>
      </c>
      <c r="CF27" s="100"/>
      <c r="CG27" s="100"/>
      <c r="CH27" s="100"/>
      <c r="CI27" s="100"/>
      <c r="CJ27" s="100"/>
      <c r="CK27" s="100"/>
      <c r="CL27" s="100"/>
      <c r="CN27" s="100">
        <v>310</v>
      </c>
      <c r="CO27" s="119">
        <f t="shared" si="30"/>
        <v>231.33797168653368</v>
      </c>
      <c r="CP27" s="116">
        <f t="shared" si="31"/>
        <v>0.2466273901089478</v>
      </c>
      <c r="CQ27" s="116"/>
      <c r="CR27" s="100">
        <v>911</v>
      </c>
      <c r="CS27" s="100">
        <v>834</v>
      </c>
      <c r="CT27" s="100">
        <v>1130</v>
      </c>
      <c r="CU27" s="100">
        <v>1053</v>
      </c>
      <c r="CV27" s="100">
        <f t="shared" si="32"/>
        <v>-219</v>
      </c>
      <c r="CW27" s="101">
        <f t="shared" si="33"/>
        <v>-3.8667397177242261E-3</v>
      </c>
      <c r="CX27" s="100">
        <f t="shared" si="34"/>
        <v>-219</v>
      </c>
      <c r="CY27" s="101">
        <f t="shared" si="35"/>
        <v>-3.8667397177242261E-3</v>
      </c>
      <c r="CZ27" s="100">
        <f t="shared" si="36"/>
        <v>0</v>
      </c>
      <c r="DA27" s="101">
        <f t="shared" si="37"/>
        <v>0</v>
      </c>
      <c r="DB27" s="101"/>
      <c r="DC27" s="100">
        <v>243</v>
      </c>
      <c r="DD27" s="100">
        <v>31</v>
      </c>
      <c r="DE27" s="100">
        <v>271</v>
      </c>
      <c r="DF27" s="100">
        <v>141</v>
      </c>
      <c r="DG27" s="100"/>
      <c r="DH27" s="100">
        <f t="shared" si="39"/>
        <v>865</v>
      </c>
      <c r="DI27" s="100">
        <f t="shared" si="40"/>
        <v>1194</v>
      </c>
      <c r="DJ27" s="100">
        <f t="shared" si="41"/>
        <v>-329</v>
      </c>
      <c r="DK27" s="101">
        <f t="shared" si="42"/>
        <v>-5.8089377494578561E-3</v>
      </c>
      <c r="DL27" s="100">
        <f t="shared" si="43"/>
        <v>-28</v>
      </c>
      <c r="DM27" s="101">
        <f t="shared" si="44"/>
        <v>-4.9437768080492399E-4</v>
      </c>
      <c r="DN27" s="101"/>
      <c r="DO27" s="100">
        <v>2861.6</v>
      </c>
      <c r="DQ27" s="100">
        <v>2262</v>
      </c>
      <c r="DS27" s="100">
        <f t="shared" si="45"/>
        <v>599.59999999999991</v>
      </c>
      <c r="DT27" s="101">
        <f t="shared" si="46"/>
        <v>1.0586744907522583E-2</v>
      </c>
      <c r="DU27" s="101">
        <f t="shared" si="47"/>
        <v>-0.1465522179978867</v>
      </c>
      <c r="DV27" s="101">
        <v>0.34</v>
      </c>
      <c r="DW27" s="102">
        <f t="shared" si="25"/>
        <v>0.06</v>
      </c>
      <c r="DX27" s="101"/>
      <c r="DY27" s="101"/>
      <c r="DZ27" s="114"/>
      <c r="EA27" s="114"/>
      <c r="EB27" s="114"/>
      <c r="EC27" s="101"/>
      <c r="ED27" s="101"/>
      <c r="EE27" s="101"/>
      <c r="EF27" s="101"/>
      <c r="EG27" s="101"/>
      <c r="EH27" s="101"/>
      <c r="EI27" s="101"/>
      <c r="EJ27" s="101"/>
      <c r="EK27" s="101"/>
      <c r="EL27" s="101"/>
      <c r="EM27" s="101"/>
      <c r="EN27" s="99">
        <f t="shared" si="26"/>
        <v>0.74625152156946351</v>
      </c>
      <c r="EO27" s="99">
        <v>0.58772083333333303</v>
      </c>
    </row>
    <row r="28" spans="1:145" s="99" customFormat="1">
      <c r="A28" s="98">
        <v>1993</v>
      </c>
      <c r="B28" s="100">
        <f t="shared" si="0"/>
        <v>37121.097047421274</v>
      </c>
      <c r="C28" s="100">
        <v>34925.142939976504</v>
      </c>
      <c r="D28" s="112">
        <v>0.62635311342517719</v>
      </c>
      <c r="E28" s="100">
        <f t="shared" si="1"/>
        <v>45800.530720168405</v>
      </c>
      <c r="F28" s="100">
        <v>43604.576612723635</v>
      </c>
      <c r="G28" s="100">
        <v>-4661.6465455505841</v>
      </c>
      <c r="H28" s="101">
        <f t="shared" si="2"/>
        <v>-0.11444349584343999</v>
      </c>
      <c r="I28" s="126">
        <v>0</v>
      </c>
      <c r="J28" s="101"/>
      <c r="K28" s="101"/>
      <c r="L28" s="101"/>
      <c r="M28" s="101"/>
      <c r="N28" s="100">
        <v>-691.40030212926638</v>
      </c>
      <c r="P28" s="101"/>
      <c r="Q28" s="100">
        <v>1049.5720728728077</v>
      </c>
      <c r="R28" s="100">
        <v>5067.3592000693552</v>
      </c>
      <c r="S28" s="100">
        <f t="shared" si="3"/>
        <v>0</v>
      </c>
      <c r="T28" s="100">
        <v>-1802.2535311415961</v>
      </c>
      <c r="U28" s="100">
        <v>393.70057630317024</v>
      </c>
      <c r="V28" s="100">
        <v>5088.089348929102</v>
      </c>
      <c r="W28" s="100"/>
      <c r="X28" s="100">
        <v>20775.121463488013</v>
      </c>
      <c r="Y28" s="125">
        <v>0.7</v>
      </c>
      <c r="Z28" s="100">
        <v>18171.207511897443</v>
      </c>
      <c r="AA28" s="101">
        <f t="shared" si="4"/>
        <v>0.80030922628119094</v>
      </c>
      <c r="AB28" s="101"/>
      <c r="AD28" s="124">
        <f t="shared" si="5"/>
        <v>14542.585024441607</v>
      </c>
      <c r="AE28" s="100"/>
      <c r="AG28" s="100">
        <v>8649.7842747163631</v>
      </c>
      <c r="AH28" s="127"/>
      <c r="AI28" s="111">
        <f t="shared" si="6"/>
        <v>0.23301531912342138</v>
      </c>
      <c r="AJ28" s="111"/>
      <c r="AK28" s="128">
        <f t="shared" ref="AK28:AK33" si="48">AK29*I28/I29</f>
        <v>0</v>
      </c>
      <c r="AL28" s="121"/>
      <c r="AM28" s="121"/>
      <c r="AN28" s="121"/>
      <c r="AO28" s="100">
        <v>1209.895</v>
      </c>
      <c r="AP28" s="121"/>
      <c r="AQ28" s="107">
        <f t="shared" si="7"/>
        <v>0.37295819858432511</v>
      </c>
      <c r="AR28" s="107">
        <f t="shared" si="29"/>
        <v>0.59479000880371269</v>
      </c>
      <c r="AS28" s="107">
        <f t="shared" si="9"/>
        <v>0.59479000880371269</v>
      </c>
      <c r="AT28" s="107">
        <f t="shared" si="10"/>
        <v>0</v>
      </c>
      <c r="AU28" s="107">
        <v>0.19526977087952696</v>
      </c>
      <c r="AV28" s="121"/>
      <c r="AW28" s="122">
        <f t="shared" si="11"/>
        <v>4661.6465455505841</v>
      </c>
      <c r="AX28" s="121">
        <v>0</v>
      </c>
      <c r="AY28" s="107">
        <f t="shared" si="12"/>
        <v>0.53893211639702365</v>
      </c>
      <c r="AZ28" s="121"/>
      <c r="BA28" s="101">
        <f t="shared" si="13"/>
        <v>0.18885773022074184</v>
      </c>
      <c r="BB28" s="101">
        <f t="shared" si="14"/>
        <v>0.23301531912342138</v>
      </c>
      <c r="BC28" s="101">
        <f t="shared" si="15"/>
        <v>0.10743588003530803</v>
      </c>
      <c r="BD28" s="102">
        <f t="shared" si="16"/>
        <v>0.13987574274384709</v>
      </c>
      <c r="BE28" s="102">
        <f t="shared" si="27"/>
        <v>0.13987574274384709</v>
      </c>
      <c r="BF28" s="102">
        <f t="shared" si="17"/>
        <v>2.6416615287543362E-2</v>
      </c>
      <c r="BG28" s="102">
        <f t="shared" si="18"/>
        <v>2.2209367307772072E-2</v>
      </c>
      <c r="BH28" s="102">
        <f t="shared" si="19"/>
        <v>3.2593190833083124E-2</v>
      </c>
      <c r="BI28" s="102">
        <f t="shared" si="28"/>
        <v>3.2593190833083124E-2</v>
      </c>
      <c r="BJ28" s="102">
        <f t="shared" si="20"/>
        <v>2.5958851741155208E-2</v>
      </c>
      <c r="BL28" s="100">
        <v>149388</v>
      </c>
      <c r="BM28" s="100">
        <v>6726.3510000000006</v>
      </c>
      <c r="BN28" s="100">
        <v>5754.8</v>
      </c>
      <c r="BP28" s="99">
        <v>40</v>
      </c>
      <c r="BW28" s="100">
        <f t="shared" si="21"/>
        <v>4589.3298830317362</v>
      </c>
      <c r="BX28" s="100">
        <v>28537.071272937821</v>
      </c>
      <c r="BY28" s="100">
        <v>-23947.741389906085</v>
      </c>
      <c r="BZ28" s="101">
        <f t="shared" si="22"/>
        <v>0.10020254811175824</v>
      </c>
      <c r="CA28" s="101">
        <f t="shared" si="23"/>
        <v>0.62307293876774739</v>
      </c>
      <c r="CB28" s="101">
        <f t="shared" si="24"/>
        <v>-0.52287039065598917</v>
      </c>
      <c r="CF28" s="100"/>
      <c r="CG28" s="100"/>
      <c r="CH28" s="100"/>
      <c r="CI28" s="100"/>
      <c r="CJ28" s="100"/>
      <c r="CK28" s="100"/>
      <c r="CL28" s="100"/>
      <c r="CN28" s="100">
        <v>322</v>
      </c>
      <c r="CO28" s="119">
        <f t="shared" si="30"/>
        <v>276.89721311114624</v>
      </c>
      <c r="CP28" s="116">
        <f t="shared" si="31"/>
        <v>0.2288605317908961</v>
      </c>
      <c r="CQ28" s="116"/>
      <c r="CR28" s="100">
        <v>970</v>
      </c>
      <c r="CS28" s="100">
        <v>756</v>
      </c>
      <c r="CT28" s="100">
        <v>958</v>
      </c>
      <c r="CU28" s="100">
        <v>901</v>
      </c>
      <c r="CV28" s="100">
        <f t="shared" si="32"/>
        <v>12</v>
      </c>
      <c r="CW28" s="101">
        <f t="shared" si="33"/>
        <v>2.2530635861451015E-4</v>
      </c>
      <c r="CX28" s="100">
        <f t="shared" si="34"/>
        <v>-145</v>
      </c>
      <c r="CY28" s="101">
        <f t="shared" si="35"/>
        <v>-2.7224518332586642E-3</v>
      </c>
      <c r="CZ28" s="100">
        <f t="shared" si="36"/>
        <v>157</v>
      </c>
      <c r="DA28" s="101">
        <f t="shared" si="37"/>
        <v>2.9477581918731744E-3</v>
      </c>
      <c r="DB28" s="101"/>
      <c r="DC28" s="100">
        <v>239</v>
      </c>
      <c r="DD28" s="100">
        <v>8</v>
      </c>
      <c r="DE28" s="100">
        <v>248</v>
      </c>
      <c r="DF28" s="100">
        <v>169</v>
      </c>
      <c r="DG28" s="100"/>
      <c r="DH28" s="100">
        <f t="shared" si="39"/>
        <v>764</v>
      </c>
      <c r="DI28" s="100">
        <f t="shared" si="40"/>
        <v>1070</v>
      </c>
      <c r="DJ28" s="100">
        <f t="shared" si="41"/>
        <v>-306</v>
      </c>
      <c r="DK28" s="101">
        <f t="shared" si="42"/>
        <v>-5.7453121446700084E-3</v>
      </c>
      <c r="DL28" s="100">
        <f t="shared" si="43"/>
        <v>148</v>
      </c>
      <c r="DM28" s="101">
        <f t="shared" si="44"/>
        <v>2.778778422912292E-3</v>
      </c>
      <c r="DN28" s="101"/>
      <c r="DO28" s="100">
        <v>2728.3999999999996</v>
      </c>
      <c r="DQ28" s="100">
        <v>2519.2999999999997</v>
      </c>
      <c r="DS28" s="100">
        <f t="shared" si="45"/>
        <v>209.09999999999991</v>
      </c>
      <c r="DT28" s="101">
        <f t="shared" si="46"/>
        <v>3.925963298857838E-3</v>
      </c>
      <c r="DU28" s="101">
        <f t="shared" si="47"/>
        <v>-3.9180274083241068E-2</v>
      </c>
      <c r="DV28" s="101">
        <v>0.35</v>
      </c>
      <c r="DW28" s="102">
        <f t="shared" si="25"/>
        <v>5.0000000000000044E-2</v>
      </c>
      <c r="DX28" s="101"/>
      <c r="DY28" s="101"/>
      <c r="DZ28" s="114"/>
      <c r="EA28" s="114"/>
      <c r="EB28" s="114"/>
      <c r="EC28" s="101"/>
      <c r="ED28" s="101"/>
      <c r="EE28" s="101"/>
      <c r="EF28" s="101"/>
      <c r="EG28" s="101"/>
      <c r="EH28" s="101"/>
      <c r="EI28" s="101"/>
      <c r="EJ28" s="101"/>
      <c r="EK28" s="101"/>
      <c r="EL28" s="101"/>
      <c r="EM28" s="101"/>
      <c r="EN28" s="99">
        <f t="shared" si="26"/>
        <v>0.85992923326442927</v>
      </c>
      <c r="EO28" s="99">
        <v>0.67724930666666705</v>
      </c>
    </row>
    <row r="29" spans="1:145" s="99" customFormat="1">
      <c r="A29" s="98">
        <v>1994</v>
      </c>
      <c r="B29" s="100">
        <f t="shared" si="0"/>
        <v>39923.328754131784</v>
      </c>
      <c r="C29" s="100">
        <v>37586.514899004367</v>
      </c>
      <c r="D29" s="112">
        <v>0.63569740414051468</v>
      </c>
      <c r="E29" s="100">
        <f t="shared" si="1"/>
        <v>49200.498165756289</v>
      </c>
      <c r="F29" s="100">
        <v>46863.684310628865</v>
      </c>
      <c r="G29" s="100">
        <v>-4718.0406925659363</v>
      </c>
      <c r="H29" s="101">
        <f t="shared" si="2"/>
        <v>-0.10818178735919511</v>
      </c>
      <c r="I29" s="126">
        <v>1169.3221933297598</v>
      </c>
      <c r="J29" s="101"/>
      <c r="K29" s="101"/>
      <c r="L29" s="101"/>
      <c r="M29" s="101"/>
      <c r="N29" s="100">
        <v>-344.8669040664887</v>
      </c>
      <c r="P29" s="101"/>
      <c r="Q29" s="100">
        <v>1029.2161652894242</v>
      </c>
      <c r="R29" s="100">
        <v>5588.3448843479891</v>
      </c>
      <c r="S29" s="100">
        <f t="shared" si="3"/>
        <v>0</v>
      </c>
      <c r="T29" s="100">
        <v>-1895.4269113367295</v>
      </c>
      <c r="U29" s="100">
        <v>441.3869437906942</v>
      </c>
      <c r="V29" s="100">
        <v>5993.3478422071094</v>
      </c>
      <c r="W29" s="100"/>
      <c r="X29" s="100">
        <v>22088.137699793348</v>
      </c>
      <c r="Y29" s="125">
        <v>0.7</v>
      </c>
      <c r="Z29" s="100">
        <v>19410.103791056983</v>
      </c>
      <c r="AA29" s="101">
        <f t="shared" si="4"/>
        <v>0.79657978938676099</v>
      </c>
      <c r="AB29" s="101"/>
      <c r="AD29" s="124">
        <f t="shared" si="5"/>
        <v>15461.696389855342</v>
      </c>
      <c r="AE29" s="100"/>
      <c r="AG29" s="100">
        <v>9087.2347783771656</v>
      </c>
      <c r="AH29" s="127"/>
      <c r="AI29" s="111">
        <f t="shared" si="6"/>
        <v>0.22761716174372612</v>
      </c>
      <c r="AJ29" s="111"/>
      <c r="AK29" s="123">
        <f t="shared" si="48"/>
        <v>-1320.2486042753796</v>
      </c>
      <c r="AL29" s="121"/>
      <c r="AM29" s="121"/>
      <c r="AN29" s="121"/>
      <c r="AO29" s="100">
        <v>1448.2629999999999</v>
      </c>
      <c r="AP29" s="121"/>
      <c r="AQ29" s="107">
        <f t="shared" si="7"/>
        <v>0.37016824545650617</v>
      </c>
      <c r="AR29" s="107">
        <f t="shared" si="29"/>
        <v>0.67311394042642403</v>
      </c>
      <c r="AS29" s="107">
        <f t="shared" si="9"/>
        <v>0.58772559939408986</v>
      </c>
      <c r="AT29" s="107">
        <f t="shared" si="10"/>
        <v>0.14528606737628</v>
      </c>
      <c r="AU29" s="107">
        <v>0.21863966424621945</v>
      </c>
      <c r="AV29" s="121"/>
      <c r="AW29" s="122">
        <f t="shared" si="11"/>
        <v>4718.0406925659363</v>
      </c>
      <c r="AX29" s="121">
        <v>0</v>
      </c>
      <c r="AY29" s="107">
        <f t="shared" si="12"/>
        <v>0.51919432122436071</v>
      </c>
      <c r="AZ29" s="121"/>
      <c r="BA29" s="101">
        <f t="shared" si="13"/>
        <v>0.18469802374281469</v>
      </c>
      <c r="BB29" s="101">
        <f t="shared" si="14"/>
        <v>0.22761716174372612</v>
      </c>
      <c r="BC29" s="101">
        <f t="shared" si="15"/>
        <v>0.10943962395317672</v>
      </c>
      <c r="BD29" s="102">
        <f t="shared" si="16"/>
        <v>0.15937334462251415</v>
      </c>
      <c r="BE29" s="102">
        <f t="shared" si="27"/>
        <v>0.15937334462251415</v>
      </c>
      <c r="BF29" s="102">
        <f t="shared" si="17"/>
        <v>2.9435941789060904E-2</v>
      </c>
      <c r="BG29" s="102">
        <f t="shared" si="18"/>
        <v>2.3176659230340214E-2</v>
      </c>
      <c r="BH29" s="102">
        <f t="shared" si="19"/>
        <v>3.6276108360581399E-2</v>
      </c>
      <c r="BI29" s="102">
        <f t="shared" si="28"/>
        <v>3.6276108360581399E-2</v>
      </c>
      <c r="BJ29" s="102">
        <f t="shared" si="20"/>
        <v>2.7071268036871765E-2</v>
      </c>
      <c r="BL29" s="100">
        <v>166223</v>
      </c>
      <c r="BM29" s="100">
        <v>7172</v>
      </c>
      <c r="BN29" s="100">
        <v>6140.2</v>
      </c>
      <c r="BP29" s="99">
        <v>40</v>
      </c>
      <c r="BW29" s="100">
        <f t="shared" si="21"/>
        <v>4599.5081034684117</v>
      </c>
      <c r="BX29" s="100">
        <v>32915.613207307593</v>
      </c>
      <c r="BY29" s="100">
        <v>-28316.105103839182</v>
      </c>
      <c r="BZ29" s="101">
        <f t="shared" si="22"/>
        <v>9.3484990496898762E-2</v>
      </c>
      <c r="CA29" s="101">
        <f t="shared" si="23"/>
        <v>0.6690097546657966</v>
      </c>
      <c r="CB29" s="101">
        <f t="shared" si="24"/>
        <v>-0.57552476416889786</v>
      </c>
      <c r="CF29" s="100"/>
      <c r="CG29" s="100"/>
      <c r="CH29" s="100"/>
      <c r="CI29" s="100"/>
      <c r="CJ29" s="100"/>
      <c r="CK29" s="100"/>
      <c r="CL29" s="100"/>
      <c r="CN29" s="100">
        <v>403</v>
      </c>
      <c r="CO29" s="119">
        <f t="shared" si="30"/>
        <v>342.139972080576</v>
      </c>
      <c r="CP29" s="116">
        <f t="shared" si="31"/>
        <v>0.23624160258224924</v>
      </c>
      <c r="CQ29" s="116"/>
      <c r="CR29" s="100">
        <v>1248</v>
      </c>
      <c r="CS29" s="100">
        <v>1065</v>
      </c>
      <c r="CT29" s="100">
        <v>873</v>
      </c>
      <c r="CU29" s="100">
        <v>831</v>
      </c>
      <c r="CV29" s="100">
        <f t="shared" si="32"/>
        <v>375</v>
      </c>
      <c r="CW29" s="101">
        <f t="shared" si="33"/>
        <v>6.4708381468041708E-3</v>
      </c>
      <c r="CX29" s="100">
        <f t="shared" si="34"/>
        <v>234</v>
      </c>
      <c r="CY29" s="101">
        <f t="shared" si="35"/>
        <v>4.0378030036058027E-3</v>
      </c>
      <c r="CZ29" s="100">
        <f t="shared" si="36"/>
        <v>141</v>
      </c>
      <c r="DA29" s="101">
        <f t="shared" si="37"/>
        <v>2.4330351431983682E-3</v>
      </c>
      <c r="DB29" s="101"/>
      <c r="DC29" s="100">
        <v>319</v>
      </c>
      <c r="DD29" s="100">
        <v>45</v>
      </c>
      <c r="DE29" s="100">
        <v>290</v>
      </c>
      <c r="DF29" s="100">
        <v>214</v>
      </c>
      <c r="DG29" s="100"/>
      <c r="DH29" s="100">
        <f t="shared" si="39"/>
        <v>1110</v>
      </c>
      <c r="DI29" s="100">
        <f t="shared" si="40"/>
        <v>1045</v>
      </c>
      <c r="DJ29" s="100">
        <f t="shared" si="41"/>
        <v>65</v>
      </c>
      <c r="DK29" s="101">
        <f t="shared" si="42"/>
        <v>1.1216119454460563E-3</v>
      </c>
      <c r="DL29" s="100">
        <f t="shared" si="43"/>
        <v>170</v>
      </c>
      <c r="DM29" s="101">
        <f t="shared" si="44"/>
        <v>2.9334466265512242E-3</v>
      </c>
      <c r="DN29" s="101"/>
      <c r="DO29" s="100">
        <v>3418.7000000000007</v>
      </c>
      <c r="DQ29" s="100">
        <v>2893.4</v>
      </c>
      <c r="DS29" s="100">
        <f t="shared" si="45"/>
        <v>525.30000000000064</v>
      </c>
      <c r="DT29" s="101">
        <f t="shared" si="46"/>
        <v>9.0643500760432937E-3</v>
      </c>
      <c r="DU29" s="101">
        <f t="shared" si="47"/>
        <v>-9.6960485612329297E-2</v>
      </c>
      <c r="DV29" s="101">
        <v>0.35</v>
      </c>
      <c r="DW29" s="102">
        <f t="shared" si="25"/>
        <v>5.0000000000000044E-2</v>
      </c>
      <c r="DX29" s="101"/>
      <c r="DY29" s="101"/>
      <c r="DZ29" s="114"/>
      <c r="EA29" s="114"/>
      <c r="EB29" s="114"/>
      <c r="EC29" s="101"/>
      <c r="ED29" s="101"/>
      <c r="EE29" s="101"/>
      <c r="EF29" s="101"/>
      <c r="EG29" s="101"/>
      <c r="EH29" s="101"/>
      <c r="EI29" s="101"/>
      <c r="EJ29" s="101"/>
      <c r="EK29" s="101"/>
      <c r="EL29" s="101"/>
      <c r="EM29" s="101"/>
      <c r="EN29" s="99">
        <f t="shared" si="26"/>
        <v>0.84898256099398517</v>
      </c>
      <c r="EO29" s="99">
        <v>0.66862810166666697</v>
      </c>
    </row>
    <row r="30" spans="1:145" s="99" customFormat="1">
      <c r="A30" s="98">
        <v>1995</v>
      </c>
      <c r="B30" s="100">
        <v>43858.406606677781</v>
      </c>
      <c r="C30" s="100">
        <v>41827.798006002136</v>
      </c>
      <c r="D30" s="112">
        <v>0.65710587084511984</v>
      </c>
      <c r="E30" s="100">
        <v>54813</v>
      </c>
      <c r="F30" s="100">
        <v>53088.576018993102</v>
      </c>
      <c r="G30" s="100">
        <v>-5948</v>
      </c>
      <c r="H30" s="101">
        <f t="shared" si="2"/>
        <v>-0.12267412120962909</v>
      </c>
      <c r="I30" s="126">
        <v>1586.6745169120534</v>
      </c>
      <c r="J30" s="101"/>
      <c r="K30" s="101"/>
      <c r="L30" s="101"/>
      <c r="M30" s="101"/>
      <c r="N30" s="100">
        <v>-939.50723015653318</v>
      </c>
      <c r="P30" s="101"/>
      <c r="Q30" s="100">
        <v>1321</v>
      </c>
      <c r="R30" s="100">
        <v>6326.816106040118</v>
      </c>
      <c r="S30" s="100">
        <f t="shared" si="3"/>
        <v>0.77728728210058762</v>
      </c>
      <c r="T30" s="100">
        <v>-2220.6449253647957</v>
      </c>
      <c r="U30" s="100">
        <v>274.09653717303445</v>
      </c>
      <c r="V30" s="100">
        <v>7094.9930902986216</v>
      </c>
      <c r="W30" s="100"/>
      <c r="X30" s="100">
        <v>23828.038651353902</v>
      </c>
      <c r="Y30" s="125">
        <v>0.7</v>
      </c>
      <c r="Z30" s="100">
        <v>21172.879985131673</v>
      </c>
      <c r="AA30" s="101">
        <f t="shared" si="4"/>
        <v>0.7877826288941675</v>
      </c>
      <c r="AB30" s="101"/>
      <c r="AD30" s="124">
        <f t="shared" si="5"/>
        <v>16679.627055947731</v>
      </c>
      <c r="AE30" s="100"/>
      <c r="AG30" s="100">
        <v>12170.466695484674</v>
      </c>
      <c r="AH30" s="121"/>
      <c r="AI30" s="111">
        <f t="shared" si="6"/>
        <v>0.27749450190084257</v>
      </c>
      <c r="AJ30" s="111"/>
      <c r="AK30" s="123">
        <f t="shared" si="48"/>
        <v>-1791.469304475688</v>
      </c>
      <c r="AL30" s="121"/>
      <c r="AM30" s="121"/>
      <c r="AN30" s="121"/>
      <c r="AO30" s="100">
        <v>1458.155</v>
      </c>
      <c r="AP30" s="121"/>
      <c r="AQ30" s="107">
        <f t="shared" si="7"/>
        <v>0.42185189415131147</v>
      </c>
      <c r="AR30" s="107">
        <f t="shared" si="29"/>
        <v>0.83706523851693215</v>
      </c>
      <c r="AS30" s="107">
        <f t="shared" si="9"/>
        <v>0.72966060060346793</v>
      </c>
      <c r="AT30" s="107">
        <f t="shared" si="10"/>
        <v>0.14719807787981831</v>
      </c>
      <c r="AU30" s="107">
        <v>0.21492666625409984</v>
      </c>
      <c r="AV30" s="121"/>
      <c r="AW30" s="122">
        <f t="shared" si="11"/>
        <v>5948</v>
      </c>
      <c r="AX30" s="121">
        <v>0</v>
      </c>
      <c r="AY30" s="107">
        <f t="shared" si="12"/>
        <v>0.48872406858536888</v>
      </c>
      <c r="AZ30" s="121"/>
      <c r="BA30" s="101">
        <f t="shared" si="13"/>
        <v>0.22203613550589593</v>
      </c>
      <c r="BB30" s="101">
        <f t="shared" si="14"/>
        <v>0.27749450190084257</v>
      </c>
      <c r="BC30" s="101">
        <f t="shared" si="15"/>
        <v>0.1418762599217924</v>
      </c>
      <c r="BD30" s="102">
        <f t="shared" si="16"/>
        <v>0.11981093547883298</v>
      </c>
      <c r="BE30" s="102">
        <f t="shared" si="27"/>
        <v>0.11981093547883298</v>
      </c>
      <c r="BF30" s="102">
        <f t="shared" si="17"/>
        <v>2.6602357105066317E-2</v>
      </c>
      <c r="BG30" s="102">
        <f t="shared" si="18"/>
        <v>2.4768783360456324E-2</v>
      </c>
      <c r="BH30" s="102">
        <f t="shared" si="19"/>
        <v>3.3246875862972744E-2</v>
      </c>
      <c r="BI30" s="102">
        <f t="shared" si="28"/>
        <v>3.3246875862972744E-2</v>
      </c>
      <c r="BJ30" s="102">
        <f t="shared" si="20"/>
        <v>2.8950844972605909E-2</v>
      </c>
      <c r="BL30" s="100">
        <v>187587</v>
      </c>
      <c r="BM30" s="100">
        <v>7573.5250000000005</v>
      </c>
      <c r="BN30" s="100">
        <v>6479.5</v>
      </c>
      <c r="BP30" s="99">
        <v>38</v>
      </c>
      <c r="BW30" s="100">
        <f t="shared" si="21"/>
        <v>5988.8852055198004</v>
      </c>
      <c r="BX30" s="100">
        <v>40258.627540111018</v>
      </c>
      <c r="BY30" s="100">
        <v>-34269.742334591218</v>
      </c>
      <c r="BZ30" s="101">
        <f t="shared" si="22"/>
        <v>0.10926030696221335</v>
      </c>
      <c r="CA30" s="101">
        <f t="shared" si="23"/>
        <v>0.73447225184009302</v>
      </c>
      <c r="CB30" s="101">
        <f t="shared" si="24"/>
        <v>-0.62521194487787968</v>
      </c>
      <c r="CC30" s="100"/>
      <c r="CD30" s="100"/>
      <c r="CF30" s="100"/>
      <c r="CG30" s="100"/>
      <c r="CH30" s="100"/>
      <c r="CI30" s="100"/>
      <c r="CJ30" s="100"/>
      <c r="CK30" s="100"/>
      <c r="CL30" s="100"/>
      <c r="CN30" s="100">
        <v>620</v>
      </c>
      <c r="CO30" s="119">
        <f t="shared" si="30"/>
        <v>491.02613438399925</v>
      </c>
      <c r="CP30" s="116">
        <f t="shared" si="31"/>
        <v>0.33674481408629348</v>
      </c>
      <c r="CQ30" s="116"/>
      <c r="CR30" s="100">
        <v>1127</v>
      </c>
      <c r="CS30" s="100">
        <v>1025</v>
      </c>
      <c r="CT30" s="100">
        <v>2100</v>
      </c>
      <c r="CU30" s="100">
        <v>2050</v>
      </c>
      <c r="CV30" s="100">
        <f t="shared" si="32"/>
        <v>-973</v>
      </c>
      <c r="CW30" s="101">
        <f t="shared" si="33"/>
        <v>-1.4058603614624953E-2</v>
      </c>
      <c r="CX30" s="100">
        <f t="shared" si="34"/>
        <v>-1025</v>
      </c>
      <c r="CY30" s="101">
        <f t="shared" si="35"/>
        <v>-1.4809937004101312E-2</v>
      </c>
      <c r="CZ30" s="100">
        <f t="shared" si="36"/>
        <v>52</v>
      </c>
      <c r="DA30" s="101">
        <f t="shared" si="37"/>
        <v>7.5133338947635923E-4</v>
      </c>
      <c r="DB30" s="101"/>
      <c r="DC30" s="100">
        <v>442</v>
      </c>
      <c r="DD30" s="100">
        <v>30</v>
      </c>
      <c r="DE30" s="100">
        <v>362</v>
      </c>
      <c r="DF30" s="100">
        <v>268</v>
      </c>
      <c r="DG30" s="100"/>
      <c r="DH30" s="100">
        <f t="shared" si="39"/>
        <v>1055</v>
      </c>
      <c r="DI30" s="100">
        <f t="shared" si="40"/>
        <v>2318</v>
      </c>
      <c r="DJ30" s="100">
        <f t="shared" si="41"/>
        <v>-1263</v>
      </c>
      <c r="DK30" s="101">
        <f t="shared" si="42"/>
        <v>-1.8248732132858495E-2</v>
      </c>
      <c r="DL30" s="100">
        <f t="shared" si="43"/>
        <v>132</v>
      </c>
      <c r="DM30" s="101">
        <f t="shared" si="44"/>
        <v>1.9072309117476813E-3</v>
      </c>
      <c r="DN30" s="101"/>
      <c r="DO30" s="100">
        <v>4108.7</v>
      </c>
      <c r="DQ30" s="100">
        <v>4078.7000000000003</v>
      </c>
      <c r="DS30" s="100">
        <f t="shared" si="45"/>
        <v>29.999999999999545</v>
      </c>
      <c r="DT30" s="101">
        <f t="shared" si="46"/>
        <v>4.3346157085173915E-4</v>
      </c>
      <c r="DU30" s="101">
        <f t="shared" si="47"/>
        <v>-3.9672373518193369E-3</v>
      </c>
      <c r="DV30" s="101">
        <v>0.35</v>
      </c>
      <c r="DW30" s="102">
        <f t="shared" si="25"/>
        <v>3.0000000000000027E-2</v>
      </c>
      <c r="DX30" s="101"/>
      <c r="DY30" s="101"/>
      <c r="DZ30" s="114"/>
      <c r="EA30" s="114"/>
      <c r="EB30" s="114"/>
      <c r="EC30" s="101"/>
      <c r="ED30" s="101"/>
      <c r="EE30" s="101"/>
      <c r="EF30" s="101"/>
      <c r="EG30" s="101"/>
      <c r="EH30" s="101"/>
      <c r="EI30" s="101"/>
      <c r="EJ30" s="101"/>
      <c r="EK30" s="101"/>
      <c r="EL30" s="101"/>
      <c r="EM30" s="101"/>
      <c r="EN30" s="99">
        <f t="shared" si="26"/>
        <v>0.79197763610322458</v>
      </c>
      <c r="EO30" s="99">
        <v>0.62373307499999997</v>
      </c>
    </row>
    <row r="31" spans="1:145" s="99" customFormat="1">
      <c r="A31" s="98">
        <v>1996</v>
      </c>
      <c r="B31" s="100">
        <v>48546.346145822259</v>
      </c>
      <c r="C31" s="100"/>
      <c r="D31" s="112">
        <v>0.66161173485920044</v>
      </c>
      <c r="E31" s="100">
        <v>60206</v>
      </c>
      <c r="F31" s="100"/>
      <c r="G31" s="100">
        <v>-6535</v>
      </c>
      <c r="H31" s="101">
        <f t="shared" si="2"/>
        <v>-0.12256465857407016</v>
      </c>
      <c r="I31" s="126">
        <v>1735.0776724548909</v>
      </c>
      <c r="J31" s="101"/>
      <c r="K31" s="101"/>
      <c r="L31" s="101"/>
      <c r="M31" s="101"/>
      <c r="N31" s="100">
        <v>-1166.1089549682092</v>
      </c>
      <c r="P31" s="101"/>
      <c r="Q31" s="100">
        <v>1763</v>
      </c>
      <c r="R31" s="100">
        <v>6887.2042229068138</v>
      </c>
      <c r="S31" s="100">
        <f t="shared" si="3"/>
        <v>0.44963127092341892</v>
      </c>
      <c r="T31" s="100"/>
      <c r="U31" s="100"/>
      <c r="V31" s="100">
        <v>7854.8325606297458</v>
      </c>
      <c r="W31" s="100"/>
      <c r="X31" s="100">
        <v>25934.860794415981</v>
      </c>
      <c r="Y31" s="125">
        <v>0.7</v>
      </c>
      <c r="Z31" s="100"/>
      <c r="AA31" s="100"/>
      <c r="AB31" s="100"/>
      <c r="AC31" s="100"/>
      <c r="AD31" s="124">
        <f t="shared" si="5"/>
        <v>18154.402556091187</v>
      </c>
      <c r="AE31" s="122"/>
      <c r="AF31" s="122"/>
      <c r="AG31" s="100">
        <v>12396.713640472512</v>
      </c>
      <c r="AH31" s="121"/>
      <c r="AI31" s="111">
        <f t="shared" si="6"/>
        <v>0.25535832507838147</v>
      </c>
      <c r="AJ31" s="111"/>
      <c r="AK31" s="123">
        <f t="shared" si="48"/>
        <v>-1959.0271085549607</v>
      </c>
      <c r="AL31" s="121"/>
      <c r="AM31" s="121"/>
      <c r="AN31" s="121"/>
      <c r="AO31" s="100">
        <v>1813.46</v>
      </c>
      <c r="AP31" s="121"/>
      <c r="AQ31" s="107">
        <f t="shared" si="7"/>
        <v>0.40576958173026939</v>
      </c>
      <c r="AR31" s="107">
        <f t="shared" si="29"/>
        <v>0.79075809323236679</v>
      </c>
      <c r="AS31" s="107">
        <f t="shared" si="9"/>
        <v>0.68284889035432061</v>
      </c>
      <c r="AT31" s="107">
        <f t="shared" si="10"/>
        <v>0.15802793912728394</v>
      </c>
      <c r="AU31" s="107">
        <v>0.18231403040501332</v>
      </c>
      <c r="AV31" s="121"/>
      <c r="AW31" s="122">
        <f t="shared" si="11"/>
        <v>6535</v>
      </c>
      <c r="AX31" s="121">
        <v>0</v>
      </c>
      <c r="AY31" s="107">
        <f t="shared" si="12"/>
        <v>0.52715584061445764</v>
      </c>
      <c r="AZ31" s="121"/>
      <c r="BA31" s="101">
        <f t="shared" si="13"/>
        <v>0.205904953666952</v>
      </c>
      <c r="BB31" s="101">
        <f t="shared" si="14"/>
        <v>0.25535832507838147</v>
      </c>
      <c r="BC31" s="101">
        <f t="shared" si="15"/>
        <v>0.12074469256378735</v>
      </c>
      <c r="BD31" s="102">
        <f t="shared" si="16"/>
        <v>0.14628554410416134</v>
      </c>
      <c r="BE31" s="102">
        <f t="shared" si="27"/>
        <v>0.14628554410416134</v>
      </c>
      <c r="BF31" s="102">
        <f t="shared" si="17"/>
        <v>3.0120918180912202E-2</v>
      </c>
      <c r="BG31" s="102">
        <f t="shared" si="18"/>
        <v>2.53075736359736E-2</v>
      </c>
      <c r="BH31" s="102">
        <f t="shared" si="19"/>
        <v>3.7355231525618343E-2</v>
      </c>
      <c r="BI31" s="102">
        <f t="shared" si="28"/>
        <v>3.7355231525618343E-2</v>
      </c>
      <c r="BJ31" s="102">
        <f t="shared" si="20"/>
        <v>2.9504304722149755E-2</v>
      </c>
      <c r="BL31" s="100">
        <v>203562</v>
      </c>
      <c r="BM31" s="100">
        <v>8043.5209999999997</v>
      </c>
      <c r="BN31" s="100">
        <v>6899.4</v>
      </c>
      <c r="BP31" s="99">
        <v>36</v>
      </c>
      <c r="BW31" s="100">
        <f t="shared" si="21"/>
        <v>6583.7040850013291</v>
      </c>
      <c r="BX31" s="100">
        <v>45054.762528505606</v>
      </c>
      <c r="BY31" s="100">
        <v>-38471.058443504277</v>
      </c>
      <c r="BZ31" s="101">
        <f t="shared" si="22"/>
        <v>0.10935295626683933</v>
      </c>
      <c r="CA31" s="101">
        <f t="shared" si="23"/>
        <v>0.74834339648051029</v>
      </c>
      <c r="CB31" s="101">
        <f t="shared" si="24"/>
        <v>-0.63899044021367102</v>
      </c>
      <c r="CC31" s="100"/>
      <c r="CD31" s="100"/>
      <c r="CF31" s="100"/>
      <c r="CG31" s="100"/>
      <c r="CH31" s="100"/>
      <c r="CI31" s="100"/>
      <c r="CJ31" s="100"/>
      <c r="CK31" s="100"/>
      <c r="CL31" s="100"/>
      <c r="CM31" s="99">
        <v>6404</v>
      </c>
      <c r="CN31" s="100">
        <v>641</v>
      </c>
      <c r="CO31" s="119">
        <f t="shared" si="30"/>
        <v>508.71190671699873</v>
      </c>
      <c r="CP31" s="116">
        <f t="shared" si="31"/>
        <v>0.28052005928832108</v>
      </c>
      <c r="CQ31" s="116"/>
      <c r="CR31" s="100">
        <v>1129</v>
      </c>
      <c r="CS31" s="100">
        <v>923</v>
      </c>
      <c r="CT31" s="100">
        <v>2203</v>
      </c>
      <c r="CU31" s="100">
        <v>2142</v>
      </c>
      <c r="CV31" s="100">
        <f t="shared" si="32"/>
        <v>-1074</v>
      </c>
      <c r="CW31" s="101">
        <f t="shared" si="33"/>
        <v>-1.4157233016722065E-2</v>
      </c>
      <c r="CX31" s="100">
        <f t="shared" si="34"/>
        <v>-1219</v>
      </c>
      <c r="CY31" s="101">
        <f t="shared" si="35"/>
        <v>-1.6068591291791615E-2</v>
      </c>
      <c r="CZ31" s="100">
        <f t="shared" si="36"/>
        <v>145</v>
      </c>
      <c r="DA31" s="101">
        <f t="shared" si="37"/>
        <v>1.9113582750695524E-3</v>
      </c>
      <c r="DB31" s="101"/>
      <c r="DC31" s="100">
        <v>331</v>
      </c>
      <c r="DD31" s="100">
        <v>37</v>
      </c>
      <c r="DE31" s="100">
        <v>258</v>
      </c>
      <c r="DF31" s="100">
        <v>230</v>
      </c>
      <c r="DG31" s="100"/>
      <c r="DH31" s="100">
        <f t="shared" si="39"/>
        <v>960</v>
      </c>
      <c r="DI31" s="100">
        <f t="shared" si="40"/>
        <v>2372</v>
      </c>
      <c r="DJ31" s="100">
        <f t="shared" si="41"/>
        <v>-1412</v>
      </c>
      <c r="DK31" s="101">
        <f t="shared" si="42"/>
        <v>-1.8612675064815228E-2</v>
      </c>
      <c r="DL31" s="100">
        <f t="shared" si="43"/>
        <v>218</v>
      </c>
      <c r="DM31" s="101">
        <f t="shared" si="44"/>
        <v>2.8736283032080169E-3</v>
      </c>
      <c r="DN31" s="101"/>
      <c r="DO31" s="100">
        <v>3668.8000000000006</v>
      </c>
      <c r="DQ31" s="100">
        <v>4803.8</v>
      </c>
      <c r="DS31" s="100">
        <f t="shared" si="45"/>
        <v>-1134.9999999999995</v>
      </c>
      <c r="DT31" s="101">
        <f t="shared" si="46"/>
        <v>-1.4961321670372008E-2</v>
      </c>
      <c r="DU31" s="101">
        <f t="shared" si="47"/>
        <v>0.13681680112848441</v>
      </c>
      <c r="DV31" s="101">
        <v>0.35</v>
      </c>
      <c r="DW31" s="102">
        <f t="shared" si="25"/>
        <v>1.0000000000000009E-2</v>
      </c>
      <c r="DX31" s="101"/>
      <c r="DY31" s="101"/>
      <c r="DZ31" s="114"/>
      <c r="EA31" s="114"/>
      <c r="EB31" s="114"/>
      <c r="EC31" s="101"/>
      <c r="ED31" s="101"/>
      <c r="EE31" s="101"/>
      <c r="EF31" s="101"/>
      <c r="EG31" s="101"/>
      <c r="EH31" s="101"/>
      <c r="EI31" s="101"/>
      <c r="EJ31" s="101"/>
      <c r="EK31" s="101"/>
      <c r="EL31" s="101"/>
      <c r="EM31" s="101"/>
      <c r="EN31" s="99">
        <f t="shared" si="26"/>
        <v>0.79362231937129291</v>
      </c>
      <c r="EO31" s="99">
        <v>0.62502836833333297</v>
      </c>
    </row>
    <row r="32" spans="1:145" s="99" customFormat="1">
      <c r="A32" s="98">
        <v>1997</v>
      </c>
      <c r="B32" s="100">
        <v>55135.639514176364</v>
      </c>
      <c r="C32" s="100"/>
      <c r="D32" s="112">
        <v>0.68830154463340987</v>
      </c>
      <c r="E32" s="100">
        <v>69367</v>
      </c>
      <c r="F32" s="100"/>
      <c r="G32" s="100">
        <v>-8040</v>
      </c>
      <c r="H32" s="101">
        <f t="shared" si="2"/>
        <v>-0.13037476437095555</v>
      </c>
      <c r="I32" s="126">
        <v>2414.6471602400925</v>
      </c>
      <c r="J32" s="101"/>
      <c r="K32" s="101"/>
      <c r="L32" s="101"/>
      <c r="M32" s="101"/>
      <c r="N32" s="100">
        <v>-938.99583129083305</v>
      </c>
      <c r="P32" s="101"/>
      <c r="Q32" s="100">
        <v>1507</v>
      </c>
      <c r="R32" s="100">
        <v>7698.623924367962</v>
      </c>
      <c r="S32" s="100">
        <f t="shared" si="3"/>
        <v>-0.26343854432343505</v>
      </c>
      <c r="T32" s="100"/>
      <c r="U32" s="100"/>
      <c r="V32" s="100">
        <v>8592.4254834613166</v>
      </c>
      <c r="W32" s="100"/>
      <c r="X32" s="100">
        <v>28902.555291576766</v>
      </c>
      <c r="Y32" s="125">
        <v>0.7</v>
      </c>
      <c r="Z32" s="100"/>
      <c r="AA32" s="100"/>
      <c r="AB32" s="100"/>
      <c r="AC32" s="100"/>
      <c r="AD32" s="124">
        <f t="shared" si="5"/>
        <v>20231.788704103736</v>
      </c>
      <c r="AE32" s="122"/>
      <c r="AF32" s="122"/>
      <c r="AG32" s="100">
        <v>16448.123501203816</v>
      </c>
      <c r="AH32" s="121"/>
      <c r="AI32" s="111">
        <f t="shared" si="6"/>
        <v>0.29832107954374426</v>
      </c>
      <c r="AJ32" s="111"/>
      <c r="AK32" s="123">
        <f t="shared" si="48"/>
        <v>-2726.3097898163846</v>
      </c>
      <c r="AL32" s="121"/>
      <c r="AM32" s="121"/>
      <c r="AN32" s="121"/>
      <c r="AO32" s="100">
        <v>2154.9180000000001</v>
      </c>
      <c r="AP32" s="121"/>
      <c r="AQ32" s="107">
        <f t="shared" si="7"/>
        <v>0.44842319712051504</v>
      </c>
      <c r="AR32" s="107">
        <f t="shared" si="29"/>
        <v>0.94773791736619573</v>
      </c>
      <c r="AS32" s="107">
        <f t="shared" si="9"/>
        <v>0.81298414795462648</v>
      </c>
      <c r="AT32" s="107">
        <f t="shared" si="10"/>
        <v>0.16575202573210554</v>
      </c>
      <c r="AU32" s="107">
        <v>0.18559211950638665</v>
      </c>
      <c r="AV32" s="121"/>
      <c r="AW32" s="122">
        <f t="shared" si="11"/>
        <v>8040</v>
      </c>
      <c r="AX32" s="121">
        <v>0</v>
      </c>
      <c r="AY32" s="107">
        <f t="shared" si="12"/>
        <v>0.48880955930392689</v>
      </c>
      <c r="AZ32" s="121"/>
      <c r="BA32" s="101">
        <f t="shared" si="13"/>
        <v>0.23711741175492404</v>
      </c>
      <c r="BB32" s="101">
        <f t="shared" si="14"/>
        <v>0.29832107954374426</v>
      </c>
      <c r="BC32" s="101">
        <f t="shared" si="15"/>
        <v>0.15249888412089491</v>
      </c>
      <c r="BD32" s="102">
        <f t="shared" si="16"/>
        <v>0.13101299974080841</v>
      </c>
      <c r="BE32" s="102">
        <f t="shared" si="27"/>
        <v>0.13101299974080841</v>
      </c>
      <c r="BF32" s="102">
        <f t="shared" si="17"/>
        <v>3.1065463404789023E-2</v>
      </c>
      <c r="BG32" s="102">
        <f t="shared" si="18"/>
        <v>2.5182879815586978E-2</v>
      </c>
      <c r="BH32" s="102">
        <f t="shared" si="19"/>
        <v>3.9083939516942251E-2</v>
      </c>
      <c r="BI32" s="102">
        <f t="shared" si="28"/>
        <v>3.9083939516942251E-2</v>
      </c>
      <c r="BJ32" s="102">
        <f t="shared" si="20"/>
        <v>2.9331879030946834E-2</v>
      </c>
      <c r="BL32" s="100">
        <v>216481</v>
      </c>
      <c r="BM32" s="100">
        <v>8596.3559999999998</v>
      </c>
      <c r="BN32" s="100">
        <v>7380.4</v>
      </c>
      <c r="BP32" s="99">
        <v>36</v>
      </c>
      <c r="BW32" s="100">
        <f t="shared" si="21"/>
        <v>8314.2720794754423</v>
      </c>
      <c r="BX32" s="100">
        <v>53525.170337902688</v>
      </c>
      <c r="BY32" s="100">
        <v>-45210.898258427245</v>
      </c>
      <c r="BZ32" s="101">
        <f t="shared" si="22"/>
        <v>0.11985918490745516</v>
      </c>
      <c r="CA32" s="101">
        <f t="shared" si="23"/>
        <v>0.77162296679837228</v>
      </c>
      <c r="CB32" s="101">
        <f t="shared" si="24"/>
        <v>-0.6517637818909171</v>
      </c>
      <c r="CC32" s="100"/>
      <c r="CD32" s="100"/>
      <c r="CF32" s="100">
        <v>11677</v>
      </c>
      <c r="CG32" s="100">
        <v>2086</v>
      </c>
      <c r="CH32" s="100">
        <v>8123</v>
      </c>
      <c r="CI32" s="120" t="s">
        <v>198</v>
      </c>
      <c r="CJ32" s="120" t="s">
        <v>198</v>
      </c>
      <c r="CK32" s="100">
        <v>647</v>
      </c>
      <c r="CL32" s="100">
        <v>8546</v>
      </c>
      <c r="CM32" s="100">
        <v>8576</v>
      </c>
      <c r="CN32" s="119">
        <v>813</v>
      </c>
      <c r="CO32" s="119">
        <f t="shared" si="30"/>
        <v>680.9476588315365</v>
      </c>
      <c r="CP32" s="116">
        <f t="shared" si="31"/>
        <v>0.31599701651363832</v>
      </c>
      <c r="CQ32" s="116"/>
      <c r="CR32" s="100">
        <v>1629</v>
      </c>
      <c r="CS32" s="100">
        <v>1438</v>
      </c>
      <c r="CT32" s="100">
        <v>2850</v>
      </c>
      <c r="CU32" s="100">
        <v>2790</v>
      </c>
      <c r="CV32" s="100">
        <f t="shared" si="32"/>
        <v>-1221</v>
      </c>
      <c r="CW32" s="101">
        <f t="shared" si="33"/>
        <v>-1.4743002425381794E-2</v>
      </c>
      <c r="CX32" s="100">
        <f t="shared" si="34"/>
        <v>-1352</v>
      </c>
      <c r="CY32" s="101">
        <f t="shared" si="35"/>
        <v>-1.632476599436215E-2</v>
      </c>
      <c r="CZ32" s="100">
        <f t="shared" si="36"/>
        <v>131</v>
      </c>
      <c r="DA32" s="101">
        <f t="shared" si="37"/>
        <v>1.5817635689803565E-3</v>
      </c>
      <c r="DB32" s="101"/>
      <c r="DC32" s="100">
        <v>338</v>
      </c>
      <c r="DD32" s="100">
        <v>105</v>
      </c>
      <c r="DE32" s="100">
        <v>340</v>
      </c>
      <c r="DF32" s="100">
        <v>315</v>
      </c>
      <c r="DG32" s="100"/>
      <c r="DH32" s="100">
        <f t="shared" si="39"/>
        <v>1543</v>
      </c>
      <c r="DI32" s="100">
        <f t="shared" si="40"/>
        <v>3105</v>
      </c>
      <c r="DJ32" s="100">
        <f t="shared" si="41"/>
        <v>-1562</v>
      </c>
      <c r="DK32" s="101">
        <f t="shared" si="42"/>
        <v>-1.8860417517155087E-2</v>
      </c>
      <c r="DL32" s="100">
        <f t="shared" si="43"/>
        <v>129</v>
      </c>
      <c r="DM32" s="101">
        <f t="shared" si="44"/>
        <v>1.5576145068585188E-3</v>
      </c>
      <c r="DN32" s="101"/>
      <c r="DO32" s="100">
        <v>4642.2</v>
      </c>
      <c r="DQ32" s="100">
        <v>5866.7000000000007</v>
      </c>
      <c r="DS32" s="100">
        <f t="shared" si="45"/>
        <v>-1224.5000000000009</v>
      </c>
      <c r="DT32" s="101">
        <f t="shared" si="46"/>
        <v>-1.478526328409502E-2</v>
      </c>
      <c r="DU32" s="101">
        <f t="shared" si="47"/>
        <v>0.12335527974356671</v>
      </c>
      <c r="DV32" s="101">
        <v>0.35</v>
      </c>
      <c r="DW32" s="102">
        <f t="shared" si="25"/>
        <v>1.0000000000000009E-2</v>
      </c>
      <c r="DX32" s="101"/>
      <c r="DY32" s="101"/>
      <c r="DZ32" s="114"/>
      <c r="EA32" s="114"/>
      <c r="EB32" s="114"/>
      <c r="EC32" s="101"/>
      <c r="ED32" s="101"/>
      <c r="EE32" s="101"/>
      <c r="EF32" s="101"/>
      <c r="EG32" s="101"/>
      <c r="EH32" s="101"/>
      <c r="EI32" s="101"/>
      <c r="EJ32" s="101"/>
      <c r="EK32" s="101"/>
      <c r="EL32" s="101"/>
      <c r="EM32" s="101"/>
      <c r="EN32" s="99">
        <f t="shared" si="26"/>
        <v>0.83757399610275096</v>
      </c>
      <c r="EO32" s="99">
        <v>0.65964312666666702</v>
      </c>
    </row>
    <row r="33" spans="1:145" s="99" customFormat="1">
      <c r="A33" s="98">
        <v>1998</v>
      </c>
      <c r="B33" s="100">
        <v>63402.889437084275</v>
      </c>
      <c r="C33" s="100"/>
      <c r="D33" s="112">
        <v>0.73668877472803174</v>
      </c>
      <c r="E33" s="100">
        <v>80353</v>
      </c>
      <c r="F33" s="100"/>
      <c r="G33" s="100">
        <v>-9551</v>
      </c>
      <c r="H33" s="101">
        <f t="shared" si="2"/>
        <v>-0.13368558890544008</v>
      </c>
      <c r="I33" s="126">
        <v>8890.7417633806836</v>
      </c>
      <c r="J33" s="101"/>
      <c r="K33" s="101"/>
      <c r="L33" s="101"/>
      <c r="M33" s="101"/>
      <c r="N33" s="100">
        <v>-3513.7001632662</v>
      </c>
      <c r="P33" s="101"/>
      <c r="Q33" s="100">
        <v>1511</v>
      </c>
      <c r="R33" s="100">
        <v>8909.2484468261155</v>
      </c>
      <c r="S33" s="100">
        <f t="shared" si="3"/>
        <v>0.86211608960729791</v>
      </c>
      <c r="T33" s="100"/>
      <c r="U33" s="100"/>
      <c r="V33" s="100">
        <v>9937.2352031376067</v>
      </c>
      <c r="W33" s="100"/>
      <c r="X33" s="100">
        <v>32526.915142477788</v>
      </c>
      <c r="Y33" s="125">
        <v>0.7</v>
      </c>
      <c r="Z33" s="100"/>
      <c r="AA33" s="100"/>
      <c r="AB33" s="100"/>
      <c r="AC33" s="100"/>
      <c r="AD33" s="124">
        <f t="shared" si="5"/>
        <v>22768.840599734449</v>
      </c>
      <c r="AE33" s="122"/>
      <c r="AF33" s="122"/>
      <c r="AG33" s="100">
        <v>20748.462756871977</v>
      </c>
      <c r="AH33" s="121"/>
      <c r="AI33" s="111">
        <f t="shared" si="6"/>
        <v>0.32724790527821318</v>
      </c>
      <c r="AJ33" s="111"/>
      <c r="AK33" s="123">
        <f t="shared" si="48"/>
        <v>-10038.284974863171</v>
      </c>
      <c r="AL33" s="121"/>
      <c r="AM33" s="121"/>
      <c r="AN33" s="121"/>
      <c r="AO33" s="100">
        <v>2614.279</v>
      </c>
      <c r="AP33" s="121"/>
      <c r="AQ33" s="107">
        <f t="shared" si="7"/>
        <v>0.4767865000008582</v>
      </c>
      <c r="AR33" s="107">
        <f t="shared" si="29"/>
        <v>1.3521438475042165</v>
      </c>
      <c r="AS33" s="107">
        <f t="shared" si="9"/>
        <v>0.91126566879799598</v>
      </c>
      <c r="AT33" s="107">
        <f t="shared" si="10"/>
        <v>0.48380861235314643</v>
      </c>
      <c r="AU33" s="107">
        <v>0.19192928132647455</v>
      </c>
      <c r="AV33" s="121"/>
      <c r="AW33" s="122">
        <f t="shared" si="11"/>
        <v>9551</v>
      </c>
      <c r="AX33" s="121">
        <v>0</v>
      </c>
      <c r="AY33" s="107">
        <f t="shared" si="12"/>
        <v>0.46032325921768202</v>
      </c>
      <c r="AZ33" s="121"/>
      <c r="BA33" s="101">
        <f t="shared" si="13"/>
        <v>0.25821640457570938</v>
      </c>
      <c r="BB33" s="101">
        <f t="shared" si="14"/>
        <v>0.32724790527821318</v>
      </c>
      <c r="BC33" s="101">
        <f t="shared" si="15"/>
        <v>0.17660808294838681</v>
      </c>
      <c r="BD33" s="102">
        <f t="shared" si="16"/>
        <v>0.12599868388486468</v>
      </c>
      <c r="BE33" s="102">
        <f t="shared" si="27"/>
        <v>0.12599868388486468</v>
      </c>
      <c r="BF33" s="102">
        <f t="shared" si="17"/>
        <v>3.2534927134021133E-2</v>
      </c>
      <c r="BG33" s="102">
        <f t="shared" si="18"/>
        <v>2.3238112975384532E-2</v>
      </c>
      <c r="BH33" s="102">
        <f t="shared" si="19"/>
        <v>4.1232805369133721E-2</v>
      </c>
      <c r="BI33" s="102">
        <f t="shared" si="28"/>
        <v>4.1232805369133721E-2</v>
      </c>
      <c r="BJ33" s="102">
        <f t="shared" si="20"/>
        <v>2.705954971809655E-2</v>
      </c>
      <c r="BL33" s="100">
        <v>212615</v>
      </c>
      <c r="BM33" s="100">
        <v>9149.4089999999997</v>
      </c>
      <c r="BN33" s="100">
        <v>7857.3</v>
      </c>
      <c r="BP33" s="99">
        <v>32</v>
      </c>
      <c r="BW33" s="100">
        <f t="shared" si="21"/>
        <v>8813.0629028243929</v>
      </c>
      <c r="BX33" s="100">
        <v>67888.160825024999</v>
      </c>
      <c r="BY33" s="100">
        <v>-59075.097922200606</v>
      </c>
      <c r="BZ33" s="101">
        <f t="shared" si="22"/>
        <v>0.10967932625819064</v>
      </c>
      <c r="CA33" s="101">
        <f t="shared" si="23"/>
        <v>0.84487400377117217</v>
      </c>
      <c r="CB33" s="101">
        <f t="shared" si="24"/>
        <v>-0.73519467751298151</v>
      </c>
      <c r="CC33" s="100"/>
      <c r="CD33" s="100"/>
      <c r="CF33" s="100">
        <v>14923</v>
      </c>
      <c r="CG33" s="100">
        <v>2429</v>
      </c>
      <c r="CH33" s="100">
        <v>10813</v>
      </c>
      <c r="CI33" s="120" t="s">
        <v>198</v>
      </c>
      <c r="CJ33" s="120" t="s">
        <v>198</v>
      </c>
      <c r="CK33" s="100">
        <v>784</v>
      </c>
      <c r="CL33" s="100">
        <v>10925</v>
      </c>
      <c r="CM33" s="100">
        <v>10960</v>
      </c>
      <c r="CN33" s="119">
        <v>1104</v>
      </c>
      <c r="CO33" s="119">
        <f t="shared" si="30"/>
        <v>984.43705166818131</v>
      </c>
      <c r="CP33" s="116">
        <f t="shared" si="31"/>
        <v>0.37656158798207129</v>
      </c>
      <c r="CQ33" s="116"/>
      <c r="CR33" s="100">
        <v>1851</v>
      </c>
      <c r="CS33" s="100">
        <v>1666</v>
      </c>
      <c r="CT33" s="100">
        <v>5618</v>
      </c>
      <c r="CU33" s="100">
        <v>5551</v>
      </c>
      <c r="CV33" s="100">
        <f t="shared" si="32"/>
        <v>-3767</v>
      </c>
      <c r="CW33" s="101">
        <f t="shared" si="33"/>
        <v>-4.1803476643392089E-2</v>
      </c>
      <c r="CX33" s="100">
        <f t="shared" si="34"/>
        <v>-3885</v>
      </c>
      <c r="CY33" s="101">
        <f t="shared" si="35"/>
        <v>-4.3112956400206598E-2</v>
      </c>
      <c r="CZ33" s="100">
        <f t="shared" si="36"/>
        <v>118</v>
      </c>
      <c r="DA33" s="101">
        <f t="shared" si="37"/>
        <v>1.3094797568145118E-3</v>
      </c>
      <c r="DB33" s="101"/>
      <c r="DC33" s="100">
        <v>360</v>
      </c>
      <c r="DD33" s="100">
        <v>124</v>
      </c>
      <c r="DE33" s="100">
        <v>338</v>
      </c>
      <c r="DF33" s="100">
        <v>230</v>
      </c>
      <c r="DG33" s="100"/>
      <c r="DH33" s="100">
        <f t="shared" si="39"/>
        <v>1790</v>
      </c>
      <c r="DI33" s="100">
        <f t="shared" si="40"/>
        <v>5781</v>
      </c>
      <c r="DJ33" s="100">
        <f t="shared" si="41"/>
        <v>-3991</v>
      </c>
      <c r="DK33" s="101">
        <f t="shared" si="42"/>
        <v>-4.4289268724124718E-2</v>
      </c>
      <c r="DL33" s="100">
        <f t="shared" si="43"/>
        <v>140</v>
      </c>
      <c r="DM33" s="101">
        <f t="shared" si="44"/>
        <v>1.5536200504578956E-3</v>
      </c>
      <c r="DN33" s="101"/>
      <c r="DO33" s="100">
        <v>5646.8</v>
      </c>
      <c r="DQ33" s="100">
        <v>8400.8000000000011</v>
      </c>
      <c r="DS33" s="100">
        <f t="shared" si="45"/>
        <v>-2754.0000000000009</v>
      </c>
      <c r="DT33" s="101">
        <f t="shared" si="46"/>
        <v>-3.0561925849721751E-2</v>
      </c>
      <c r="DU33" s="101">
        <f t="shared" si="47"/>
        <v>0.27864800862997136</v>
      </c>
      <c r="DV33" s="101">
        <v>0.35</v>
      </c>
      <c r="DW33" s="102">
        <f t="shared" si="25"/>
        <v>-2.9999999999999971E-2</v>
      </c>
      <c r="DX33" s="101"/>
      <c r="DY33" s="101"/>
      <c r="DZ33" s="114"/>
      <c r="EA33" s="114"/>
      <c r="EB33" s="114"/>
      <c r="EC33" s="101"/>
      <c r="ED33" s="101"/>
      <c r="EE33" s="101"/>
      <c r="EF33" s="101"/>
      <c r="EG33" s="101"/>
      <c r="EH33" s="101"/>
      <c r="EI33" s="101"/>
      <c r="EJ33" s="101"/>
      <c r="EK33" s="101"/>
      <c r="EL33" s="101"/>
      <c r="EM33" s="101"/>
      <c r="EN33" s="99">
        <f t="shared" si="26"/>
        <v>0.89170022796030912</v>
      </c>
      <c r="EO33" s="99">
        <v>0.70227099833333295</v>
      </c>
    </row>
    <row r="34" spans="1:145" s="99" customFormat="1">
      <c r="A34" s="98">
        <v>1999</v>
      </c>
      <c r="B34" s="100">
        <v>70366</v>
      </c>
      <c r="C34" s="100"/>
      <c r="D34" s="112">
        <v>0.76675108420888771</v>
      </c>
      <c r="E34" s="100">
        <v>92716</v>
      </c>
      <c r="F34" s="100"/>
      <c r="G34" s="100">
        <v>-13278</v>
      </c>
      <c r="H34" s="101">
        <f t="shared" si="2"/>
        <v>-0.16148962564763689</v>
      </c>
      <c r="I34" s="100">
        <v>8995</v>
      </c>
      <c r="J34" s="100"/>
      <c r="K34" s="100"/>
      <c r="L34" s="100"/>
      <c r="M34" s="100">
        <v>-11375</v>
      </c>
      <c r="N34" s="100">
        <v>-7010</v>
      </c>
      <c r="P34" s="100">
        <v>-3912</v>
      </c>
      <c r="Q34" s="100">
        <v>1420</v>
      </c>
      <c r="R34" s="100">
        <v>10494</v>
      </c>
      <c r="S34" s="100">
        <f t="shared" si="3"/>
        <v>-2</v>
      </c>
      <c r="T34" s="100"/>
      <c r="U34" s="100"/>
      <c r="V34" s="100">
        <v>11139.13855480482</v>
      </c>
      <c r="W34" s="100"/>
      <c r="X34" s="100">
        <v>36630.014938010034</v>
      </c>
      <c r="Y34" s="101">
        <f t="shared" ref="Y34:Y50" si="49">AD34/X34</f>
        <v>0.72680833041031578</v>
      </c>
      <c r="Z34" s="100"/>
      <c r="AA34" s="100"/>
      <c r="AB34" s="100"/>
      <c r="AC34" s="100"/>
      <c r="AD34" s="100">
        <v>26623</v>
      </c>
      <c r="AE34" s="100">
        <v>31754</v>
      </c>
      <c r="AF34" s="100">
        <v>6044</v>
      </c>
      <c r="AG34" s="100">
        <f t="shared" ref="AG34:AG50" si="50">AE34-AF34</f>
        <v>25710</v>
      </c>
      <c r="AH34" s="111">
        <f t="shared" ref="AH34:AH50" si="51">AF34/AE34</f>
        <v>0.19033822510549853</v>
      </c>
      <c r="AI34" s="111">
        <f t="shared" si="6"/>
        <v>0.36537532330955291</v>
      </c>
      <c r="AJ34" s="99">
        <f t="shared" ref="AJ34:AJ50" si="52">-I34</f>
        <v>-8995</v>
      </c>
      <c r="AK34" s="99">
        <v>-10156</v>
      </c>
      <c r="AL34" s="99">
        <v>15280</v>
      </c>
      <c r="AM34" s="99">
        <v>25436</v>
      </c>
      <c r="AN34" s="100">
        <v>3454</v>
      </c>
      <c r="AO34" s="100">
        <v>3442</v>
      </c>
      <c r="AP34" s="111">
        <f t="shared" ref="AP34:AP50" si="53">(AN34-AO34)/AN34</f>
        <v>3.4742327735958309E-3</v>
      </c>
      <c r="AQ34" s="107">
        <f t="shared" si="7"/>
        <v>0.4912770145032771</v>
      </c>
      <c r="AR34" s="107">
        <f t="shared" si="29"/>
        <v>1.3471810089020773</v>
      </c>
      <c r="AS34" s="107">
        <f t="shared" si="9"/>
        <v>0.96570634413852685</v>
      </c>
      <c r="AT34" s="107">
        <f t="shared" si="10"/>
        <v>0.39502139245429796</v>
      </c>
      <c r="AU34" s="107">
        <v>0.17963478507054217</v>
      </c>
      <c r="AV34" s="111"/>
      <c r="AW34" s="100">
        <v>13302</v>
      </c>
      <c r="AX34" s="100">
        <v>-25</v>
      </c>
      <c r="AY34" s="107">
        <f t="shared" si="12"/>
        <v>0.51738623103850645</v>
      </c>
      <c r="AZ34" s="111"/>
      <c r="BA34" s="101">
        <f t="shared" si="13"/>
        <v>0.27729841667026189</v>
      </c>
      <c r="BB34" s="101">
        <f t="shared" si="14"/>
        <v>0.36537532330955291</v>
      </c>
      <c r="BC34" s="101">
        <f t="shared" si="15"/>
        <v>0.17633516186794759</v>
      </c>
      <c r="BD34" s="102">
        <f t="shared" si="16"/>
        <v>0.1338778685336445</v>
      </c>
      <c r="BE34" s="102">
        <f t="shared" si="27"/>
        <v>0.1338778685336445</v>
      </c>
      <c r="BF34" s="102">
        <f t="shared" si="17"/>
        <v>3.7124120971569093E-2</v>
      </c>
      <c r="BG34" s="102">
        <f t="shared" si="18"/>
        <v>2.3030301530496875E-2</v>
      </c>
      <c r="BH34" s="102">
        <f t="shared" si="19"/>
        <v>4.8915669499474179E-2</v>
      </c>
      <c r="BI34" s="102">
        <f t="shared" si="28"/>
        <v>4.8915669499474179E-2</v>
      </c>
      <c r="BJ34" s="102">
        <f t="shared" si="20"/>
        <v>2.6831122963817212E-2</v>
      </c>
      <c r="BL34" s="100">
        <v>223353</v>
      </c>
      <c r="BM34" s="100">
        <v>9698.223</v>
      </c>
      <c r="BN34" s="100">
        <v>8324.4</v>
      </c>
      <c r="BP34" s="99">
        <v>28</v>
      </c>
      <c r="BW34" s="100">
        <f t="shared" si="21"/>
        <v>12283.234072755979</v>
      </c>
      <c r="BX34" s="100">
        <v>80401.622196133889</v>
      </c>
      <c r="BY34" s="100">
        <v>-68118.38812337791</v>
      </c>
      <c r="BZ34" s="101">
        <f t="shared" si="22"/>
        <v>0.13248235550235105</v>
      </c>
      <c r="CA34" s="101">
        <f t="shared" si="23"/>
        <v>0.86718173989531355</v>
      </c>
      <c r="CB34" s="101">
        <f t="shared" si="24"/>
        <v>-0.73469938439296245</v>
      </c>
      <c r="CC34" s="100"/>
      <c r="CD34" s="100"/>
      <c r="CF34" s="100">
        <v>14845</v>
      </c>
      <c r="CG34" s="100">
        <v>2844</v>
      </c>
      <c r="CH34" s="100">
        <v>11273</v>
      </c>
      <c r="CI34" s="100">
        <v>-1385</v>
      </c>
      <c r="CJ34" s="100">
        <v>1183</v>
      </c>
      <c r="CK34" s="100">
        <v>931</v>
      </c>
      <c r="CL34" s="100">
        <v>12252</v>
      </c>
      <c r="CM34" s="100">
        <v>12316</v>
      </c>
      <c r="CN34" s="119">
        <v>1103</v>
      </c>
      <c r="CO34" s="119">
        <f t="shared" si="30"/>
        <v>1035.3058852441663</v>
      </c>
      <c r="CP34" s="116">
        <f t="shared" si="31"/>
        <v>0.30078613749104194</v>
      </c>
      <c r="CQ34" s="116"/>
      <c r="CR34" s="100">
        <v>2658</v>
      </c>
      <c r="CS34" s="100">
        <v>2449</v>
      </c>
      <c r="CT34" s="100">
        <v>5288</v>
      </c>
      <c r="CU34" s="100">
        <v>5207</v>
      </c>
      <c r="CV34" s="100">
        <f t="shared" si="32"/>
        <v>-2630</v>
      </c>
      <c r="CW34" s="101">
        <f t="shared" si="33"/>
        <v>-2.6625282965633396E-2</v>
      </c>
      <c r="CX34" s="100">
        <f t="shared" si="34"/>
        <v>-2758</v>
      </c>
      <c r="CY34" s="101">
        <f t="shared" si="35"/>
        <v>-2.792111422783913E-2</v>
      </c>
      <c r="CZ34" s="100">
        <f t="shared" si="36"/>
        <v>128</v>
      </c>
      <c r="DA34" s="101">
        <f t="shared" si="37"/>
        <v>1.2958312622057318E-3</v>
      </c>
      <c r="DB34" s="101"/>
      <c r="DC34" s="100">
        <v>331</v>
      </c>
      <c r="DD34" s="100">
        <v>35</v>
      </c>
      <c r="DE34" s="100">
        <v>330</v>
      </c>
      <c r="DF34" s="100">
        <v>146</v>
      </c>
      <c r="DG34" s="100"/>
      <c r="DH34" s="100">
        <f t="shared" si="39"/>
        <v>2484</v>
      </c>
      <c r="DI34" s="100">
        <f t="shared" si="40"/>
        <v>5353</v>
      </c>
      <c r="DJ34" s="100">
        <f t="shared" si="41"/>
        <v>-2869</v>
      </c>
      <c r="DK34" s="101">
        <f t="shared" si="42"/>
        <v>-2.9044842900533163E-2</v>
      </c>
      <c r="DL34" s="100">
        <f t="shared" si="43"/>
        <v>129</v>
      </c>
      <c r="DM34" s="101">
        <f t="shared" si="44"/>
        <v>1.3059549439417141E-3</v>
      </c>
      <c r="DN34" s="101"/>
      <c r="DO34" s="100">
        <v>6383.3999999999987</v>
      </c>
      <c r="DQ34" s="100">
        <v>10994.499999999998</v>
      </c>
      <c r="DS34" s="100">
        <f t="shared" si="45"/>
        <v>-4611.0999999999995</v>
      </c>
      <c r="DT34" s="101">
        <f t="shared" si="46"/>
        <v>-4.6681308852787887E-2</v>
      </c>
      <c r="DU34" s="101">
        <f t="shared" si="47"/>
        <v>0.35235868713067586</v>
      </c>
      <c r="DV34" s="101">
        <v>0.35</v>
      </c>
      <c r="DW34" s="102">
        <f t="shared" si="25"/>
        <v>-6.9999999999999951E-2</v>
      </c>
      <c r="DX34" s="101"/>
      <c r="DY34" s="101"/>
      <c r="DZ34" s="114"/>
      <c r="EA34" s="114"/>
      <c r="EB34" s="114"/>
      <c r="EC34" s="101"/>
      <c r="ED34" s="101"/>
      <c r="EE34" s="101"/>
      <c r="EF34" s="101"/>
      <c r="EG34" s="101"/>
      <c r="EH34" s="101"/>
      <c r="EI34" s="101"/>
      <c r="EJ34" s="101"/>
      <c r="EK34" s="101"/>
      <c r="EL34" s="101"/>
      <c r="EM34" s="101"/>
      <c r="EN34" s="99">
        <v>0.93862727583333305</v>
      </c>
    </row>
    <row r="35" spans="1:145" s="99" customFormat="1">
      <c r="A35" s="98">
        <v>2000</v>
      </c>
      <c r="B35" s="100">
        <v>82011</v>
      </c>
      <c r="C35" s="100"/>
      <c r="D35" s="112">
        <v>0.81547612999564811</v>
      </c>
      <c r="E35" s="100">
        <v>108383</v>
      </c>
      <c r="F35" s="100"/>
      <c r="G35" s="100">
        <v>-15327</v>
      </c>
      <c r="H35" s="101">
        <f t="shared" si="2"/>
        <v>-0.15978107896794372</v>
      </c>
      <c r="I35" s="100">
        <v>11902</v>
      </c>
      <c r="J35" s="100"/>
      <c r="K35" s="100"/>
      <c r="L35" s="100"/>
      <c r="M35" s="100">
        <v>-11234</v>
      </c>
      <c r="N35" s="100">
        <v>-9172</v>
      </c>
      <c r="P35" s="100">
        <v>-6923</v>
      </c>
      <c r="Q35" s="100">
        <v>1413</v>
      </c>
      <c r="R35" s="100">
        <v>12458</v>
      </c>
      <c r="S35" s="100">
        <f t="shared" si="3"/>
        <v>0</v>
      </c>
      <c r="T35" s="100"/>
      <c r="U35" s="100"/>
      <c r="V35" s="100">
        <v>12932.789678383084</v>
      </c>
      <c r="W35" s="100"/>
      <c r="X35" s="100">
        <v>41638.224020877758</v>
      </c>
      <c r="Y35" s="101">
        <f t="shared" si="49"/>
        <v>0.72820108717405418</v>
      </c>
      <c r="Z35" s="100"/>
      <c r="AA35" s="100"/>
      <c r="AB35" s="100"/>
      <c r="AC35" s="100"/>
      <c r="AD35" s="100">
        <v>30321</v>
      </c>
      <c r="AE35" s="100">
        <v>37755</v>
      </c>
      <c r="AF35" s="100">
        <v>7224</v>
      </c>
      <c r="AG35" s="100">
        <f t="shared" si="50"/>
        <v>30531</v>
      </c>
      <c r="AH35" s="111">
        <f t="shared" si="51"/>
        <v>0.19133889551052841</v>
      </c>
      <c r="AI35" s="111">
        <f t="shared" si="6"/>
        <v>0.37227932838277794</v>
      </c>
      <c r="AJ35" s="99">
        <f t="shared" si="52"/>
        <v>-11902</v>
      </c>
      <c r="AK35" s="99">
        <v>-13761</v>
      </c>
      <c r="AL35" s="99">
        <v>14061</v>
      </c>
      <c r="AM35" s="99">
        <v>27822</v>
      </c>
      <c r="AN35" s="100">
        <v>4077</v>
      </c>
      <c r="AO35" s="100">
        <v>3899.7579999999998</v>
      </c>
      <c r="AP35" s="111">
        <f t="shared" si="53"/>
        <v>4.3473632572970371E-2</v>
      </c>
      <c r="AQ35" s="107">
        <f t="shared" si="7"/>
        <v>0.50172549792940246</v>
      </c>
      <c r="AR35" s="107">
        <f t="shared" si="29"/>
        <v>1.4607697635302266</v>
      </c>
      <c r="AS35" s="107">
        <f t="shared" si="9"/>
        <v>1.0069258929454832</v>
      </c>
      <c r="AT35" s="107">
        <f t="shared" si="10"/>
        <v>0.45072221676328977</v>
      </c>
      <c r="AU35" s="107">
        <v>0.16783748713588975</v>
      </c>
      <c r="AV35" s="111"/>
      <c r="AW35" s="100">
        <v>15427</v>
      </c>
      <c r="AX35" s="100">
        <v>-100</v>
      </c>
      <c r="AY35" s="107">
        <f t="shared" si="12"/>
        <v>0.5052897055451836</v>
      </c>
      <c r="AZ35" s="111"/>
      <c r="BA35" s="101">
        <f t="shared" si="13"/>
        <v>0.28169546884659036</v>
      </c>
      <c r="BB35" s="101">
        <f t="shared" si="14"/>
        <v>0.37227932838277794</v>
      </c>
      <c r="BC35" s="101">
        <f t="shared" si="15"/>
        <v>0.18417041616368535</v>
      </c>
      <c r="BD35" s="102">
        <f t="shared" si="16"/>
        <v>0.12773109298745536</v>
      </c>
      <c r="BE35" s="102">
        <f t="shared" si="27"/>
        <v>0.12773109298745536</v>
      </c>
      <c r="BF35" s="102">
        <f t="shared" si="17"/>
        <v>3.5981270125388667E-2</v>
      </c>
      <c r="BG35" s="102">
        <f t="shared" si="18"/>
        <v>2.2084307051864854E-2</v>
      </c>
      <c r="BH35" s="102">
        <f t="shared" si="19"/>
        <v>4.7551645510968035E-2</v>
      </c>
      <c r="BI35" s="102">
        <f t="shared" si="28"/>
        <v>4.7551645510968035E-2</v>
      </c>
      <c r="BJ35" s="102">
        <f t="shared" si="20"/>
        <v>2.5746828337262825E-2</v>
      </c>
      <c r="BL35" s="100">
        <v>229327</v>
      </c>
      <c r="BM35" s="100">
        <v>10384.161</v>
      </c>
      <c r="BN35" s="100">
        <v>8907</v>
      </c>
      <c r="BP35" s="99">
        <v>24</v>
      </c>
      <c r="BW35" s="100">
        <f t="shared" si="21"/>
        <v>14999.778862440115</v>
      </c>
      <c r="BX35" s="100">
        <v>102409.11485800002</v>
      </c>
      <c r="BY35" s="100">
        <v>-87409.335995559901</v>
      </c>
      <c r="BZ35" s="101">
        <f t="shared" si="22"/>
        <v>0.13839604792670543</v>
      </c>
      <c r="CA35" s="101">
        <f t="shared" si="23"/>
        <v>0.94488171445706448</v>
      </c>
      <c r="CB35" s="101">
        <f t="shared" si="24"/>
        <v>-0.80648566653035902</v>
      </c>
      <c r="CC35" s="100"/>
      <c r="CD35" s="100"/>
      <c r="CF35" s="100">
        <v>16420</v>
      </c>
      <c r="CG35" s="100">
        <v>3063</v>
      </c>
      <c r="CH35" s="100">
        <v>12482</v>
      </c>
      <c r="CI35" s="100">
        <v>-1455</v>
      </c>
      <c r="CJ35" s="100">
        <v>1132</v>
      </c>
      <c r="CK35" s="100">
        <v>1198</v>
      </c>
      <c r="CL35" s="100">
        <v>13339</v>
      </c>
      <c r="CM35" s="100">
        <v>13386</v>
      </c>
      <c r="CN35" s="119">
        <v>1347</v>
      </c>
      <c r="CO35" s="119">
        <f t="shared" si="30"/>
        <v>1462.0349224999957</v>
      </c>
      <c r="CP35" s="116">
        <f t="shared" si="31"/>
        <v>0.37490401263360335</v>
      </c>
      <c r="CQ35" s="116"/>
      <c r="CR35" s="100">
        <v>2162</v>
      </c>
      <c r="CS35" s="100">
        <v>1948</v>
      </c>
      <c r="CT35" s="100">
        <v>6575</v>
      </c>
      <c r="CU35" s="100">
        <v>6427</v>
      </c>
      <c r="CV35" s="100">
        <f t="shared" si="32"/>
        <v>-4413</v>
      </c>
      <c r="CW35" s="101">
        <f t="shared" si="33"/>
        <v>-4.4193959177177097E-2</v>
      </c>
      <c r="CX35" s="100">
        <f t="shared" si="34"/>
        <v>-4479</v>
      </c>
      <c r="CY35" s="101">
        <f t="shared" si="35"/>
        <v>-4.4854915738630464E-2</v>
      </c>
      <c r="CZ35" s="100">
        <f t="shared" si="36"/>
        <v>66</v>
      </c>
      <c r="DA35" s="101">
        <f t="shared" si="37"/>
        <v>6.6095656145336251E-4</v>
      </c>
      <c r="DB35" s="101"/>
      <c r="DC35" s="108">
        <f>(DC34+DC36)/2</f>
        <v>496</v>
      </c>
      <c r="DD35" s="108">
        <f>(DD34+DD36)/2</f>
        <v>25.5</v>
      </c>
      <c r="DE35" s="100" t="s">
        <v>197</v>
      </c>
      <c r="DF35" s="100" t="s">
        <v>196</v>
      </c>
      <c r="DG35" s="100"/>
      <c r="DH35" s="100">
        <f t="shared" si="39"/>
        <v>1973.5</v>
      </c>
      <c r="DI35" s="100">
        <f t="shared" si="40"/>
        <v>6555</v>
      </c>
      <c r="DJ35" s="100">
        <f t="shared" si="41"/>
        <v>-4581.5</v>
      </c>
      <c r="DK35" s="101">
        <f t="shared" si="42"/>
        <v>-4.5881401307554248E-2</v>
      </c>
      <c r="DL35" s="100">
        <f t="shared" si="43"/>
        <v>353</v>
      </c>
      <c r="DM35" s="101">
        <f t="shared" si="44"/>
        <v>3.5351161544399535E-3</v>
      </c>
      <c r="DN35" s="101"/>
      <c r="DO35" s="100">
        <v>7713.3000000000011</v>
      </c>
      <c r="DQ35" s="100">
        <v>16463.400000000001</v>
      </c>
      <c r="DS35" s="100">
        <f t="shared" si="45"/>
        <v>-8750.1</v>
      </c>
      <c r="DT35" s="101">
        <f t="shared" si="46"/>
        <v>-8.7627818308682839E-2</v>
      </c>
      <c r="DU35" s="101">
        <f t="shared" si="47"/>
        <v>0.63316705658452432</v>
      </c>
      <c r="DV35" s="101">
        <v>0.35</v>
      </c>
      <c r="DW35" s="102">
        <f t="shared" si="25"/>
        <v>-0.10999999999999999</v>
      </c>
      <c r="DX35" s="101"/>
      <c r="DY35" s="101"/>
      <c r="DZ35" s="114"/>
      <c r="EA35" s="114"/>
      <c r="EB35" s="114"/>
      <c r="EC35" s="101"/>
      <c r="ED35" s="101"/>
      <c r="EE35" s="101"/>
      <c r="EF35" s="101"/>
      <c r="EG35" s="101"/>
      <c r="EH35" s="101"/>
      <c r="EI35" s="101"/>
      <c r="EJ35" s="101"/>
      <c r="EK35" s="101"/>
      <c r="EL35" s="101"/>
      <c r="EM35" s="101"/>
      <c r="EN35" s="99">
        <v>1.08540083333333</v>
      </c>
    </row>
    <row r="36" spans="1:145" s="99" customFormat="1">
      <c r="A36" s="98">
        <v>2001</v>
      </c>
      <c r="B36" s="100">
        <v>90013</v>
      </c>
      <c r="C36" s="100"/>
      <c r="D36" s="112">
        <v>0.86512917889266172</v>
      </c>
      <c r="E36" s="100">
        <v>121941</v>
      </c>
      <c r="F36" s="100"/>
      <c r="G36" s="100">
        <v>-19142</v>
      </c>
      <c r="H36" s="101">
        <f t="shared" si="2"/>
        <v>-0.17755145578837039</v>
      </c>
      <c r="I36" s="100">
        <v>11057</v>
      </c>
      <c r="J36" s="100"/>
      <c r="K36" s="100"/>
      <c r="L36" s="100"/>
      <c r="M36" s="100">
        <v>-14655</v>
      </c>
      <c r="N36" s="100">
        <v>-8123</v>
      </c>
      <c r="P36" s="100">
        <v>-7407</v>
      </c>
      <c r="Q36" s="100">
        <v>1345</v>
      </c>
      <c r="R36" s="100">
        <v>14130</v>
      </c>
      <c r="S36" s="100">
        <f t="shared" si="3"/>
        <v>1</v>
      </c>
      <c r="T36" s="100"/>
      <c r="U36" s="100"/>
      <c r="V36" s="100">
        <v>13160.97678037086</v>
      </c>
      <c r="W36" s="100"/>
      <c r="X36" s="100">
        <v>46580.624507814471</v>
      </c>
      <c r="Y36" s="101">
        <f t="shared" si="49"/>
        <v>0.71810973668651334</v>
      </c>
      <c r="Z36" s="100"/>
      <c r="AA36" s="100"/>
      <c r="AB36" s="100"/>
      <c r="AC36" s="100"/>
      <c r="AD36" s="100">
        <v>33450</v>
      </c>
      <c r="AE36" s="100">
        <v>42921</v>
      </c>
      <c r="AF36" s="100">
        <v>8286</v>
      </c>
      <c r="AG36" s="100">
        <f t="shared" si="50"/>
        <v>34635</v>
      </c>
      <c r="AH36" s="111">
        <f t="shared" si="51"/>
        <v>0.19305235199552667</v>
      </c>
      <c r="AI36" s="111">
        <f t="shared" si="6"/>
        <v>0.38477775432437539</v>
      </c>
      <c r="AJ36" s="99">
        <f t="shared" si="52"/>
        <v>-11057</v>
      </c>
      <c r="AK36" s="99">
        <v>-12671</v>
      </c>
      <c r="AL36" s="99">
        <v>16696</v>
      </c>
      <c r="AM36" s="99">
        <v>29367</v>
      </c>
      <c r="AN36" s="100">
        <v>4338</v>
      </c>
      <c r="AO36" s="100">
        <v>4154.7430000000004</v>
      </c>
      <c r="AP36" s="111">
        <f t="shared" si="53"/>
        <v>4.2244582757030802E-2</v>
      </c>
      <c r="AQ36" s="107">
        <f t="shared" si="7"/>
        <v>0.50870235734743341</v>
      </c>
      <c r="AR36" s="107">
        <f t="shared" si="29"/>
        <v>1.4142301943198805</v>
      </c>
      <c r="AS36" s="107">
        <f t="shared" si="9"/>
        <v>1.03542600896861</v>
      </c>
      <c r="AT36" s="107">
        <f t="shared" si="10"/>
        <v>0.36584379962465713</v>
      </c>
      <c r="AU36" s="107">
        <v>0.17938361576960221</v>
      </c>
      <c r="AV36" s="111"/>
      <c r="AW36" s="100">
        <v>19129</v>
      </c>
      <c r="AX36" s="100">
        <v>13</v>
      </c>
      <c r="AY36" s="107">
        <f t="shared" si="12"/>
        <v>0.55230258409123723</v>
      </c>
      <c r="AZ36" s="111"/>
      <c r="BA36" s="101">
        <f t="shared" si="13"/>
        <v>0.28403080178118928</v>
      </c>
      <c r="BB36" s="101">
        <f t="shared" si="14"/>
        <v>0.38477775432437539</v>
      </c>
      <c r="BC36" s="101">
        <f t="shared" si="15"/>
        <v>0.17226400631019964</v>
      </c>
      <c r="BD36" s="102">
        <f t="shared" si="16"/>
        <v>0.11995793272701026</v>
      </c>
      <c r="BE36" s="102">
        <f t="shared" si="27"/>
        <v>0.11995793272701026</v>
      </c>
      <c r="BF36" s="102">
        <f t="shared" si="17"/>
        <v>3.4071747812466691E-2</v>
      </c>
      <c r="BG36" s="102">
        <f t="shared" si="18"/>
        <v>1.5501312871806488E-2</v>
      </c>
      <c r="BH36" s="102">
        <f t="shared" si="19"/>
        <v>4.6157143968093499E-2</v>
      </c>
      <c r="BI36" s="102">
        <f t="shared" si="28"/>
        <v>4.6157143968093499E-2</v>
      </c>
      <c r="BJ36" s="102">
        <f t="shared" si="20"/>
        <v>1.812098512727827E-2</v>
      </c>
      <c r="BL36" s="100">
        <v>166434</v>
      </c>
      <c r="BM36" s="100">
        <v>10736.768</v>
      </c>
      <c r="BN36" s="100">
        <v>9184.6</v>
      </c>
      <c r="BP36" s="99">
        <v>20</v>
      </c>
      <c r="BW36" s="100">
        <f t="shared" si="21"/>
        <v>19051.500766779995</v>
      </c>
      <c r="BX36" s="100">
        <v>116254.531558</v>
      </c>
      <c r="BY36" s="100">
        <v>-97203.030791220008</v>
      </c>
      <c r="BZ36" s="101">
        <f t="shared" si="22"/>
        <v>0.15623539881401657</v>
      </c>
      <c r="CA36" s="101">
        <f t="shared" si="23"/>
        <v>0.95336705093446827</v>
      </c>
      <c r="CB36" s="101">
        <f t="shared" si="24"/>
        <v>-0.79713165212045178</v>
      </c>
      <c r="CC36" s="100"/>
      <c r="CD36" s="100"/>
      <c r="CF36" s="100">
        <v>17019</v>
      </c>
      <c r="CG36" s="100">
        <v>3108</v>
      </c>
      <c r="CH36" s="100">
        <v>12714</v>
      </c>
      <c r="CI36" s="100">
        <v>-1343</v>
      </c>
      <c r="CJ36" s="100">
        <v>1095</v>
      </c>
      <c r="CK36" s="100">
        <v>1444</v>
      </c>
      <c r="CL36" s="100">
        <v>18184</v>
      </c>
      <c r="CM36" s="100">
        <v>18220</v>
      </c>
      <c r="CN36" s="119">
        <v>1262</v>
      </c>
      <c r="CO36" s="119">
        <f t="shared" si="30"/>
        <v>1410.2976200000001</v>
      </c>
      <c r="CP36" s="116">
        <f t="shared" si="31"/>
        <v>0.33944280548760775</v>
      </c>
      <c r="CQ36" s="116"/>
      <c r="CR36" s="100">
        <v>1877</v>
      </c>
      <c r="CS36" s="100">
        <v>1520</v>
      </c>
      <c r="CT36" s="100">
        <v>8956</v>
      </c>
      <c r="CU36" s="100">
        <v>8845</v>
      </c>
      <c r="CV36" s="100">
        <f t="shared" si="32"/>
        <v>-7079</v>
      </c>
      <c r="CW36" s="101">
        <f t="shared" si="33"/>
        <v>-6.4874433455523572E-2</v>
      </c>
      <c r="CX36" s="100">
        <f t="shared" si="34"/>
        <v>-7325</v>
      </c>
      <c r="CY36" s="101">
        <f t="shared" si="35"/>
        <v>-6.7128863548765391E-2</v>
      </c>
      <c r="CZ36" s="100">
        <f t="shared" si="36"/>
        <v>246</v>
      </c>
      <c r="DA36" s="101">
        <f t="shared" si="37"/>
        <v>2.254430093241814E-3</v>
      </c>
      <c r="DB36" s="101"/>
      <c r="DC36" s="100">
        <v>661</v>
      </c>
      <c r="DD36" s="100">
        <v>16</v>
      </c>
      <c r="DE36" s="100">
        <v>223</v>
      </c>
      <c r="DF36" s="100">
        <v>128</v>
      </c>
      <c r="DG36" s="100"/>
      <c r="DH36" s="100">
        <f t="shared" si="39"/>
        <v>1536</v>
      </c>
      <c r="DI36" s="100">
        <f t="shared" si="40"/>
        <v>8973</v>
      </c>
      <c r="DJ36" s="100">
        <f t="shared" si="41"/>
        <v>-7437</v>
      </c>
      <c r="DK36" s="101">
        <f t="shared" si="42"/>
        <v>-6.8155270745688487E-2</v>
      </c>
      <c r="DL36" s="100">
        <f t="shared" si="43"/>
        <v>684</v>
      </c>
      <c r="DM36" s="101">
        <f t="shared" si="44"/>
        <v>6.2684153812089458E-3</v>
      </c>
      <c r="DN36" s="101"/>
      <c r="DO36" s="100">
        <v>7143.9999999999991</v>
      </c>
      <c r="DQ36" s="100">
        <v>18499.400000000001</v>
      </c>
      <c r="DS36" s="100">
        <f t="shared" si="45"/>
        <v>-11355.400000000001</v>
      </c>
      <c r="DT36" s="101">
        <f t="shared" si="46"/>
        <v>-0.10406485967804104</v>
      </c>
      <c r="DU36" s="101">
        <f t="shared" si="47"/>
        <v>0.66607734526232676</v>
      </c>
      <c r="DV36" s="101">
        <v>0.35</v>
      </c>
      <c r="DW36" s="102">
        <f t="shared" si="25"/>
        <v>-0.14999999999999997</v>
      </c>
      <c r="DX36" s="101"/>
      <c r="DY36" s="101"/>
      <c r="DZ36" s="114"/>
      <c r="EA36" s="114"/>
      <c r="EB36" s="114"/>
      <c r="EC36" s="101"/>
      <c r="ED36" s="101"/>
      <c r="EE36" s="101"/>
      <c r="EF36" s="101"/>
      <c r="EG36" s="101"/>
      <c r="EH36" s="101"/>
      <c r="EI36" s="101"/>
      <c r="EJ36" s="101"/>
      <c r="EK36" s="101"/>
      <c r="EL36" s="101"/>
      <c r="EM36" s="101"/>
      <c r="EN36" s="99">
        <v>1.11751</v>
      </c>
    </row>
    <row r="37" spans="1:145" s="99" customFormat="1">
      <c r="A37" s="98">
        <v>2002</v>
      </c>
      <c r="B37" s="100">
        <v>98136</v>
      </c>
      <c r="C37" s="100"/>
      <c r="D37" s="112">
        <v>0.91357789184035809</v>
      </c>
      <c r="E37" s="100">
        <v>135951</v>
      </c>
      <c r="F37" s="100"/>
      <c r="G37" s="100">
        <v>-23732</v>
      </c>
      <c r="H37" s="101">
        <f t="shared" si="2"/>
        <v>-0.19758061159075205</v>
      </c>
      <c r="I37" s="100">
        <v>9757</v>
      </c>
      <c r="J37" s="100"/>
      <c r="K37" s="100"/>
      <c r="L37" s="100"/>
      <c r="M37" s="100">
        <v>-12532</v>
      </c>
      <c r="N37" s="100">
        <v>-12341</v>
      </c>
      <c r="P37" s="100">
        <v>-8458</v>
      </c>
      <c r="Q37" s="100">
        <v>1756</v>
      </c>
      <c r="R37" s="100">
        <v>15838</v>
      </c>
      <c r="S37" s="100">
        <f t="shared" si="3"/>
        <v>1</v>
      </c>
      <c r="T37" s="100"/>
      <c r="U37" s="100"/>
      <c r="V37" s="100">
        <v>14770.167280167332</v>
      </c>
      <c r="W37" s="100"/>
      <c r="X37" s="100">
        <v>49918.200188754679</v>
      </c>
      <c r="Y37" s="101">
        <f t="shared" si="49"/>
        <v>0.7024492042463355</v>
      </c>
      <c r="Z37" s="100"/>
      <c r="AA37" s="100"/>
      <c r="AB37" s="100"/>
      <c r="AC37" s="100"/>
      <c r="AD37" s="100">
        <v>35065</v>
      </c>
      <c r="AE37" s="100">
        <v>50659</v>
      </c>
      <c r="AF37" s="100">
        <v>9428</v>
      </c>
      <c r="AG37" s="100">
        <f t="shared" si="50"/>
        <v>41231</v>
      </c>
      <c r="AH37" s="111">
        <f t="shared" si="51"/>
        <v>0.18610710831244201</v>
      </c>
      <c r="AI37" s="111">
        <f t="shared" si="6"/>
        <v>0.42014143637401158</v>
      </c>
      <c r="AJ37" s="99">
        <f t="shared" si="52"/>
        <v>-9757</v>
      </c>
      <c r="AK37" s="99">
        <v>-12286</v>
      </c>
      <c r="AL37" s="99">
        <v>21057</v>
      </c>
      <c r="AM37" s="99">
        <v>33343</v>
      </c>
      <c r="AN37" s="100">
        <v>5013</v>
      </c>
      <c r="AO37" s="100">
        <v>4811.3819999999996</v>
      </c>
      <c r="AP37" s="111">
        <f t="shared" si="53"/>
        <v>4.0219030520646397E-2</v>
      </c>
      <c r="AQ37" s="107">
        <f t="shared" si="7"/>
        <v>0.54040840935304602</v>
      </c>
      <c r="AR37" s="107">
        <f t="shared" si="29"/>
        <v>1.5262227292171682</v>
      </c>
      <c r="AS37" s="107">
        <f t="shared" si="9"/>
        <v>1.1758448595465563</v>
      </c>
      <c r="AT37" s="107">
        <f t="shared" si="10"/>
        <v>0.29797967548689092</v>
      </c>
      <c r="AU37" s="107">
        <v>0.18021070026853955</v>
      </c>
      <c r="AV37" s="111"/>
      <c r="AW37" s="100">
        <v>23576</v>
      </c>
      <c r="AX37" s="100">
        <v>157</v>
      </c>
      <c r="AY37" s="107">
        <f t="shared" si="12"/>
        <v>0.57180276976061706</v>
      </c>
      <c r="AZ37" s="111"/>
      <c r="BA37" s="101">
        <f t="shared" si="13"/>
        <v>0.30327838706592819</v>
      </c>
      <c r="BB37" s="101">
        <f t="shared" si="14"/>
        <v>0.42014143637401158</v>
      </c>
      <c r="BC37" s="101">
        <f t="shared" si="15"/>
        <v>0.1799033993641477</v>
      </c>
      <c r="BD37" s="102">
        <f t="shared" si="16"/>
        <v>0.1166933132836943</v>
      </c>
      <c r="BE37" s="102">
        <f t="shared" si="27"/>
        <v>0.1166933132836943</v>
      </c>
      <c r="BF37" s="102">
        <f t="shared" si="17"/>
        <v>3.5390559834057859E-2</v>
      </c>
      <c r="BG37" s="102">
        <f t="shared" si="18"/>
        <v>1.4192176588333849E-2</v>
      </c>
      <c r="BH37" s="102">
        <f t="shared" si="19"/>
        <v>4.9027696258253844E-2</v>
      </c>
      <c r="BI37" s="102">
        <f t="shared" si="28"/>
        <v>4.9027696258253844E-2</v>
      </c>
      <c r="BJ37" s="102">
        <f t="shared" si="20"/>
        <v>1.6618663106137674E-2</v>
      </c>
      <c r="BL37" s="100">
        <v>156827</v>
      </c>
      <c r="BM37" s="100">
        <v>11050.243</v>
      </c>
      <c r="BN37" s="100">
        <v>9436.7999999999993</v>
      </c>
      <c r="BP37" s="99">
        <v>16</v>
      </c>
      <c r="BW37" s="100">
        <f t="shared" si="21"/>
        <v>23363.023286570009</v>
      </c>
      <c r="BX37" s="100">
        <v>123008.65612900001</v>
      </c>
      <c r="BY37" s="100">
        <v>-99645.632842430001</v>
      </c>
      <c r="BZ37" s="101">
        <f t="shared" si="22"/>
        <v>0.17184885206118389</v>
      </c>
      <c r="CA37" s="101">
        <f t="shared" si="23"/>
        <v>0.90480140733793801</v>
      </c>
      <c r="CB37" s="101">
        <f t="shared" si="24"/>
        <v>-0.73295255527675418</v>
      </c>
      <c r="CC37" s="100"/>
      <c r="CD37" s="100"/>
      <c r="CF37" s="100">
        <v>22996</v>
      </c>
      <c r="CG37" s="100">
        <v>3164</v>
      </c>
      <c r="CH37" s="100">
        <v>18098</v>
      </c>
      <c r="CI37" s="100">
        <v>-927</v>
      </c>
      <c r="CJ37" s="100" t="s">
        <v>65</v>
      </c>
      <c r="CK37" s="100" t="s">
        <v>65</v>
      </c>
      <c r="CL37" s="100">
        <v>27125</v>
      </c>
      <c r="CM37" s="100">
        <v>27146</v>
      </c>
      <c r="CN37" s="119">
        <v>2075</v>
      </c>
      <c r="CO37" s="119">
        <f t="shared" si="30"/>
        <v>2204.7947083333402</v>
      </c>
      <c r="CP37" s="116">
        <f t="shared" si="31"/>
        <v>0.45824561598587271</v>
      </c>
      <c r="CQ37" s="116"/>
      <c r="CR37" s="100">
        <v>2205</v>
      </c>
      <c r="CS37" s="100">
        <v>1954</v>
      </c>
      <c r="CT37" s="100">
        <v>13081</v>
      </c>
      <c r="CU37" s="100">
        <v>12977</v>
      </c>
      <c r="CV37" s="100">
        <f t="shared" si="32"/>
        <v>-10876</v>
      </c>
      <c r="CW37" s="101">
        <f t="shared" si="33"/>
        <v>-8.5003508077665491E-2</v>
      </c>
      <c r="CX37" s="100">
        <f t="shared" si="34"/>
        <v>-11023</v>
      </c>
      <c r="CY37" s="101">
        <f t="shared" si="35"/>
        <v>-8.6152415367792098E-2</v>
      </c>
      <c r="CZ37" s="100">
        <f t="shared" si="36"/>
        <v>147</v>
      </c>
      <c r="DA37" s="101">
        <f t="shared" si="37"/>
        <v>1.1489072901265931E-3</v>
      </c>
      <c r="DB37" s="101"/>
      <c r="DC37" s="100">
        <v>94</v>
      </c>
      <c r="DD37" s="100">
        <v>35</v>
      </c>
      <c r="DE37" s="100">
        <v>212</v>
      </c>
      <c r="DF37" s="100">
        <v>141</v>
      </c>
      <c r="DG37" s="100"/>
      <c r="DH37" s="100">
        <f t="shared" si="39"/>
        <v>1989</v>
      </c>
      <c r="DI37" s="100">
        <f t="shared" si="40"/>
        <v>13118</v>
      </c>
      <c r="DJ37" s="100">
        <f t="shared" si="41"/>
        <v>-11129</v>
      </c>
      <c r="DK37" s="101">
        <f t="shared" si="42"/>
        <v>-8.6980879128019439E-2</v>
      </c>
      <c r="DL37" s="100">
        <f t="shared" si="43"/>
        <v>29</v>
      </c>
      <c r="DM37" s="101">
        <f t="shared" si="44"/>
        <v>2.2665517968483811E-4</v>
      </c>
      <c r="DN37" s="101"/>
      <c r="DO37" s="100">
        <v>6744.9999999999991</v>
      </c>
      <c r="DQ37" s="100">
        <v>22437.599999999999</v>
      </c>
      <c r="DS37" s="100">
        <f t="shared" si="45"/>
        <v>-15692.599999999999</v>
      </c>
      <c r="DT37" s="101">
        <f t="shared" si="46"/>
        <v>-0.12264858871456173</v>
      </c>
      <c r="DU37" s="101">
        <f t="shared" si="47"/>
        <v>0.71370036659246794</v>
      </c>
      <c r="DV37" s="101">
        <v>0.35</v>
      </c>
      <c r="DW37" s="102">
        <f t="shared" si="25"/>
        <v>-0.18999999999999997</v>
      </c>
      <c r="DX37" s="101"/>
      <c r="DY37" s="101"/>
      <c r="DZ37" s="114"/>
      <c r="EA37" s="114"/>
      <c r="EB37" s="114"/>
      <c r="EC37" s="101"/>
      <c r="ED37" s="101"/>
      <c r="EE37" s="101"/>
      <c r="EF37" s="101"/>
      <c r="EG37" s="101"/>
      <c r="EH37" s="101"/>
      <c r="EI37" s="101"/>
      <c r="EJ37" s="101"/>
      <c r="EK37" s="101"/>
      <c r="EL37" s="101"/>
      <c r="EM37" s="101"/>
      <c r="EN37" s="99">
        <v>1.0625516666666699</v>
      </c>
    </row>
    <row r="38" spans="1:145" s="99" customFormat="1">
      <c r="A38" s="98">
        <v>2003</v>
      </c>
      <c r="B38" s="100">
        <v>107624</v>
      </c>
      <c r="C38" s="100"/>
      <c r="D38" s="112">
        <v>0.94347581877381137</v>
      </c>
      <c r="E38" s="100">
        <v>145557</v>
      </c>
      <c r="F38" s="100"/>
      <c r="G38" s="100">
        <v>-21770</v>
      </c>
      <c r="H38" s="101">
        <f t="shared" si="2"/>
        <v>-0.17048035208069037</v>
      </c>
      <c r="I38" s="100">
        <v>10832</v>
      </c>
      <c r="J38" s="100"/>
      <c r="K38" s="100"/>
      <c r="L38" s="100"/>
      <c r="M38" s="100">
        <v>-10520</v>
      </c>
      <c r="N38" s="100">
        <v>-13224</v>
      </c>
      <c r="P38" s="100">
        <v>-8644</v>
      </c>
      <c r="Q38" s="100">
        <v>1698</v>
      </c>
      <c r="R38" s="100">
        <v>17859</v>
      </c>
      <c r="S38" s="100">
        <f t="shared" si="3"/>
        <v>2</v>
      </c>
      <c r="T38" s="100"/>
      <c r="U38" s="100"/>
      <c r="V38" s="100">
        <v>16171.987960779301</v>
      </c>
      <c r="W38" s="100"/>
      <c r="X38" s="100">
        <v>54343.917044607486</v>
      </c>
      <c r="Y38" s="101">
        <f t="shared" si="49"/>
        <v>0.69687652380512233</v>
      </c>
      <c r="Z38" s="100"/>
      <c r="AA38" s="100"/>
      <c r="AB38" s="100"/>
      <c r="AC38" s="100"/>
      <c r="AD38" s="100">
        <v>37871</v>
      </c>
      <c r="AE38" s="100">
        <v>52942</v>
      </c>
      <c r="AF38" s="100">
        <v>10464</v>
      </c>
      <c r="AG38" s="100">
        <f t="shared" si="50"/>
        <v>42478</v>
      </c>
      <c r="AH38" s="111">
        <f t="shared" si="51"/>
        <v>0.19765025877375242</v>
      </c>
      <c r="AI38" s="111">
        <f t="shared" si="6"/>
        <v>0.39468891697019254</v>
      </c>
      <c r="AJ38" s="99">
        <f t="shared" si="52"/>
        <v>-10832</v>
      </c>
      <c r="AK38" s="99">
        <v>-13268</v>
      </c>
      <c r="AL38" s="99">
        <v>18105</v>
      </c>
      <c r="AM38" s="99">
        <v>31373</v>
      </c>
      <c r="AN38" s="100">
        <v>5680</v>
      </c>
      <c r="AO38" s="100">
        <v>5161.0940000000001</v>
      </c>
      <c r="AP38" s="111">
        <f t="shared" si="53"/>
        <v>9.1356690140845062E-2</v>
      </c>
      <c r="AQ38" s="107">
        <f t="shared" si="7"/>
        <v>0.52866868287097535</v>
      </c>
      <c r="AR38" s="107">
        <f t="shared" si="29"/>
        <v>1.4719970425919569</v>
      </c>
      <c r="AS38" s="107">
        <f t="shared" si="9"/>
        <v>1.1216498112011828</v>
      </c>
      <c r="AT38" s="107">
        <f t="shared" si="10"/>
        <v>0.31234992231272657</v>
      </c>
      <c r="AU38" s="107">
        <v>0.18956950351790758</v>
      </c>
      <c r="AV38" s="111"/>
      <c r="AW38" s="100">
        <v>21555</v>
      </c>
      <c r="AX38" s="100">
        <v>217</v>
      </c>
      <c r="AY38" s="107">
        <f t="shared" si="12"/>
        <v>0.50743914496916054</v>
      </c>
      <c r="AZ38" s="111"/>
      <c r="BA38" s="101">
        <f t="shared" si="13"/>
        <v>0.29183069175649401</v>
      </c>
      <c r="BB38" s="101">
        <f t="shared" si="14"/>
        <v>0.39468891697019254</v>
      </c>
      <c r="BC38" s="101">
        <f t="shared" si="15"/>
        <v>0.19440831041403406</v>
      </c>
      <c r="BD38" s="102">
        <f t="shared" si="16"/>
        <v>0.12150040020716607</v>
      </c>
      <c r="BE38" s="102">
        <f t="shared" si="27"/>
        <v>0.12150040020716607</v>
      </c>
      <c r="BF38" s="102">
        <f t="shared" si="17"/>
        <v>3.5457545841148144E-2</v>
      </c>
      <c r="BG38" s="102">
        <f t="shared" si="18"/>
        <v>1.8203326944785294E-2</v>
      </c>
      <c r="BH38" s="102">
        <f t="shared" si="19"/>
        <v>4.795486136921133E-2</v>
      </c>
      <c r="BI38" s="102">
        <f t="shared" si="28"/>
        <v>4.795486136921133E-2</v>
      </c>
      <c r="BJ38" s="102">
        <f t="shared" si="20"/>
        <v>2.1266803187283304E-2</v>
      </c>
      <c r="BL38" s="100">
        <v>209780</v>
      </c>
      <c r="BM38" s="100">
        <v>11524.267000000002</v>
      </c>
      <c r="BN38" s="100">
        <v>9864.2000000000007</v>
      </c>
      <c r="BP38" s="99">
        <v>12.5</v>
      </c>
      <c r="BW38" s="100">
        <f t="shared" si="21"/>
        <v>22055.024063710298</v>
      </c>
      <c r="BX38" s="100">
        <v>117684.67141899999</v>
      </c>
      <c r="BY38" s="100">
        <v>-95629.647355289693</v>
      </c>
      <c r="BZ38" s="101">
        <f t="shared" si="22"/>
        <v>0.15152156243746639</v>
      </c>
      <c r="CA38" s="101">
        <f t="shared" si="23"/>
        <v>0.80851261992896251</v>
      </c>
      <c r="CB38" s="101">
        <f t="shared" si="24"/>
        <v>-0.65699105749149611</v>
      </c>
      <c r="CC38" s="100"/>
      <c r="CD38" s="100"/>
      <c r="CF38" s="100">
        <v>28100</v>
      </c>
      <c r="CG38" s="100">
        <v>3694</v>
      </c>
      <c r="CH38" s="100">
        <v>23332</v>
      </c>
      <c r="CI38" s="100">
        <v>-1570</v>
      </c>
      <c r="CJ38" s="100">
        <v>1088</v>
      </c>
      <c r="CK38" s="100">
        <v>1557</v>
      </c>
      <c r="CL38" s="100">
        <v>31281</v>
      </c>
      <c r="CM38" s="100">
        <v>31300</v>
      </c>
      <c r="CN38" s="119">
        <v>2019</v>
      </c>
      <c r="CO38" s="119">
        <f t="shared" si="30"/>
        <v>1788.9029825000007</v>
      </c>
      <c r="CP38" s="116">
        <f t="shared" si="31"/>
        <v>0.34661313715657971</v>
      </c>
      <c r="CQ38" s="116"/>
      <c r="CR38" s="100">
        <v>2048</v>
      </c>
      <c r="CS38" s="100">
        <v>1878</v>
      </c>
      <c r="CT38" s="100">
        <v>15024</v>
      </c>
      <c r="CU38" s="100">
        <v>14843</v>
      </c>
      <c r="CV38" s="100">
        <f t="shared" si="32"/>
        <v>-12976</v>
      </c>
      <c r="CW38" s="101">
        <f t="shared" si="33"/>
        <v>-7.8987471208301019E-2</v>
      </c>
      <c r="CX38" s="100">
        <f t="shared" si="34"/>
        <v>-12965</v>
      </c>
      <c r="CY38" s="101">
        <f t="shared" si="35"/>
        <v>-7.8920512038811855E-2</v>
      </c>
      <c r="CZ38" s="100">
        <f t="shared" si="36"/>
        <v>-11</v>
      </c>
      <c r="DA38" s="101">
        <f t="shared" si="37"/>
        <v>-6.6959169489157769E-5</v>
      </c>
      <c r="DB38" s="101"/>
      <c r="DC38" s="100">
        <v>110</v>
      </c>
      <c r="DD38" s="100">
        <v>48</v>
      </c>
      <c r="DE38" s="108">
        <f>(DE37+DE39)/2</f>
        <v>274.5</v>
      </c>
      <c r="DF38" s="108">
        <f>(DF37+DF39)/2</f>
        <v>221.5</v>
      </c>
      <c r="DG38" s="100"/>
      <c r="DH38" s="100">
        <f t="shared" si="39"/>
        <v>1926</v>
      </c>
      <c r="DI38" s="100">
        <f t="shared" si="40"/>
        <v>15064.5</v>
      </c>
      <c r="DJ38" s="100">
        <f t="shared" si="41"/>
        <v>-13138.5</v>
      </c>
      <c r="DK38" s="101">
        <f t="shared" si="42"/>
        <v>-7.9976640757572659E-2</v>
      </c>
      <c r="DL38" s="100">
        <f t="shared" si="43"/>
        <v>-175.5</v>
      </c>
      <c r="DM38" s="101">
        <f t="shared" si="44"/>
        <v>-1.0683031132133808E-3</v>
      </c>
      <c r="DN38" s="101"/>
      <c r="DO38" s="100">
        <v>7695.6626569999999</v>
      </c>
      <c r="DQ38" s="100">
        <v>25746.529467</v>
      </c>
      <c r="DS38" s="100">
        <f t="shared" si="45"/>
        <v>-18050.86681</v>
      </c>
      <c r="DT38" s="101">
        <f t="shared" si="46"/>
        <v>-0.10987918637790933</v>
      </c>
      <c r="DU38" s="101">
        <f t="shared" si="47"/>
        <v>0.72517194655550721</v>
      </c>
      <c r="DV38" s="101">
        <v>0.35</v>
      </c>
      <c r="DW38" s="102">
        <f t="shared" si="25"/>
        <v>-0.22499999999999998</v>
      </c>
      <c r="DX38" s="101"/>
      <c r="DY38" s="101"/>
      <c r="DZ38" s="114"/>
      <c r="EA38" s="114"/>
      <c r="EB38" s="114"/>
      <c r="EC38" s="101"/>
      <c r="ED38" s="101"/>
      <c r="EE38" s="101"/>
      <c r="EF38" s="101"/>
      <c r="EG38" s="101"/>
      <c r="EH38" s="101"/>
      <c r="EI38" s="101"/>
      <c r="EJ38" s="101"/>
      <c r="EK38" s="101"/>
      <c r="EL38" s="101"/>
      <c r="EM38" s="101"/>
      <c r="EN38" s="99">
        <v>0.88603416666666701</v>
      </c>
    </row>
    <row r="39" spans="1:145" s="99" customFormat="1">
      <c r="A39" s="98">
        <v>2004</v>
      </c>
      <c r="B39" s="100">
        <v>114745</v>
      </c>
      <c r="C39" s="100"/>
      <c r="D39" s="112">
        <v>0.94832246606756576</v>
      </c>
      <c r="E39" s="100">
        <v>156144</v>
      </c>
      <c r="F39" s="100"/>
      <c r="G39" s="100">
        <v>-22991</v>
      </c>
      <c r="H39" s="101">
        <f t="shared" si="2"/>
        <v>-0.16888755031880823</v>
      </c>
      <c r="I39" s="100">
        <v>10596</v>
      </c>
      <c r="J39" s="100"/>
      <c r="K39" s="100"/>
      <c r="L39" s="100"/>
      <c r="M39" s="100">
        <v>-17796</v>
      </c>
      <c r="N39" s="100">
        <v>-6570</v>
      </c>
      <c r="P39" s="100">
        <v>-8944</v>
      </c>
      <c r="Q39" s="100">
        <v>1608</v>
      </c>
      <c r="R39" s="100">
        <v>20012</v>
      </c>
      <c r="S39" s="100">
        <f t="shared" si="3"/>
        <v>4</v>
      </c>
      <c r="T39" s="100"/>
      <c r="U39" s="100"/>
      <c r="V39" s="100">
        <v>18151.860988751563</v>
      </c>
      <c r="W39" s="100"/>
      <c r="X39" s="100">
        <v>59029.67222121013</v>
      </c>
      <c r="Y39" s="101">
        <f t="shared" si="49"/>
        <v>0.6968021073513726</v>
      </c>
      <c r="Z39" s="100"/>
      <c r="AA39" s="100"/>
      <c r="AB39" s="100"/>
      <c r="AC39" s="100"/>
      <c r="AD39" s="100">
        <v>41132</v>
      </c>
      <c r="AE39" s="100">
        <v>55190</v>
      </c>
      <c r="AF39" s="100">
        <v>11599</v>
      </c>
      <c r="AG39" s="100">
        <f t="shared" si="50"/>
        <v>43591</v>
      </c>
      <c r="AH39" s="111">
        <f t="shared" si="51"/>
        <v>0.21016488494292443</v>
      </c>
      <c r="AI39" s="111">
        <f t="shared" si="6"/>
        <v>0.37989454878208201</v>
      </c>
      <c r="AJ39" s="99">
        <f t="shared" si="52"/>
        <v>-10596</v>
      </c>
      <c r="AK39" s="99">
        <v>-12919</v>
      </c>
      <c r="AL39" s="99">
        <v>21991</v>
      </c>
      <c r="AM39" s="99">
        <v>34910</v>
      </c>
      <c r="AN39" s="100">
        <v>5947</v>
      </c>
      <c r="AO39" s="100">
        <v>5341.4970000000003</v>
      </c>
      <c r="AP39" s="111">
        <f t="shared" si="53"/>
        <v>0.10181654615772653</v>
      </c>
      <c r="AQ39" s="107">
        <f t="shared" si="7"/>
        <v>0.51451199792264202</v>
      </c>
      <c r="AR39" s="107">
        <f t="shared" si="29"/>
        <v>1.3738694933385198</v>
      </c>
      <c r="AS39" s="107">
        <f t="shared" si="9"/>
        <v>1.0597831372167654</v>
      </c>
      <c r="AT39" s="107">
        <f t="shared" si="10"/>
        <v>0.29636851643687917</v>
      </c>
      <c r="AU39" s="107">
        <v>0.21747829369573424</v>
      </c>
      <c r="AV39" s="111"/>
      <c r="AW39" s="100">
        <v>22715</v>
      </c>
      <c r="AX39" s="100">
        <v>280</v>
      </c>
      <c r="AY39" s="107">
        <f t="shared" si="12"/>
        <v>0.52109380376683256</v>
      </c>
      <c r="AZ39" s="111"/>
      <c r="BA39" s="101">
        <f t="shared" si="13"/>
        <v>0.27917179014243265</v>
      </c>
      <c r="BB39" s="101">
        <f t="shared" si="14"/>
        <v>0.37989454878208201</v>
      </c>
      <c r="BC39" s="101">
        <f t="shared" si="15"/>
        <v>0.18193385332694234</v>
      </c>
      <c r="BD39" s="102">
        <f t="shared" si="16"/>
        <v>0.12253669335413274</v>
      </c>
      <c r="BE39" s="102">
        <f t="shared" si="27"/>
        <v>0.12253669335413274</v>
      </c>
      <c r="BF39" s="102">
        <f t="shared" si="17"/>
        <v>3.4208788041807561E-2</v>
      </c>
      <c r="BG39" s="102">
        <f t="shared" si="18"/>
        <v>2.2299027523316684E-2</v>
      </c>
      <c r="BH39" s="102">
        <f t="shared" si="19"/>
        <v>4.6551021831016608E-2</v>
      </c>
      <c r="BI39" s="102">
        <f t="shared" si="28"/>
        <v>4.6551021831016608E-2</v>
      </c>
      <c r="BJ39" s="102">
        <f t="shared" si="20"/>
        <v>2.5985636900074948E-2</v>
      </c>
      <c r="BL39" s="100">
        <v>273912</v>
      </c>
      <c r="BM39" s="100">
        <v>12283.585000000001</v>
      </c>
      <c r="BN39" s="100">
        <v>10540.9</v>
      </c>
      <c r="BP39" s="99">
        <v>12.5</v>
      </c>
      <c r="BW39" s="100">
        <f t="shared" si="21"/>
        <v>22446.911401320103</v>
      </c>
      <c r="BX39" s="100">
        <v>125752.65193600001</v>
      </c>
      <c r="BY39" s="100">
        <v>-103305.74053467991</v>
      </c>
      <c r="BZ39" s="101">
        <f t="shared" si="22"/>
        <v>0.143757758231633</v>
      </c>
      <c r="CA39" s="101">
        <f t="shared" si="23"/>
        <v>0.80536333087406498</v>
      </c>
      <c r="CB39" s="101">
        <f t="shared" si="24"/>
        <v>-0.66160557264243203</v>
      </c>
      <c r="CC39" s="100"/>
      <c r="CD39" s="100"/>
      <c r="CF39" s="100">
        <v>35957</v>
      </c>
      <c r="CG39" s="100">
        <v>4569</v>
      </c>
      <c r="CH39" s="100">
        <v>29592</v>
      </c>
      <c r="CI39" s="100">
        <v>-1443</v>
      </c>
      <c r="CJ39" s="100">
        <v>1430</v>
      </c>
      <c r="CK39" s="100">
        <v>1809</v>
      </c>
      <c r="CL39" s="100">
        <v>39266</v>
      </c>
      <c r="CM39" s="100">
        <v>39286</v>
      </c>
      <c r="CN39" s="119">
        <v>1920</v>
      </c>
      <c r="CO39" s="119">
        <f t="shared" si="30"/>
        <v>1546.3008</v>
      </c>
      <c r="CP39" s="116">
        <f t="shared" si="31"/>
        <v>0.28948828390243408</v>
      </c>
      <c r="CQ39" s="116"/>
      <c r="CR39" s="100">
        <v>2330</v>
      </c>
      <c r="CS39" s="100">
        <v>2161</v>
      </c>
      <c r="CT39" s="100">
        <v>15384</v>
      </c>
      <c r="CU39" s="100">
        <v>14919</v>
      </c>
      <c r="CV39" s="100">
        <f t="shared" si="32"/>
        <v>-13054</v>
      </c>
      <c r="CW39" s="101">
        <f t="shared" si="33"/>
        <v>-6.7330379073163235E-2</v>
      </c>
      <c r="CX39" s="100">
        <f t="shared" si="34"/>
        <v>-12758</v>
      </c>
      <c r="CY39" s="101">
        <f t="shared" si="35"/>
        <v>-6.5803659890869975E-2</v>
      </c>
      <c r="CZ39" s="100">
        <f t="shared" si="36"/>
        <v>-296</v>
      </c>
      <c r="DA39" s="101">
        <f t="shared" si="37"/>
        <v>-1.5267191822932677E-3</v>
      </c>
      <c r="DB39" s="101"/>
      <c r="DC39" s="100">
        <v>154</v>
      </c>
      <c r="DD39" s="100">
        <v>59</v>
      </c>
      <c r="DE39" s="100">
        <v>337</v>
      </c>
      <c r="DF39" s="100">
        <v>302</v>
      </c>
      <c r="DG39" s="100"/>
      <c r="DH39" s="100">
        <f t="shared" si="39"/>
        <v>2220</v>
      </c>
      <c r="DI39" s="100">
        <f t="shared" si="40"/>
        <v>15221</v>
      </c>
      <c r="DJ39" s="100">
        <f t="shared" si="41"/>
        <v>-13001</v>
      </c>
      <c r="DK39" s="101">
        <f t="shared" si="42"/>
        <v>-6.7057013814171534E-2</v>
      </c>
      <c r="DL39" s="100">
        <f t="shared" si="43"/>
        <v>-479</v>
      </c>
      <c r="DM39" s="101">
        <f t="shared" si="44"/>
        <v>-2.4706030010759297E-3</v>
      </c>
      <c r="DN39" s="101"/>
      <c r="DO39" s="100">
        <v>7551.619955000001</v>
      </c>
      <c r="DQ39" s="100">
        <v>27447.879018000003</v>
      </c>
      <c r="DS39" s="100">
        <f t="shared" si="45"/>
        <v>-19896.259063000001</v>
      </c>
      <c r="DT39" s="101">
        <f t="shared" si="46"/>
        <v>-0.10262162286269723</v>
      </c>
      <c r="DU39" s="101">
        <f t="shared" si="47"/>
        <v>0.71385102359029395</v>
      </c>
      <c r="DV39" s="101">
        <v>0.35</v>
      </c>
      <c r="DW39" s="102">
        <f t="shared" si="25"/>
        <v>-0.22499999999999998</v>
      </c>
      <c r="DX39" s="101"/>
      <c r="DY39" s="101"/>
      <c r="DZ39" s="114"/>
      <c r="EA39" s="114"/>
      <c r="EB39" s="114"/>
      <c r="EC39" s="101"/>
      <c r="ED39" s="101"/>
      <c r="EE39" s="101"/>
      <c r="EF39" s="101"/>
      <c r="EG39" s="101"/>
      <c r="EH39" s="101"/>
      <c r="EI39" s="101"/>
      <c r="EJ39" s="101"/>
      <c r="EK39" s="101"/>
      <c r="EL39" s="101"/>
      <c r="EM39" s="101"/>
      <c r="EN39" s="99">
        <v>0.805365</v>
      </c>
    </row>
    <row r="40" spans="1:145" s="99" customFormat="1">
      <c r="A40" s="98">
        <v>2005</v>
      </c>
      <c r="B40" s="100">
        <v>123834</v>
      </c>
      <c r="C40" s="100"/>
      <c r="D40" s="112">
        <v>0.97742842351001324</v>
      </c>
      <c r="E40" s="100">
        <v>170216</v>
      </c>
      <c r="F40" s="100"/>
      <c r="G40" s="100">
        <v>-24819</v>
      </c>
      <c r="H40" s="101">
        <f t="shared" si="2"/>
        <v>-0.16923968632799183</v>
      </c>
      <c r="I40" s="100">
        <v>9965</v>
      </c>
      <c r="J40" s="100"/>
      <c r="K40" s="100"/>
      <c r="L40" s="100"/>
      <c r="M40" s="100">
        <v>-24160</v>
      </c>
      <c r="N40" s="100">
        <v>93</v>
      </c>
      <c r="P40" s="100">
        <v>-10255</v>
      </c>
      <c r="Q40" s="100">
        <v>2006</v>
      </c>
      <c r="R40" s="100">
        <v>23566</v>
      </c>
      <c r="S40" s="100">
        <f t="shared" si="3"/>
        <v>3</v>
      </c>
      <c r="T40" s="100"/>
      <c r="U40" s="100"/>
      <c r="V40" s="100">
        <v>20609.670212411511</v>
      </c>
      <c r="W40" s="100"/>
      <c r="X40" s="100">
        <v>65746.947478143513</v>
      </c>
      <c r="Y40" s="101">
        <f t="shared" si="49"/>
        <v>0.69049593542105991</v>
      </c>
      <c r="Z40" s="100"/>
      <c r="AA40" s="100"/>
      <c r="AB40" s="100"/>
      <c r="AC40" s="100"/>
      <c r="AD40" s="100">
        <v>45398</v>
      </c>
      <c r="AE40" s="100">
        <v>59220</v>
      </c>
      <c r="AF40" s="100">
        <v>13998</v>
      </c>
      <c r="AG40" s="100">
        <f t="shared" si="50"/>
        <v>45222</v>
      </c>
      <c r="AH40" s="111">
        <f t="shared" si="51"/>
        <v>0.23637284701114489</v>
      </c>
      <c r="AI40" s="111">
        <f t="shared" si="6"/>
        <v>0.36518242162895487</v>
      </c>
      <c r="AJ40" s="99">
        <f t="shared" si="52"/>
        <v>-9965</v>
      </c>
      <c r="AK40" s="99">
        <v>-12667</v>
      </c>
      <c r="AL40" s="99">
        <v>32043</v>
      </c>
      <c r="AM40" s="99">
        <v>44710</v>
      </c>
      <c r="AN40" s="100">
        <v>6215</v>
      </c>
      <c r="AO40" s="100">
        <v>5511.4309999999996</v>
      </c>
      <c r="AP40" s="111">
        <f t="shared" si="53"/>
        <v>0.11320498793242163</v>
      </c>
      <c r="AQ40" s="107">
        <f t="shared" si="7"/>
        <v>0.49902891193996912</v>
      </c>
      <c r="AR40" s="107">
        <f t="shared" si="29"/>
        <v>1.2751442794836776</v>
      </c>
      <c r="AS40" s="107">
        <f t="shared" si="9"/>
        <v>0.99612317723247723</v>
      </c>
      <c r="AT40" s="107">
        <f t="shared" si="10"/>
        <v>0.28010702755296096</v>
      </c>
      <c r="AU40" s="107">
        <v>0.23207432117364324</v>
      </c>
      <c r="AV40" s="111"/>
      <c r="AW40" s="100">
        <v>24358</v>
      </c>
      <c r="AX40" s="100">
        <v>462</v>
      </c>
      <c r="AY40" s="107">
        <f t="shared" si="12"/>
        <v>0.5386316394675158</v>
      </c>
      <c r="AZ40" s="111"/>
      <c r="BA40" s="101">
        <f t="shared" si="13"/>
        <v>0.26567420219015836</v>
      </c>
      <c r="BB40" s="101">
        <f t="shared" si="14"/>
        <v>0.36518242162895487</v>
      </c>
      <c r="BC40" s="101">
        <f t="shared" si="15"/>
        <v>0.16848361516223331</v>
      </c>
      <c r="BD40" s="102">
        <f t="shared" si="16"/>
        <v>0.12187499447171729</v>
      </c>
      <c r="BE40" s="102">
        <f t="shared" si="27"/>
        <v>0.12187499447171729</v>
      </c>
      <c r="BF40" s="102">
        <f t="shared" si="17"/>
        <v>3.2379041923203455E-2</v>
      </c>
      <c r="BG40" s="102">
        <f t="shared" si="18"/>
        <v>2.8518919995941895E-2</v>
      </c>
      <c r="BH40" s="102">
        <f t="shared" si="19"/>
        <v>4.4506605617197215E-2</v>
      </c>
      <c r="BI40" s="102">
        <f t="shared" si="28"/>
        <v>4.4506605617197215E-2</v>
      </c>
      <c r="BJ40" s="102">
        <f t="shared" si="20"/>
        <v>3.3313137244434958E-2</v>
      </c>
      <c r="BL40" s="100">
        <v>374433</v>
      </c>
      <c r="BM40" s="100">
        <v>13129.284</v>
      </c>
      <c r="BN40" s="100">
        <v>11239.8</v>
      </c>
      <c r="BP40" s="99">
        <v>12.5</v>
      </c>
      <c r="BW40" s="100">
        <f t="shared" si="21"/>
        <v>18530.788067208021</v>
      </c>
      <c r="BX40" s="100">
        <v>135441.289189</v>
      </c>
      <c r="BY40" s="100">
        <v>-116910.50112179198</v>
      </c>
      <c r="BZ40" s="101">
        <f t="shared" si="22"/>
        <v>0.10886631143492986</v>
      </c>
      <c r="CA40" s="101">
        <f t="shared" si="23"/>
        <v>0.79570245563871789</v>
      </c>
      <c r="CB40" s="101">
        <f t="shared" si="24"/>
        <v>-0.68683614420378802</v>
      </c>
      <c r="CC40" s="100"/>
      <c r="CD40" s="100"/>
      <c r="CF40" s="119">
        <v>37257</v>
      </c>
      <c r="CG40" s="119">
        <v>4901</v>
      </c>
      <c r="CH40" s="119">
        <v>30751</v>
      </c>
      <c r="CI40" s="119">
        <v>-1799</v>
      </c>
      <c r="CJ40" s="119">
        <v>1709</v>
      </c>
      <c r="CK40" s="119">
        <v>1694</v>
      </c>
      <c r="CL40" s="119">
        <v>42037</v>
      </c>
      <c r="CM40" s="119">
        <v>42056</v>
      </c>
      <c r="CN40" s="119">
        <v>2653</v>
      </c>
      <c r="CO40" s="119">
        <f t="shared" si="30"/>
        <v>2133.3303599999999</v>
      </c>
      <c r="CP40" s="116">
        <f t="shared" si="31"/>
        <v>0.38707376723032549</v>
      </c>
      <c r="CQ40" s="116"/>
      <c r="CR40" s="100">
        <v>2383</v>
      </c>
      <c r="CS40" s="100">
        <v>2079</v>
      </c>
      <c r="CT40" s="100">
        <v>17831</v>
      </c>
      <c r="CU40" s="100">
        <v>17391</v>
      </c>
      <c r="CV40" s="100">
        <f t="shared" si="32"/>
        <v>-15448</v>
      </c>
      <c r="CW40" s="101">
        <f t="shared" si="33"/>
        <v>-7.2978132255487146E-2</v>
      </c>
      <c r="CX40" s="100">
        <f t="shared" si="34"/>
        <v>-15312</v>
      </c>
      <c r="CY40" s="101">
        <f t="shared" si="35"/>
        <v>-7.2335652582600926E-2</v>
      </c>
      <c r="CZ40" s="100">
        <f t="shared" si="36"/>
        <v>-136</v>
      </c>
      <c r="DA40" s="101">
        <f t="shared" si="37"/>
        <v>-6.4247967288621512E-4</v>
      </c>
      <c r="DB40" s="101"/>
      <c r="DC40" s="100">
        <v>188</v>
      </c>
      <c r="DD40" s="100">
        <v>78</v>
      </c>
      <c r="DE40" s="100">
        <v>518</v>
      </c>
      <c r="DF40" s="100">
        <v>408</v>
      </c>
      <c r="DG40" s="101"/>
      <c r="DH40" s="100">
        <f t="shared" si="39"/>
        <v>2157</v>
      </c>
      <c r="DI40" s="100">
        <f t="shared" si="40"/>
        <v>17799</v>
      </c>
      <c r="DJ40" s="100">
        <f t="shared" si="41"/>
        <v>-15642</v>
      </c>
      <c r="DK40" s="101">
        <f t="shared" si="42"/>
        <v>-7.3894610612398354E-2</v>
      </c>
      <c r="DL40" s="100">
        <f t="shared" si="43"/>
        <v>-466</v>
      </c>
      <c r="DM40" s="101">
        <f t="shared" si="44"/>
        <v>-2.2014377026836492E-3</v>
      </c>
      <c r="DN40" s="101"/>
      <c r="DO40" s="100">
        <v>8446.7719929999985</v>
      </c>
      <c r="DQ40" s="100">
        <v>28733.080260999996</v>
      </c>
      <c r="DS40" s="100">
        <f t="shared" si="45"/>
        <v>-20286.308267999997</v>
      </c>
      <c r="DT40" s="101">
        <f t="shared" si="46"/>
        <v>-9.5834858088923239E-2</v>
      </c>
      <c r="DU40" s="101">
        <f t="shared" si="47"/>
        <v>0.88029856826925179</v>
      </c>
      <c r="DV40" s="101">
        <v>0.35</v>
      </c>
      <c r="DW40" s="102">
        <f t="shared" si="25"/>
        <v>-0.22499999999999998</v>
      </c>
      <c r="DX40" s="101"/>
      <c r="DY40" s="100">
        <v>30956</v>
      </c>
      <c r="DZ40" s="115"/>
      <c r="EA40" s="114"/>
      <c r="EB40" s="114"/>
      <c r="EC40" s="101"/>
      <c r="ED40" s="101"/>
      <c r="EE40" s="101"/>
      <c r="EF40" s="101"/>
      <c r="EG40" s="101"/>
      <c r="EH40" s="101"/>
      <c r="EI40" s="101"/>
      <c r="EJ40" s="101"/>
      <c r="EK40" s="101"/>
      <c r="EL40" s="101"/>
      <c r="EM40" s="101"/>
      <c r="EN40" s="99">
        <v>0.80411999999999995</v>
      </c>
    </row>
    <row r="41" spans="1:145" s="99" customFormat="1">
      <c r="A41" s="98">
        <v>2006</v>
      </c>
      <c r="B41" s="100">
        <v>134428</v>
      </c>
      <c r="C41" s="100"/>
      <c r="D41" s="112">
        <v>1.0037889815206789</v>
      </c>
      <c r="E41" s="100">
        <v>185061</v>
      </c>
      <c r="F41" s="100"/>
      <c r="G41" s="100">
        <v>-24276</v>
      </c>
      <c r="H41" s="101">
        <f t="shared" si="2"/>
        <v>-0.15443927017329567</v>
      </c>
      <c r="I41" s="100">
        <v>13759</v>
      </c>
      <c r="J41" s="100"/>
      <c r="K41" s="100"/>
      <c r="L41" s="100"/>
      <c r="M41" s="100">
        <v>-13730</v>
      </c>
      <c r="N41" s="100">
        <v>-6441</v>
      </c>
      <c r="P41" s="100">
        <v>-17264</v>
      </c>
      <c r="Q41" s="100">
        <v>1521</v>
      </c>
      <c r="R41" s="100">
        <v>27873</v>
      </c>
      <c r="S41" s="100">
        <f t="shared" si="3"/>
        <v>5</v>
      </c>
      <c r="T41" s="100"/>
      <c r="U41" s="100"/>
      <c r="V41" s="100">
        <v>23404.136742423823</v>
      </c>
      <c r="W41" s="100"/>
      <c r="X41" s="100">
        <v>72400.094849847446</v>
      </c>
      <c r="Y41" s="101">
        <f t="shared" si="49"/>
        <v>0.69147699466177548</v>
      </c>
      <c r="Z41" s="100"/>
      <c r="AA41" s="100"/>
      <c r="AB41" s="100"/>
      <c r="AC41" s="100"/>
      <c r="AD41" s="100">
        <v>50063</v>
      </c>
      <c r="AE41" s="100">
        <v>63527</v>
      </c>
      <c r="AF41" s="100">
        <v>16854</v>
      </c>
      <c r="AG41" s="100">
        <f t="shared" si="50"/>
        <v>46673</v>
      </c>
      <c r="AH41" s="111">
        <f t="shared" si="51"/>
        <v>0.26530451618996648</v>
      </c>
      <c r="AI41" s="111">
        <f t="shared" si="6"/>
        <v>0.34719701252715207</v>
      </c>
      <c r="AJ41" s="99">
        <f t="shared" si="52"/>
        <v>-13759</v>
      </c>
      <c r="AK41" s="99">
        <v>-17224</v>
      </c>
      <c r="AL41" s="99">
        <v>52570</v>
      </c>
      <c r="AM41" s="99">
        <v>69794</v>
      </c>
      <c r="AN41" s="100">
        <v>7683</v>
      </c>
      <c r="AO41" s="100">
        <v>6687.9440000000004</v>
      </c>
      <c r="AP41" s="111">
        <f t="shared" si="53"/>
        <v>0.12951399193023552</v>
      </c>
      <c r="AQ41" s="107">
        <f t="shared" si="7"/>
        <v>0.48247808468408865</v>
      </c>
      <c r="AR41" s="107">
        <f t="shared" si="29"/>
        <v>1.2763318219044004</v>
      </c>
      <c r="AS41" s="107">
        <f t="shared" si="9"/>
        <v>0.93228532049617474</v>
      </c>
      <c r="AT41" s="107">
        <f t="shared" si="10"/>
        <v>0.36903563087866648</v>
      </c>
      <c r="AU41" s="107">
        <v>0.24640281680603993</v>
      </c>
      <c r="AV41" s="111"/>
      <c r="AW41" s="100">
        <v>23676</v>
      </c>
      <c r="AX41" s="100">
        <v>604</v>
      </c>
      <c r="AY41" s="107">
        <f t="shared" si="12"/>
        <v>0.50727401281254692</v>
      </c>
      <c r="AZ41" s="111"/>
      <c r="BA41" s="101">
        <f t="shared" si="13"/>
        <v>0.25220332755145602</v>
      </c>
      <c r="BB41" s="101">
        <f t="shared" si="14"/>
        <v>0.34719701252715207</v>
      </c>
      <c r="BC41" s="101">
        <f t="shared" si="15"/>
        <v>0.17107299074597554</v>
      </c>
      <c r="BD41" s="102">
        <f t="shared" si="16"/>
        <v>0.14329363872045939</v>
      </c>
      <c r="BE41" s="102">
        <f t="shared" si="27"/>
        <v>0.14329363872045939</v>
      </c>
      <c r="BF41" s="102">
        <f t="shared" si="17"/>
        <v>3.6139132502256012E-2</v>
      </c>
      <c r="BG41" s="102">
        <f t="shared" si="18"/>
        <v>3.0213659526397027E-2</v>
      </c>
      <c r="BH41" s="102">
        <f t="shared" si="19"/>
        <v>4.975112327788854E-2</v>
      </c>
      <c r="BI41" s="102">
        <f t="shared" si="28"/>
        <v>4.975112327788854E-2</v>
      </c>
      <c r="BJ41" s="102">
        <f t="shared" si="20"/>
        <v>3.541924896707984E-2</v>
      </c>
      <c r="BL41" s="100">
        <v>425201</v>
      </c>
      <c r="BM41" s="100">
        <v>14073.137999999999</v>
      </c>
      <c r="BN41" s="100">
        <v>12004.8</v>
      </c>
      <c r="BP41" s="99">
        <v>12.5</v>
      </c>
      <c r="BW41" s="100">
        <f t="shared" si="21"/>
        <v>14883.954970382096</v>
      </c>
      <c r="BX41" s="100">
        <v>146149.16464199999</v>
      </c>
      <c r="BY41" s="100">
        <v>-131265.20967161789</v>
      </c>
      <c r="BZ41" s="101">
        <f t="shared" si="22"/>
        <v>8.0427291381663865E-2</v>
      </c>
      <c r="CA41" s="101">
        <f t="shared" si="23"/>
        <v>0.78973508541507931</v>
      </c>
      <c r="CB41" s="101">
        <f t="shared" si="24"/>
        <v>-0.70930779403341548</v>
      </c>
      <c r="CC41" s="100"/>
      <c r="CD41" s="100"/>
      <c r="CF41" s="119">
        <v>46821</v>
      </c>
      <c r="CG41" s="119">
        <v>5243</v>
      </c>
      <c r="CH41" s="119">
        <v>37855</v>
      </c>
      <c r="CI41" s="119">
        <v>-944</v>
      </c>
      <c r="CJ41" s="119">
        <v>2309</v>
      </c>
      <c r="CK41" s="119">
        <v>2357</v>
      </c>
      <c r="CL41" s="119">
        <v>46887</v>
      </c>
      <c r="CM41" s="119">
        <v>46902</v>
      </c>
      <c r="CN41" s="119">
        <v>2508</v>
      </c>
      <c r="CO41" s="119">
        <f t="shared" si="30"/>
        <v>1999.2292099999991</v>
      </c>
      <c r="CP41" s="116">
        <f t="shared" si="31"/>
        <v>0.29893031550503396</v>
      </c>
      <c r="CQ41" s="116"/>
      <c r="CR41" s="100">
        <v>3489</v>
      </c>
      <c r="CS41" s="100">
        <v>2623</v>
      </c>
      <c r="CT41" s="100">
        <v>18887</v>
      </c>
      <c r="CU41" s="100">
        <v>18497</v>
      </c>
      <c r="CV41" s="100">
        <f t="shared" si="32"/>
        <v>-15398</v>
      </c>
      <c r="CW41" s="101">
        <f t="shared" si="33"/>
        <v>-6.6326100862238183E-2</v>
      </c>
      <c r="CX41" s="100">
        <f t="shared" si="34"/>
        <v>-15874</v>
      </c>
      <c r="CY41" s="101">
        <f t="shared" si="35"/>
        <v>-6.837644662210475E-2</v>
      </c>
      <c r="CZ41" s="100">
        <f t="shared" si="36"/>
        <v>476</v>
      </c>
      <c r="DA41" s="101">
        <f t="shared" si="37"/>
        <v>2.0503457598665654E-3</v>
      </c>
      <c r="DB41" s="101"/>
      <c r="DC41" s="100">
        <v>225</v>
      </c>
      <c r="DD41" s="100">
        <v>66</v>
      </c>
      <c r="DE41" s="100">
        <v>374</v>
      </c>
      <c r="DF41" s="100">
        <v>254</v>
      </c>
      <c r="DG41" s="101"/>
      <c r="DH41" s="100">
        <f t="shared" si="39"/>
        <v>2689</v>
      </c>
      <c r="DI41" s="100">
        <f t="shared" si="40"/>
        <v>18751</v>
      </c>
      <c r="DJ41" s="100">
        <f t="shared" si="41"/>
        <v>-16062</v>
      </c>
      <c r="DK41" s="101">
        <f t="shared" si="42"/>
        <v>-6.9186247048270533E-2</v>
      </c>
      <c r="DL41" s="100">
        <f t="shared" si="43"/>
        <v>327</v>
      </c>
      <c r="DM41" s="101">
        <f t="shared" si="44"/>
        <v>1.4085358476394264E-3</v>
      </c>
      <c r="DN41" s="101"/>
      <c r="DO41" s="100">
        <v>7621.4612080000006</v>
      </c>
      <c r="DQ41" s="100">
        <v>28525.854060000001</v>
      </c>
      <c r="DR41" s="100">
        <v>25833.48388</v>
      </c>
      <c r="DS41" s="100">
        <f t="shared" si="45"/>
        <v>-20904.392852000001</v>
      </c>
      <c r="DT41" s="101">
        <f t="shared" si="46"/>
        <v>-9.0044607661099049E-2</v>
      </c>
      <c r="DU41" s="101">
        <f t="shared" si="47"/>
        <v>1.1195777716023865</v>
      </c>
      <c r="DV41" s="101">
        <v>0.35</v>
      </c>
      <c r="DW41" s="102">
        <f t="shared" si="25"/>
        <v>-0.22499999999999998</v>
      </c>
      <c r="DX41" s="101"/>
      <c r="DY41" s="100">
        <v>40923</v>
      </c>
      <c r="DZ41" s="115"/>
      <c r="EA41" s="114"/>
      <c r="EB41" s="114"/>
      <c r="EC41" s="101"/>
      <c r="ED41" s="100">
        <v>8868</v>
      </c>
      <c r="EE41" s="110">
        <v>438</v>
      </c>
      <c r="EF41" s="110">
        <v>235</v>
      </c>
      <c r="EG41" s="110">
        <v>260</v>
      </c>
      <c r="EH41" s="100">
        <v>16838</v>
      </c>
      <c r="EI41" s="110">
        <v>7448</v>
      </c>
      <c r="EJ41" s="110">
        <v>1326</v>
      </c>
      <c r="EK41" s="110">
        <v>4314</v>
      </c>
      <c r="EL41" s="110"/>
      <c r="EM41" s="110"/>
      <c r="EN41" s="99">
        <v>0.79714083333333297</v>
      </c>
    </row>
    <row r="42" spans="1:145" s="99" customFormat="1">
      <c r="A42" s="98">
        <v>2007</v>
      </c>
      <c r="B42" s="100">
        <v>142198</v>
      </c>
      <c r="C42" s="100"/>
      <c r="D42" s="112">
        <v>1.0309972249276269</v>
      </c>
      <c r="E42" s="100">
        <v>197293</v>
      </c>
      <c r="F42" s="100"/>
      <c r="G42" s="100">
        <v>-28149</v>
      </c>
      <c r="H42" s="101">
        <f t="shared" si="2"/>
        <v>-0.16666765348475071</v>
      </c>
      <c r="I42" s="100">
        <v>17862</v>
      </c>
      <c r="J42" s="100"/>
      <c r="K42" s="100"/>
      <c r="L42" s="100"/>
      <c r="M42" s="100">
        <v>-12122</v>
      </c>
      <c r="N42" s="100">
        <v>-11851</v>
      </c>
      <c r="P42" s="100">
        <v>-21277</v>
      </c>
      <c r="Q42" s="100">
        <v>1455</v>
      </c>
      <c r="R42" s="100">
        <v>28400</v>
      </c>
      <c r="S42" s="100">
        <f t="shared" si="3"/>
        <v>1</v>
      </c>
      <c r="T42" s="100"/>
      <c r="U42" s="100"/>
      <c r="V42" s="100">
        <v>24056.388028112102</v>
      </c>
      <c r="W42" s="100"/>
      <c r="X42" s="100">
        <v>79302.45298523891</v>
      </c>
      <c r="Y42" s="101">
        <f t="shared" si="49"/>
        <v>0.69135314149998772</v>
      </c>
      <c r="Z42" s="100"/>
      <c r="AA42" s="100"/>
      <c r="AB42" s="100"/>
      <c r="AC42" s="100"/>
      <c r="AD42" s="100">
        <v>54826</v>
      </c>
      <c r="AE42" s="100">
        <v>65854</v>
      </c>
      <c r="AF42" s="100">
        <v>17437</v>
      </c>
      <c r="AG42" s="100">
        <f t="shared" si="50"/>
        <v>48417</v>
      </c>
      <c r="AH42" s="111">
        <f t="shared" si="51"/>
        <v>0.26478270112673491</v>
      </c>
      <c r="AI42" s="111">
        <f t="shared" si="6"/>
        <v>0.34049002095669417</v>
      </c>
      <c r="AJ42" s="99">
        <f t="shared" si="52"/>
        <v>-17862</v>
      </c>
      <c r="AK42" s="99">
        <v>-23103</v>
      </c>
      <c r="AL42" s="99">
        <v>71592</v>
      </c>
      <c r="AM42" s="99">
        <v>94695</v>
      </c>
      <c r="AN42" s="100">
        <v>7456</v>
      </c>
      <c r="AO42" s="100">
        <v>6394.6469999999999</v>
      </c>
      <c r="AP42" s="111">
        <f t="shared" si="53"/>
        <v>0.14234884656652361</v>
      </c>
      <c r="AQ42" s="107">
        <f t="shared" si="7"/>
        <v>0.4689615760874829</v>
      </c>
      <c r="AR42" s="107">
        <f t="shared" si="29"/>
        <v>1.3044905701674387</v>
      </c>
      <c r="AS42" s="107">
        <f t="shared" si="9"/>
        <v>0.88310290737971031</v>
      </c>
      <c r="AT42" s="107">
        <f t="shared" si="10"/>
        <v>0.47716711072557161</v>
      </c>
      <c r="AU42" s="107">
        <v>0.24951205691619974</v>
      </c>
      <c r="AV42" s="111"/>
      <c r="AW42" s="100">
        <v>27388</v>
      </c>
      <c r="AX42" s="100">
        <v>761</v>
      </c>
      <c r="AY42" s="107">
        <f t="shared" si="12"/>
        <v>0.56566908317326559</v>
      </c>
      <c r="AZ42" s="111"/>
      <c r="BA42" s="101">
        <f t="shared" si="13"/>
        <v>0.24540657803368593</v>
      </c>
      <c r="BB42" s="101">
        <f t="shared" si="14"/>
        <v>0.34049002095669417</v>
      </c>
      <c r="BC42" s="101">
        <f t="shared" si="15"/>
        <v>0.14788534297247499</v>
      </c>
      <c r="BD42" s="102">
        <f t="shared" si="16"/>
        <v>0.13207441601090525</v>
      </c>
      <c r="BE42" s="102">
        <f t="shared" si="27"/>
        <v>0.13207441601090525</v>
      </c>
      <c r="BF42" s="102">
        <f t="shared" si="17"/>
        <v>3.2411930479033721E-2</v>
      </c>
      <c r="BG42" s="102">
        <f t="shared" si="18"/>
        <v>2.6702104514681149E-2</v>
      </c>
      <c r="BH42" s="102">
        <f t="shared" si="19"/>
        <v>4.497002067539628E-2</v>
      </c>
      <c r="BI42" s="102">
        <f t="shared" si="28"/>
        <v>4.497002067539628E-2</v>
      </c>
      <c r="BJ42" s="102">
        <f t="shared" si="20"/>
        <v>3.1337266869024626E-2</v>
      </c>
      <c r="BL42" s="100">
        <v>386119</v>
      </c>
      <c r="BM42" s="100">
        <v>14460.245999999999</v>
      </c>
      <c r="BN42" s="100">
        <v>12321.4</v>
      </c>
      <c r="BP42" s="99">
        <v>12.5</v>
      </c>
      <c r="BW42" s="100">
        <f t="shared" si="21"/>
        <v>16310.895251525624</v>
      </c>
      <c r="BX42" s="100">
        <v>159304.584137</v>
      </c>
      <c r="BY42" s="100">
        <v>-142993.68888547437</v>
      </c>
      <c r="BZ42" s="101">
        <f t="shared" si="22"/>
        <v>8.2673461559840566E-2</v>
      </c>
      <c r="CA42" s="101">
        <f t="shared" si="23"/>
        <v>0.80745178053453492</v>
      </c>
      <c r="CB42" s="101">
        <f t="shared" si="24"/>
        <v>-0.72477831897469436</v>
      </c>
      <c r="CC42" s="100"/>
      <c r="CD42" s="100"/>
      <c r="CF42" s="119">
        <v>55785</v>
      </c>
      <c r="CG42" s="119">
        <v>6019</v>
      </c>
      <c r="CH42" s="119">
        <v>47320</v>
      </c>
      <c r="CI42" s="119">
        <v>-3117</v>
      </c>
      <c r="CJ42" s="119">
        <v>2531</v>
      </c>
      <c r="CK42" s="119">
        <v>3033</v>
      </c>
      <c r="CL42" s="119">
        <v>65711</v>
      </c>
      <c r="CM42" s="119">
        <v>66142</v>
      </c>
      <c r="CN42" s="119">
        <v>3492</v>
      </c>
      <c r="CO42" s="119">
        <f t="shared" si="30"/>
        <v>2551.3861500000003</v>
      </c>
      <c r="CP42" s="116">
        <f t="shared" si="31"/>
        <v>0.39898780182862326</v>
      </c>
      <c r="CQ42" s="116"/>
      <c r="CR42" s="100">
        <v>4897</v>
      </c>
      <c r="CS42" s="100">
        <v>3006</v>
      </c>
      <c r="CT42" s="100">
        <v>20864</v>
      </c>
      <c r="CU42" s="100">
        <v>19682</v>
      </c>
      <c r="CV42" s="100">
        <f t="shared" si="32"/>
        <v>-15967</v>
      </c>
      <c r="CW42" s="101">
        <f t="shared" si="33"/>
        <v>-5.9130779918699597E-2</v>
      </c>
      <c r="CX42" s="100">
        <f t="shared" si="34"/>
        <v>-16676</v>
      </c>
      <c r="CY42" s="101">
        <f t="shared" si="35"/>
        <v>-6.1756428003020891E-2</v>
      </c>
      <c r="CZ42" s="100">
        <f t="shared" si="36"/>
        <v>709</v>
      </c>
      <c r="DA42" s="101">
        <f t="shared" si="37"/>
        <v>2.6256480843212886E-3</v>
      </c>
      <c r="DB42" s="101"/>
      <c r="DC42" s="100">
        <v>294</v>
      </c>
      <c r="DD42" s="100">
        <v>84</v>
      </c>
      <c r="DE42" s="100">
        <v>462</v>
      </c>
      <c r="DF42" s="100">
        <v>327</v>
      </c>
      <c r="DG42" s="101"/>
      <c r="DH42" s="100">
        <f t="shared" si="39"/>
        <v>3090</v>
      </c>
      <c r="DI42" s="100">
        <f t="shared" si="40"/>
        <v>20009</v>
      </c>
      <c r="DJ42" s="100">
        <f t="shared" si="41"/>
        <v>-16919</v>
      </c>
      <c r="DK42" s="101">
        <f t="shared" si="42"/>
        <v>-6.2656332776631712E-2</v>
      </c>
      <c r="DL42" s="100">
        <f t="shared" si="43"/>
        <v>541</v>
      </c>
      <c r="DM42" s="101">
        <f t="shared" si="44"/>
        <v>2.0034916976273869E-3</v>
      </c>
      <c r="DN42" s="101"/>
      <c r="DO42" s="100">
        <v>7776.9697750000005</v>
      </c>
      <c r="DQ42" s="100">
        <v>30445.040334999998</v>
      </c>
      <c r="DR42" s="100">
        <v>26866.817394000002</v>
      </c>
      <c r="DS42" s="100">
        <f t="shared" si="45"/>
        <v>-22668.070559999996</v>
      </c>
      <c r="DT42" s="101">
        <f t="shared" si="46"/>
        <v>-8.3946933767452464E-2</v>
      </c>
      <c r="DU42" s="101">
        <f t="shared" si="47"/>
        <v>1.0154036396152366</v>
      </c>
      <c r="DV42" s="101">
        <v>0.35</v>
      </c>
      <c r="DW42" s="102">
        <f t="shared" si="25"/>
        <v>-0.22499999999999998</v>
      </c>
      <c r="DX42" s="101"/>
      <c r="DY42" s="100">
        <v>57453</v>
      </c>
      <c r="DZ42" s="115"/>
      <c r="EA42" s="114"/>
      <c r="EB42" s="114"/>
      <c r="EC42" s="101"/>
      <c r="ED42" s="100">
        <v>13474</v>
      </c>
      <c r="EE42" s="110">
        <v>1732</v>
      </c>
      <c r="EF42" s="110">
        <v>384</v>
      </c>
      <c r="EG42" s="110">
        <v>391</v>
      </c>
      <c r="EH42" s="100">
        <v>22196</v>
      </c>
      <c r="EI42" s="110">
        <v>9783</v>
      </c>
      <c r="EJ42" s="110">
        <v>2120</v>
      </c>
      <c r="EK42" s="110">
        <v>5863</v>
      </c>
      <c r="EL42" s="110"/>
      <c r="EM42" s="110"/>
      <c r="EN42" s="99">
        <v>0.73063750000000005</v>
      </c>
    </row>
    <row r="43" spans="1:145" s="99" customFormat="1">
      <c r="A43" s="98">
        <v>2008</v>
      </c>
      <c r="B43" s="100">
        <v>135641</v>
      </c>
      <c r="C43" s="100"/>
      <c r="D43" s="112">
        <v>1.0256548371608882</v>
      </c>
      <c r="E43" s="100">
        <v>187687</v>
      </c>
      <c r="F43" s="100"/>
      <c r="G43" s="100">
        <v>-26717</v>
      </c>
      <c r="H43" s="101">
        <f t="shared" si="2"/>
        <v>-0.16614326490762218</v>
      </c>
      <c r="I43" s="100">
        <v>12855</v>
      </c>
      <c r="J43" s="100"/>
      <c r="K43" s="100"/>
      <c r="L43" s="100"/>
      <c r="M43" s="100">
        <v>-8305</v>
      </c>
      <c r="N43" s="100">
        <v>-12250</v>
      </c>
      <c r="P43" s="100">
        <v>-18368</v>
      </c>
      <c r="Q43" s="100">
        <v>1550</v>
      </c>
      <c r="R43" s="100">
        <v>26880</v>
      </c>
      <c r="S43" s="100">
        <f t="shared" si="3"/>
        <v>-1</v>
      </c>
      <c r="T43" s="100"/>
      <c r="U43" s="100"/>
      <c r="V43" s="100">
        <v>20613.594292428781</v>
      </c>
      <c r="W43" s="100"/>
      <c r="X43" s="100">
        <v>81374.713358159366</v>
      </c>
      <c r="Y43" s="101">
        <f t="shared" si="49"/>
        <v>0.6816122319948974</v>
      </c>
      <c r="Z43" s="100"/>
      <c r="AA43" s="100"/>
      <c r="AB43" s="100"/>
      <c r="AC43" s="100"/>
      <c r="AD43" s="100">
        <v>55466</v>
      </c>
      <c r="AE43" s="100">
        <v>55749</v>
      </c>
      <c r="AF43" s="100">
        <v>17362</v>
      </c>
      <c r="AG43" s="100">
        <f t="shared" si="50"/>
        <v>38387</v>
      </c>
      <c r="AH43" s="111">
        <f t="shared" si="51"/>
        <v>0.31143159518556385</v>
      </c>
      <c r="AI43" s="111">
        <f t="shared" si="6"/>
        <v>0.28300440132408344</v>
      </c>
      <c r="AJ43" s="99">
        <f t="shared" si="52"/>
        <v>-12855</v>
      </c>
      <c r="AK43" s="99">
        <v>-18698</v>
      </c>
      <c r="AL43" s="99">
        <v>79596</v>
      </c>
      <c r="AM43" s="99">
        <v>98294</v>
      </c>
      <c r="AN43" s="100">
        <v>5735</v>
      </c>
      <c r="AO43" s="100">
        <v>5074.7470000000003</v>
      </c>
      <c r="AP43" s="111">
        <f t="shared" si="53"/>
        <v>0.11512693984306882</v>
      </c>
      <c r="AQ43" s="107">
        <f t="shared" si="7"/>
        <v>0.40901196552054808</v>
      </c>
      <c r="AR43" s="107">
        <f t="shared" si="29"/>
        <v>1.0291890527530378</v>
      </c>
      <c r="AS43" s="107">
        <f t="shared" si="9"/>
        <v>0.69208163559658165</v>
      </c>
      <c r="AT43" s="107">
        <f t="shared" si="10"/>
        <v>0.48709198426550654</v>
      </c>
      <c r="AU43" s="107">
        <v>0.21873821609862215</v>
      </c>
      <c r="AV43" s="111"/>
      <c r="AW43" s="100">
        <v>26069</v>
      </c>
      <c r="AX43" s="100">
        <v>648</v>
      </c>
      <c r="AY43" s="107">
        <f t="shared" si="12"/>
        <v>0.67911011540365229</v>
      </c>
      <c r="AZ43" s="111"/>
      <c r="BA43" s="101">
        <f t="shared" si="13"/>
        <v>0.20452668538577526</v>
      </c>
      <c r="BB43" s="101">
        <f t="shared" si="14"/>
        <v>0.28300440132408344</v>
      </c>
      <c r="BC43" s="101">
        <f t="shared" si="15"/>
        <v>9.0813249681143612E-2</v>
      </c>
      <c r="BD43" s="102">
        <f t="shared" si="16"/>
        <v>0.13219962487300388</v>
      </c>
      <c r="BE43" s="102">
        <f t="shared" si="27"/>
        <v>0.13219962487300388</v>
      </c>
      <c r="BF43" s="102">
        <f t="shared" si="17"/>
        <v>2.7038351084518374E-2</v>
      </c>
      <c r="BG43" s="102">
        <f t="shared" si="18"/>
        <v>1.7059329108984309E-2</v>
      </c>
      <c r="BH43" s="102">
        <f t="shared" si="19"/>
        <v>3.7413075692452877E-2</v>
      </c>
      <c r="BI43" s="102">
        <f t="shared" si="28"/>
        <v>3.7413075692452877E-2</v>
      </c>
      <c r="BJ43" s="102">
        <f t="shared" si="20"/>
        <v>2.0067429472633937E-2</v>
      </c>
      <c r="BL43" s="100">
        <v>249394</v>
      </c>
      <c r="BM43" s="100">
        <v>14619.214999999998</v>
      </c>
      <c r="BN43" s="100">
        <v>12427.8</v>
      </c>
      <c r="BP43" s="99">
        <v>12.5</v>
      </c>
      <c r="BW43" s="100">
        <f t="shared" si="21"/>
        <v>16155.46992742407</v>
      </c>
      <c r="BX43" s="100">
        <v>157940.38157999999</v>
      </c>
      <c r="BY43" s="100">
        <v>-141784.91165257592</v>
      </c>
      <c r="BZ43" s="101">
        <f t="shared" si="22"/>
        <v>8.6076659158194596E-2</v>
      </c>
      <c r="CA43" s="101">
        <f t="shared" si="23"/>
        <v>0.8415094363488147</v>
      </c>
      <c r="CB43" s="101">
        <f t="shared" si="24"/>
        <v>-0.75543277719062008</v>
      </c>
      <c r="CC43" s="100"/>
      <c r="CD43" s="100"/>
      <c r="CF43" s="118">
        <v>49063</v>
      </c>
      <c r="CG43" s="118">
        <v>6679</v>
      </c>
      <c r="CH43" s="118">
        <v>38421</v>
      </c>
      <c r="CI43" s="118">
        <v>-2729</v>
      </c>
      <c r="CJ43" s="118">
        <v>2721</v>
      </c>
      <c r="CK43" s="118">
        <v>3971</v>
      </c>
      <c r="CL43" s="118">
        <v>76406</v>
      </c>
      <c r="CM43" s="118">
        <v>76888</v>
      </c>
      <c r="CN43" s="118">
        <v>3457</v>
      </c>
      <c r="CO43" s="118">
        <f t="shared" si="30"/>
        <v>2360.0064767562408</v>
      </c>
      <c r="CP43" s="117">
        <f t="shared" si="31"/>
        <v>0.46504909047805548</v>
      </c>
      <c r="CQ43" s="116"/>
      <c r="CR43" s="100">
        <v>3066</v>
      </c>
      <c r="CS43" s="100">
        <v>2232</v>
      </c>
      <c r="CT43" s="100">
        <v>23783</v>
      </c>
      <c r="CU43" s="100">
        <v>21031</v>
      </c>
      <c r="CV43" s="100">
        <f t="shared" si="32"/>
        <v>-20717</v>
      </c>
      <c r="CW43" s="101">
        <f t="shared" si="33"/>
        <v>-7.5354030874575484E-2</v>
      </c>
      <c r="CX43" s="100">
        <f t="shared" si="34"/>
        <v>-18799</v>
      </c>
      <c r="CY43" s="101">
        <f t="shared" si="35"/>
        <v>-6.8377681440900936E-2</v>
      </c>
      <c r="CZ43" s="100">
        <f t="shared" si="36"/>
        <v>-1918</v>
      </c>
      <c r="DA43" s="101">
        <f t="shared" si="37"/>
        <v>-6.9763494336745561E-3</v>
      </c>
      <c r="DB43" s="101"/>
      <c r="DC43" s="100">
        <v>439</v>
      </c>
      <c r="DD43" s="100">
        <v>208</v>
      </c>
      <c r="DE43" s="100">
        <v>1156</v>
      </c>
      <c r="DF43" s="100">
        <v>404</v>
      </c>
      <c r="DG43" s="101"/>
      <c r="DH43" s="100">
        <f t="shared" si="39"/>
        <v>2440</v>
      </c>
      <c r="DI43" s="100">
        <f t="shared" si="40"/>
        <v>21435</v>
      </c>
      <c r="DJ43" s="100">
        <f t="shared" si="41"/>
        <v>-18995</v>
      </c>
      <c r="DK43" s="101">
        <f t="shared" si="42"/>
        <v>-6.909059306186037E-2</v>
      </c>
      <c r="DL43" s="100">
        <f t="shared" si="43"/>
        <v>-2635</v>
      </c>
      <c r="DM43" s="101">
        <f t="shared" si="44"/>
        <v>-9.5842965368782354E-3</v>
      </c>
      <c r="DN43" s="101"/>
      <c r="DO43" s="100">
        <v>7610.8254919999999</v>
      </c>
      <c r="DQ43" s="100">
        <v>31346.482640999999</v>
      </c>
      <c r="DR43" s="100">
        <v>27772.248317000001</v>
      </c>
      <c r="DS43" s="100">
        <f t="shared" si="45"/>
        <v>-23735.657148999999</v>
      </c>
      <c r="DT43" s="101">
        <f t="shared" si="46"/>
        <v>-8.63338051664857E-2</v>
      </c>
      <c r="DU43" s="101">
        <f t="shared" si="47"/>
        <v>1.0029874069324474</v>
      </c>
      <c r="DV43" s="101">
        <v>0.35</v>
      </c>
      <c r="DW43" s="102">
        <f t="shared" si="25"/>
        <v>-0.22499999999999998</v>
      </c>
      <c r="DX43" s="101"/>
      <c r="DY43" s="100">
        <v>58599</v>
      </c>
      <c r="DZ43" s="115"/>
      <c r="EA43" s="114"/>
      <c r="EB43" s="114"/>
      <c r="EC43" s="101"/>
      <c r="ED43" s="100">
        <v>13822</v>
      </c>
      <c r="EE43" s="110">
        <v>1990</v>
      </c>
      <c r="EF43" s="110">
        <v>1191</v>
      </c>
      <c r="EG43" s="110">
        <v>395</v>
      </c>
      <c r="EH43" s="100">
        <v>25678</v>
      </c>
      <c r="EI43" s="110">
        <v>14116</v>
      </c>
      <c r="EJ43" s="110">
        <v>2151</v>
      </c>
      <c r="EK43" s="110">
        <v>4990</v>
      </c>
      <c r="EL43" s="110"/>
      <c r="EM43" s="110"/>
      <c r="EN43" s="99">
        <v>0.682674711239873</v>
      </c>
    </row>
    <row r="44" spans="1:145" s="99" customFormat="1">
      <c r="A44" s="98">
        <v>2009</v>
      </c>
      <c r="B44" s="100">
        <v>116617</v>
      </c>
      <c r="C44" s="100"/>
      <c r="D44" s="112">
        <v>0.97174511425461607</v>
      </c>
      <c r="E44" s="100">
        <v>169704</v>
      </c>
      <c r="F44" s="100"/>
      <c r="G44" s="100">
        <v>-29413</v>
      </c>
      <c r="H44" s="101">
        <f t="shared" si="2"/>
        <v>-0.20352904542781025</v>
      </c>
      <c r="I44" s="100">
        <v>7634</v>
      </c>
      <c r="J44" s="100"/>
      <c r="K44" s="100"/>
      <c r="L44" s="100"/>
      <c r="M44" s="100">
        <v>-12296</v>
      </c>
      <c r="N44" s="100">
        <v>-13521</v>
      </c>
      <c r="O44" s="100"/>
      <c r="P44" s="100">
        <v>-10838</v>
      </c>
      <c r="Q44" s="100">
        <v>1510</v>
      </c>
      <c r="R44" s="100">
        <v>25189</v>
      </c>
      <c r="S44" s="100">
        <f t="shared" si="3"/>
        <v>-5</v>
      </c>
      <c r="T44" s="100"/>
      <c r="U44" s="100"/>
      <c r="V44" s="100">
        <v>16462.265878665614</v>
      </c>
      <c r="W44" s="100"/>
      <c r="X44" s="100">
        <v>74016.703672610354</v>
      </c>
      <c r="Y44" s="101">
        <f t="shared" si="49"/>
        <v>0.66249910583556038</v>
      </c>
      <c r="Z44" s="100"/>
      <c r="AA44" s="100"/>
      <c r="AB44" s="100"/>
      <c r="AC44" s="100"/>
      <c r="AD44" s="100">
        <v>49036</v>
      </c>
      <c r="AE44" s="100">
        <v>54258</v>
      </c>
      <c r="AF44" s="100">
        <v>17032</v>
      </c>
      <c r="AG44" s="100">
        <f t="shared" si="50"/>
        <v>37226</v>
      </c>
      <c r="AH44" s="111">
        <f t="shared" si="51"/>
        <v>0.31390762652512072</v>
      </c>
      <c r="AI44" s="111">
        <f t="shared" si="6"/>
        <v>0.3192158947666292</v>
      </c>
      <c r="AJ44" s="99">
        <f t="shared" si="52"/>
        <v>-7634</v>
      </c>
      <c r="AK44" s="99">
        <v>-11110</v>
      </c>
      <c r="AL44" s="99">
        <v>42309</v>
      </c>
      <c r="AM44" s="99">
        <v>53419</v>
      </c>
      <c r="AN44" s="100">
        <v>4073</v>
      </c>
      <c r="AO44" s="100">
        <v>3891.7559999999999</v>
      </c>
      <c r="AP44" s="111">
        <f t="shared" si="53"/>
        <v>4.4498895163270352E-2</v>
      </c>
      <c r="AQ44" s="107">
        <f t="shared" si="7"/>
        <v>0.43154575595279498</v>
      </c>
      <c r="AR44" s="107">
        <f t="shared" si="29"/>
        <v>0.98572477363569622</v>
      </c>
      <c r="AS44" s="107">
        <f t="shared" si="9"/>
        <v>0.75915653805367489</v>
      </c>
      <c r="AT44" s="107">
        <f t="shared" si="10"/>
        <v>0.29844732176435823</v>
      </c>
      <c r="AU44" s="107">
        <v>0.20685069076893847</v>
      </c>
      <c r="AV44" s="111"/>
      <c r="AW44" s="100">
        <v>29022</v>
      </c>
      <c r="AX44" s="100">
        <v>387</v>
      </c>
      <c r="AY44" s="107">
        <f t="shared" si="12"/>
        <v>0.77961639714178266</v>
      </c>
      <c r="AZ44" s="111"/>
      <c r="BA44" s="101">
        <f t="shared" si="13"/>
        <v>0.2193584122943478</v>
      </c>
      <c r="BB44" s="101">
        <f t="shared" si="14"/>
        <v>0.3192158947666292</v>
      </c>
      <c r="BC44" s="101">
        <f t="shared" si="15"/>
        <v>7.0349948978279328E-2</v>
      </c>
      <c r="BD44" s="102">
        <f t="shared" si="16"/>
        <v>0.10454402836727018</v>
      </c>
      <c r="BE44" s="102">
        <f t="shared" si="27"/>
        <v>0.10454402836727018</v>
      </c>
      <c r="BF44" s="102">
        <f t="shared" si="17"/>
        <v>2.2932612077499647E-2</v>
      </c>
      <c r="BG44" s="102">
        <f t="shared" si="18"/>
        <v>1.3843211501247826E-2</v>
      </c>
      <c r="BH44" s="102">
        <f t="shared" si="19"/>
        <v>3.3372115557766022E-2</v>
      </c>
      <c r="BI44" s="102">
        <f t="shared" si="28"/>
        <v>3.3372115557766022E-2</v>
      </c>
      <c r="BJ44" s="102">
        <f t="shared" si="20"/>
        <v>1.6374432010291848E-2</v>
      </c>
      <c r="BL44" s="100">
        <v>198558</v>
      </c>
      <c r="BM44" s="100">
        <v>14343.348</v>
      </c>
      <c r="BN44" s="100">
        <v>12126.1</v>
      </c>
      <c r="BP44" s="99">
        <v>12.5</v>
      </c>
      <c r="BW44" s="100">
        <f t="shared" si="21"/>
        <v>22921.924138291186</v>
      </c>
      <c r="BX44" s="100">
        <v>158596.261837</v>
      </c>
      <c r="BY44" s="100">
        <v>-135674.33769870881</v>
      </c>
      <c r="BZ44" s="101">
        <f t="shared" si="22"/>
        <v>0.13507002862802989</v>
      </c>
      <c r="CA44" s="101">
        <f t="shared" si="23"/>
        <v>0.93454639747442603</v>
      </c>
      <c r="CB44" s="101">
        <f t="shared" si="24"/>
        <v>-0.79947636884639617</v>
      </c>
      <c r="CC44" s="100"/>
      <c r="CD44" s="100"/>
      <c r="CF44" s="100">
        <v>55476</v>
      </c>
      <c r="CG44" s="100">
        <v>7316</v>
      </c>
      <c r="CH44" s="100">
        <v>44177</v>
      </c>
      <c r="CI44" s="100">
        <v>-2883</v>
      </c>
      <c r="CJ44" s="100">
        <v>2407</v>
      </c>
      <c r="CK44" s="100">
        <v>4458</v>
      </c>
      <c r="CL44" s="100">
        <v>69580</v>
      </c>
      <c r="CM44" s="100">
        <v>70017</v>
      </c>
      <c r="CN44" s="100">
        <v>2333</v>
      </c>
      <c r="CO44" s="100">
        <f t="shared" si="30"/>
        <v>1679.3945583798397</v>
      </c>
      <c r="CP44" s="101">
        <f t="shared" si="31"/>
        <v>0.43152616926134107</v>
      </c>
      <c r="CQ44" s="101"/>
      <c r="CR44" s="100">
        <v>4408</v>
      </c>
      <c r="CS44" s="100">
        <v>3208</v>
      </c>
      <c r="CT44" s="100">
        <v>23228</v>
      </c>
      <c r="CU44" s="100">
        <v>22654</v>
      </c>
      <c r="CV44" s="100">
        <f t="shared" si="32"/>
        <v>-18820</v>
      </c>
      <c r="CW44" s="101">
        <f t="shared" si="33"/>
        <v>-7.9829892230974364E-2</v>
      </c>
      <c r="CX44" s="100">
        <f t="shared" si="34"/>
        <v>-19446</v>
      </c>
      <c r="CY44" s="101">
        <f t="shared" si="35"/>
        <v>-8.2485232960867558E-2</v>
      </c>
      <c r="CZ44" s="100">
        <f t="shared" si="36"/>
        <v>626</v>
      </c>
      <c r="DA44" s="101">
        <f t="shared" si="37"/>
        <v>2.6553407298931962E-3</v>
      </c>
      <c r="DB44" s="101"/>
      <c r="DC44" s="100">
        <v>2956</v>
      </c>
      <c r="DD44" s="100">
        <v>1300</v>
      </c>
      <c r="DE44" s="100">
        <v>2306</v>
      </c>
      <c r="DF44" s="100">
        <v>996</v>
      </c>
      <c r="DG44" s="101"/>
      <c r="DH44" s="100">
        <f t="shared" si="39"/>
        <v>4508</v>
      </c>
      <c r="DI44" s="100">
        <f t="shared" si="40"/>
        <v>23650</v>
      </c>
      <c r="DJ44" s="100">
        <f t="shared" si="41"/>
        <v>-19142</v>
      </c>
      <c r="DK44" s="101">
        <f t="shared" si="42"/>
        <v>-8.1195738421111122E-2</v>
      </c>
      <c r="DL44" s="100">
        <f t="shared" si="43"/>
        <v>1276</v>
      </c>
      <c r="DM44" s="101">
        <f t="shared" si="44"/>
        <v>5.4124836602934797E-3</v>
      </c>
      <c r="DN44" s="101"/>
      <c r="DO44" s="100">
        <v>7465.0027620000001</v>
      </c>
      <c r="DQ44" s="100">
        <v>28100.577524</v>
      </c>
      <c r="DR44" s="100">
        <v>23807.694982000001</v>
      </c>
      <c r="DS44" s="100">
        <f t="shared" si="45"/>
        <v>-20635.574762</v>
      </c>
      <c r="DT44" s="101">
        <f t="shared" si="46"/>
        <v>-8.7531121645838178E-2</v>
      </c>
      <c r="DU44" s="101">
        <f t="shared" si="47"/>
        <v>0.64804251938741075</v>
      </c>
      <c r="DV44" s="101">
        <v>0.35</v>
      </c>
      <c r="DW44" s="102">
        <f t="shared" si="25"/>
        <v>-0.22499999999999998</v>
      </c>
      <c r="DX44" s="101"/>
      <c r="DY44" s="100">
        <v>49450</v>
      </c>
      <c r="DZ44" s="110">
        <v>15324</v>
      </c>
      <c r="EA44" s="110">
        <v>34125</v>
      </c>
      <c r="EB44" s="110"/>
      <c r="EC44" s="101"/>
      <c r="ED44" s="100">
        <v>12716</v>
      </c>
      <c r="EE44" s="110">
        <v>2719</v>
      </c>
      <c r="EF44" s="110">
        <v>1993</v>
      </c>
      <c r="EG44" s="110">
        <v>322</v>
      </c>
      <c r="EH44" s="100">
        <v>26137</v>
      </c>
      <c r="EI44" s="110">
        <v>14536</v>
      </c>
      <c r="EJ44" s="110">
        <v>2729</v>
      </c>
      <c r="EK44" s="110">
        <v>4997</v>
      </c>
      <c r="EL44" s="110"/>
      <c r="EM44" s="110"/>
      <c r="EN44" s="99">
        <v>0.71984335978561498</v>
      </c>
    </row>
    <row r="45" spans="1:145" s="99" customFormat="1">
      <c r="A45" s="98">
        <v>2010</v>
      </c>
      <c r="B45" s="100">
        <v>114835</v>
      </c>
      <c r="C45" s="100"/>
      <c r="D45" s="112">
        <v>0.93789873178144478</v>
      </c>
      <c r="E45" s="100">
        <v>167124</v>
      </c>
      <c r="F45" s="100"/>
      <c r="G45" s="100">
        <v>-28457</v>
      </c>
      <c r="H45" s="101">
        <f t="shared" si="2"/>
        <v>-0.20034920478466878</v>
      </c>
      <c r="I45" s="100">
        <v>7999</v>
      </c>
      <c r="J45" s="100"/>
      <c r="K45" s="100"/>
      <c r="L45" s="100"/>
      <c r="M45" s="100">
        <v>-12112</v>
      </c>
      <c r="N45" s="100">
        <v>-10707</v>
      </c>
      <c r="O45" s="100"/>
      <c r="P45" s="100">
        <v>-13392</v>
      </c>
      <c r="Q45" s="100">
        <v>1265</v>
      </c>
      <c r="R45" s="100">
        <v>25087</v>
      </c>
      <c r="S45" s="100">
        <f t="shared" si="3"/>
        <v>10</v>
      </c>
      <c r="T45" s="100"/>
      <c r="U45" s="100"/>
      <c r="V45" s="100">
        <v>16234.971218579483</v>
      </c>
      <c r="W45" s="100"/>
      <c r="X45" s="100">
        <v>69044.616057478692</v>
      </c>
      <c r="Y45" s="101">
        <f t="shared" si="49"/>
        <v>0.66359989549159271</v>
      </c>
      <c r="Z45" s="100"/>
      <c r="AA45" s="100"/>
      <c r="AB45" s="100"/>
      <c r="AC45" s="100"/>
      <c r="AD45" s="100">
        <v>45818</v>
      </c>
      <c r="AE45" s="100">
        <v>59089</v>
      </c>
      <c r="AF45" s="100">
        <v>17468</v>
      </c>
      <c r="AG45" s="100">
        <f t="shared" si="50"/>
        <v>41621</v>
      </c>
      <c r="AH45" s="111">
        <f t="shared" si="51"/>
        <v>0.29562185855235323</v>
      </c>
      <c r="AI45" s="111">
        <f t="shared" si="6"/>
        <v>0.36244176427047503</v>
      </c>
      <c r="AJ45" s="99">
        <f t="shared" si="52"/>
        <v>-7999</v>
      </c>
      <c r="AK45" s="99">
        <v>-13317</v>
      </c>
      <c r="AL45" s="99">
        <v>34649</v>
      </c>
      <c r="AM45" s="99">
        <v>47966</v>
      </c>
      <c r="AN45" s="100">
        <v>4174</v>
      </c>
      <c r="AO45" s="100">
        <v>3944.8119999999999</v>
      </c>
      <c r="AP45" s="111">
        <f t="shared" si="53"/>
        <v>5.4908481073310998E-2</v>
      </c>
      <c r="AQ45" s="107">
        <f t="shared" si="7"/>
        <v>0.47600041171559604</v>
      </c>
      <c r="AR45" s="107">
        <f t="shared" si="29"/>
        <v>1.1990484089222577</v>
      </c>
      <c r="AS45" s="107">
        <f t="shared" si="9"/>
        <v>0.90839844602557951</v>
      </c>
      <c r="AT45" s="107">
        <f t="shared" si="10"/>
        <v>0.31995867470747941</v>
      </c>
      <c r="AU45" s="107">
        <v>0.17645738232432837</v>
      </c>
      <c r="AV45" s="111"/>
      <c r="AW45" s="100">
        <v>28212</v>
      </c>
      <c r="AX45" s="100">
        <v>254</v>
      </c>
      <c r="AY45" s="107">
        <f t="shared" si="12"/>
        <v>0.67783090266932555</v>
      </c>
      <c r="AZ45" s="111"/>
      <c r="BA45" s="101">
        <f t="shared" si="13"/>
        <v>0.24904262703142577</v>
      </c>
      <c r="BB45" s="101">
        <f t="shared" si="14"/>
        <v>0.36244176427047503</v>
      </c>
      <c r="BC45" s="101">
        <f t="shared" si="15"/>
        <v>0.11676753602995603</v>
      </c>
      <c r="BD45" s="102">
        <f t="shared" si="16"/>
        <v>9.4779366185339123E-2</v>
      </c>
      <c r="BE45" s="102">
        <f t="shared" si="27"/>
        <v>9.4779366185339123E-2</v>
      </c>
      <c r="BF45" s="102">
        <f t="shared" si="17"/>
        <v>2.3604102343170341E-2</v>
      </c>
      <c r="BG45" s="102">
        <f t="shared" si="18"/>
        <v>1.7904490415036008E-2</v>
      </c>
      <c r="BH45" s="102">
        <f t="shared" si="19"/>
        <v>3.4352000696651716E-2</v>
      </c>
      <c r="BI45" s="102">
        <f t="shared" si="28"/>
        <v>3.4352000696651716E-2</v>
      </c>
      <c r="BJ45" s="102">
        <f t="shared" si="20"/>
        <v>2.0962337611366223E-2</v>
      </c>
      <c r="BL45" s="100">
        <v>267049.7</v>
      </c>
      <c r="BM45" s="100">
        <v>14915.236000000001</v>
      </c>
      <c r="BN45" s="100">
        <v>12739.5</v>
      </c>
      <c r="BP45" s="99">
        <v>12.5</v>
      </c>
      <c r="BW45" s="100">
        <f t="shared" si="21"/>
        <v>27870.059098195314</v>
      </c>
      <c r="BX45" s="100">
        <v>172794.79328400001</v>
      </c>
      <c r="BY45" s="100">
        <v>-144924.7341858047</v>
      </c>
      <c r="BZ45" s="101">
        <f t="shared" si="22"/>
        <v>0.16676275758236586</v>
      </c>
      <c r="CA45" s="101">
        <f t="shared" si="23"/>
        <v>1.0339316512529619</v>
      </c>
      <c r="CB45" s="101">
        <f t="shared" si="24"/>
        <v>-0.86716889367059613</v>
      </c>
      <c r="CC45" s="100"/>
      <c r="CD45" s="100"/>
      <c r="CF45" s="100">
        <v>61741</v>
      </c>
      <c r="CG45" s="100">
        <v>7190</v>
      </c>
      <c r="CH45" s="100">
        <v>51391</v>
      </c>
      <c r="CI45" s="100">
        <v>-1667</v>
      </c>
      <c r="CJ45" s="100">
        <v>2351</v>
      </c>
      <c r="CK45" s="100">
        <v>2475</v>
      </c>
      <c r="CL45" s="100">
        <v>95344</v>
      </c>
      <c r="CM45" s="100">
        <v>95671</v>
      </c>
      <c r="CN45" s="100">
        <v>3101</v>
      </c>
      <c r="CO45" s="100">
        <f t="shared" si="30"/>
        <v>2341.3943961204782</v>
      </c>
      <c r="CP45" s="101">
        <f t="shared" si="31"/>
        <v>0.59353763781910984</v>
      </c>
      <c r="CQ45" s="101"/>
      <c r="CR45" s="100">
        <v>8086</v>
      </c>
      <c r="CS45" s="100">
        <v>6189</v>
      </c>
      <c r="CT45" s="100">
        <v>28769</v>
      </c>
      <c r="CU45" s="100">
        <v>27995</v>
      </c>
      <c r="CV45" s="100">
        <f t="shared" si="32"/>
        <v>-20683</v>
      </c>
      <c r="CW45" s="101">
        <f t="shared" si="33"/>
        <v>-9.3443160419842505E-2</v>
      </c>
      <c r="CX45" s="100">
        <f t="shared" si="34"/>
        <v>-21806</v>
      </c>
      <c r="CY45" s="101">
        <f t="shared" si="35"/>
        <v>-9.8516731427504986E-2</v>
      </c>
      <c r="CZ45" s="100">
        <f t="shared" si="36"/>
        <v>1123</v>
      </c>
      <c r="DA45" s="101">
        <f t="shared" si="37"/>
        <v>5.0735710076624824E-3</v>
      </c>
      <c r="DB45" s="101"/>
      <c r="DC45" s="100">
        <v>3542</v>
      </c>
      <c r="DD45" s="100">
        <v>1580</v>
      </c>
      <c r="DE45" s="100">
        <v>3068</v>
      </c>
      <c r="DF45" s="100">
        <v>2283</v>
      </c>
      <c r="DG45" s="101"/>
      <c r="DH45" s="100">
        <f t="shared" si="39"/>
        <v>7769</v>
      </c>
      <c r="DI45" s="100">
        <f t="shared" si="40"/>
        <v>30278</v>
      </c>
      <c r="DJ45" s="100">
        <f t="shared" si="41"/>
        <v>-22509</v>
      </c>
      <c r="DK45" s="101">
        <f t="shared" si="42"/>
        <v>-0.10169279591404703</v>
      </c>
      <c r="DL45" s="100">
        <f t="shared" si="43"/>
        <v>1597</v>
      </c>
      <c r="DM45" s="101">
        <f t="shared" si="44"/>
        <v>7.2150426529269673E-3</v>
      </c>
      <c r="DN45" s="101"/>
      <c r="DO45" s="100">
        <v>7275.841852999999</v>
      </c>
      <c r="DQ45" s="100">
        <v>33848.028366999999</v>
      </c>
      <c r="DR45" s="100">
        <v>28003.628259000001</v>
      </c>
      <c r="DS45" s="100">
        <f t="shared" si="45"/>
        <v>-26572.186514000001</v>
      </c>
      <c r="DT45" s="101">
        <f t="shared" si="46"/>
        <v>-0.12004975521605557</v>
      </c>
      <c r="DU45" s="101">
        <f t="shared" si="47"/>
        <v>0.71988348571629823</v>
      </c>
      <c r="DV45" s="101">
        <v>0.35</v>
      </c>
      <c r="DW45" s="102">
        <f t="shared" si="25"/>
        <v>-0.22499999999999998</v>
      </c>
      <c r="DX45" s="101"/>
      <c r="DY45" s="100">
        <v>67041</v>
      </c>
      <c r="DZ45" s="110">
        <v>15332</v>
      </c>
      <c r="EA45" s="110">
        <v>51709</v>
      </c>
      <c r="EB45" s="110"/>
      <c r="EC45" s="101"/>
      <c r="ED45" s="100">
        <v>12071</v>
      </c>
      <c r="EE45" s="110">
        <v>1659</v>
      </c>
      <c r="EF45" s="110">
        <v>4066</v>
      </c>
      <c r="EG45" s="110">
        <v>391</v>
      </c>
      <c r="EH45" s="100">
        <v>25979</v>
      </c>
      <c r="EI45" s="110">
        <v>12807</v>
      </c>
      <c r="EJ45" s="110">
        <v>3716</v>
      </c>
      <c r="EK45" s="110" t="s">
        <v>65</v>
      </c>
      <c r="EL45" s="110"/>
      <c r="EM45" s="110"/>
      <c r="EN45" s="99">
        <v>0.75504495198983501</v>
      </c>
    </row>
    <row r="46" spans="1:145" s="99" customFormat="1">
      <c r="A46" s="98">
        <v>2011</v>
      </c>
      <c r="B46" s="100">
        <v>115391</v>
      </c>
      <c r="C46" s="100"/>
      <c r="D46" s="112">
        <v>0.97166134271436178</v>
      </c>
      <c r="E46" s="100">
        <v>173070</v>
      </c>
      <c r="F46" s="100"/>
      <c r="G46" s="100">
        <v>-33788</v>
      </c>
      <c r="H46" s="101">
        <f t="shared" si="2"/>
        <v>-0.22872848139397919</v>
      </c>
      <c r="I46" s="100">
        <v>4752</v>
      </c>
      <c r="J46" s="100"/>
      <c r="K46" s="100"/>
      <c r="L46" s="100"/>
      <c r="M46" s="100">
        <v>-10333</v>
      </c>
      <c r="N46" s="100">
        <v>-14726</v>
      </c>
      <c r="O46" s="100"/>
      <c r="P46" s="100">
        <v>-13335</v>
      </c>
      <c r="Q46" s="100">
        <v>1458</v>
      </c>
      <c r="R46" s="100">
        <v>25349</v>
      </c>
      <c r="S46" s="100">
        <f t="shared" si="3"/>
        <v>0</v>
      </c>
      <c r="T46" s="100"/>
      <c r="U46" s="100"/>
      <c r="V46" s="100">
        <v>16054.43896998325</v>
      </c>
      <c r="W46" s="100"/>
      <c r="X46" s="100">
        <v>69521.643153857964</v>
      </c>
      <c r="Y46" s="101">
        <f t="shared" si="49"/>
        <v>0.66300216607354689</v>
      </c>
      <c r="Z46" s="100"/>
      <c r="AA46" s="100"/>
      <c r="AB46" s="100"/>
      <c r="AC46" s="100"/>
      <c r="AD46" s="100">
        <v>46093</v>
      </c>
      <c r="AE46" s="100">
        <v>65152</v>
      </c>
      <c r="AF46" s="100">
        <v>17737</v>
      </c>
      <c r="AG46" s="100">
        <f t="shared" si="50"/>
        <v>47415</v>
      </c>
      <c r="AH46" s="111">
        <f t="shared" si="51"/>
        <v>0.27224029960707269</v>
      </c>
      <c r="AI46" s="111">
        <f t="shared" si="6"/>
        <v>0.41090726313144005</v>
      </c>
      <c r="AJ46" s="99">
        <f t="shared" si="52"/>
        <v>-4752</v>
      </c>
      <c r="AK46" s="99">
        <v>-11192</v>
      </c>
      <c r="AL46" s="99">
        <v>37276</v>
      </c>
      <c r="AM46" s="99">
        <v>48468</v>
      </c>
      <c r="AN46" s="100">
        <v>3996</v>
      </c>
      <c r="AO46" s="100">
        <v>3752.5630000000001</v>
      </c>
      <c r="AP46" s="111">
        <f t="shared" si="53"/>
        <v>6.0920170170170145E-2</v>
      </c>
      <c r="AQ46" s="107">
        <f t="shared" si="7"/>
        <v>0.50706891388972064</v>
      </c>
      <c r="AR46" s="107">
        <f t="shared" si="29"/>
        <v>1.2714945870305687</v>
      </c>
      <c r="AS46" s="107">
        <f t="shared" si="9"/>
        <v>1.0286811446423534</v>
      </c>
      <c r="AT46" s="107">
        <f t="shared" si="10"/>
        <v>0.23604344616682485</v>
      </c>
      <c r="AU46" s="107">
        <v>0.1665255503536209</v>
      </c>
      <c r="AV46" s="111"/>
      <c r="AW46" s="100">
        <v>33642</v>
      </c>
      <c r="AX46" s="100">
        <v>146</v>
      </c>
      <c r="AY46" s="107">
        <f t="shared" si="12"/>
        <v>0.70952230306864916</v>
      </c>
      <c r="AZ46" s="111"/>
      <c r="BA46" s="101">
        <f t="shared" si="13"/>
        <v>0.27396429190500954</v>
      </c>
      <c r="BB46" s="101">
        <f t="shared" si="14"/>
        <v>0.41090726313144005</v>
      </c>
      <c r="BC46" s="101">
        <f t="shared" si="15"/>
        <v>0.11935939544678528</v>
      </c>
      <c r="BD46" s="102">
        <f t="shared" si="16"/>
        <v>7.9142950543077087E-2</v>
      </c>
      <c r="BE46" s="102">
        <f t="shared" si="27"/>
        <v>7.9142950543077087E-2</v>
      </c>
      <c r="BF46" s="102">
        <f t="shared" si="17"/>
        <v>2.1682342404807303E-2</v>
      </c>
      <c r="BG46" s="102">
        <f t="shared" si="18"/>
        <v>1.7623513424299662E-2</v>
      </c>
      <c r="BH46" s="102">
        <f t="shared" si="19"/>
        <v>3.2520413203802723E-2</v>
      </c>
      <c r="BI46" s="102">
        <f t="shared" si="28"/>
        <v>3.2520413203802723E-2</v>
      </c>
      <c r="BJ46" s="102">
        <f t="shared" si="20"/>
        <v>2.0532548699474996E-2</v>
      </c>
      <c r="BL46" s="100">
        <v>274156.75</v>
      </c>
      <c r="BM46" s="100">
        <v>15556.305</v>
      </c>
      <c r="BN46" s="100">
        <v>13352.3</v>
      </c>
      <c r="BP46" s="99">
        <v>12.5</v>
      </c>
      <c r="BW46" s="100">
        <f t="shared" si="21"/>
        <v>32160.364663357119</v>
      </c>
      <c r="BX46" s="100">
        <v>177303.07745399998</v>
      </c>
      <c r="BY46" s="100">
        <v>-145142.71279064287</v>
      </c>
      <c r="BZ46" s="101">
        <f t="shared" si="22"/>
        <v>0.18582287319210214</v>
      </c>
      <c r="CA46" s="101">
        <f t="shared" si="23"/>
        <v>1.0244587591957011</v>
      </c>
      <c r="CB46" s="101">
        <f t="shared" si="24"/>
        <v>-0.83863588600359895</v>
      </c>
      <c r="CC46" s="100"/>
      <c r="CD46" s="100"/>
      <c r="CF46" s="100">
        <v>72241</v>
      </c>
      <c r="CG46" s="100">
        <v>7421</v>
      </c>
      <c r="CH46" s="100">
        <v>62852</v>
      </c>
      <c r="CI46" s="100">
        <v>-3199</v>
      </c>
      <c r="CJ46" s="100">
        <v>1485</v>
      </c>
      <c r="CK46" s="100">
        <v>3683</v>
      </c>
      <c r="CL46" s="113">
        <v>119203</v>
      </c>
      <c r="CM46" s="113" t="s">
        <v>65</v>
      </c>
      <c r="CN46" s="100">
        <v>2351</v>
      </c>
      <c r="CO46" s="100">
        <f t="shared" si="30"/>
        <v>1691.204201235121</v>
      </c>
      <c r="CP46" s="101">
        <f t="shared" si="31"/>
        <v>0.45067976240108987</v>
      </c>
      <c r="CQ46" s="101"/>
      <c r="CR46" s="100">
        <v>8248</v>
      </c>
      <c r="CS46" s="100">
        <v>6981</v>
      </c>
      <c r="CT46" s="100">
        <v>30585</v>
      </c>
      <c r="CU46" s="100">
        <v>30185</v>
      </c>
      <c r="CV46" s="100">
        <f t="shared" si="32"/>
        <v>-22337</v>
      </c>
      <c r="CW46" s="101">
        <f t="shared" si="33"/>
        <v>-9.2842423873968183E-2</v>
      </c>
      <c r="CX46" s="100">
        <f t="shared" si="34"/>
        <v>-23204</v>
      </c>
      <c r="CY46" s="101">
        <f t="shared" si="35"/>
        <v>-9.6446058269756801E-2</v>
      </c>
      <c r="CZ46" s="100">
        <f t="shared" si="36"/>
        <v>867</v>
      </c>
      <c r="DA46" s="101">
        <f t="shared" si="37"/>
        <v>3.6036343957886203E-3</v>
      </c>
      <c r="DB46" s="101"/>
      <c r="DC46" s="100">
        <v>4397</v>
      </c>
      <c r="DD46" s="100">
        <v>2028</v>
      </c>
      <c r="DE46" s="100">
        <v>4452</v>
      </c>
      <c r="DF46" s="100">
        <v>3542</v>
      </c>
      <c r="DG46" s="101"/>
      <c r="DH46" s="100">
        <f t="shared" si="39"/>
        <v>9009</v>
      </c>
      <c r="DI46" s="100">
        <f t="shared" si="40"/>
        <v>33727</v>
      </c>
      <c r="DJ46" s="100">
        <f t="shared" si="41"/>
        <v>-24718</v>
      </c>
      <c r="DK46" s="101">
        <f t="shared" si="42"/>
        <v>-0.10273891002895399</v>
      </c>
      <c r="DL46" s="100">
        <f t="shared" si="43"/>
        <v>812</v>
      </c>
      <c r="DM46" s="101">
        <f t="shared" si="44"/>
        <v>3.3750301376936098E-3</v>
      </c>
      <c r="DN46" s="101"/>
      <c r="DO46" s="100">
        <v>7657.624847</v>
      </c>
      <c r="DQ46" s="100">
        <v>39370.514698999999</v>
      </c>
      <c r="DR46" s="100">
        <v>34592.573956</v>
      </c>
      <c r="DS46" s="100">
        <f t="shared" si="45"/>
        <v>-31712.889852</v>
      </c>
      <c r="DT46" s="101">
        <f t="shared" si="46"/>
        <v>-0.1318127573939136</v>
      </c>
      <c r="DU46" s="101">
        <f t="shared" si="47"/>
        <v>0.70934624532280621</v>
      </c>
      <c r="DV46" s="101">
        <v>0.35</v>
      </c>
      <c r="DW46" s="102">
        <f t="shared" si="25"/>
        <v>-0.22499999999999998</v>
      </c>
      <c r="DX46" s="101"/>
      <c r="DY46" s="100">
        <v>74637</v>
      </c>
      <c r="DZ46" s="110">
        <v>10529</v>
      </c>
      <c r="EA46" s="110">
        <v>64108</v>
      </c>
      <c r="EB46" s="110"/>
      <c r="EC46" s="101"/>
      <c r="ED46" s="100">
        <v>12539</v>
      </c>
      <c r="EE46" s="110">
        <v>2120</v>
      </c>
      <c r="EF46" s="110">
        <v>4585</v>
      </c>
      <c r="EG46" s="110">
        <v>385</v>
      </c>
      <c r="EH46" s="100">
        <v>29483</v>
      </c>
      <c r="EI46" s="110">
        <v>14692</v>
      </c>
      <c r="EJ46" s="110">
        <v>3980</v>
      </c>
      <c r="EK46" s="110">
        <v>6064</v>
      </c>
      <c r="EL46" s="110"/>
      <c r="EM46" s="110"/>
      <c r="EN46" s="99">
        <v>0.71935525360915398</v>
      </c>
    </row>
    <row r="47" spans="1:145" s="99" customFormat="1">
      <c r="A47" s="98">
        <v>2012</v>
      </c>
      <c r="B47" s="100">
        <v>116596</v>
      </c>
      <c r="C47" s="100"/>
      <c r="D47" s="112">
        <v>0.99773052876267754</v>
      </c>
      <c r="E47" s="100">
        <v>175754</v>
      </c>
      <c r="F47" s="100"/>
      <c r="G47" s="100">
        <v>-33551</v>
      </c>
      <c r="H47" s="101">
        <f t="shared" si="2"/>
        <v>-0.22553777897284216</v>
      </c>
      <c r="I47" s="100">
        <v>6741</v>
      </c>
      <c r="J47" s="100">
        <v>4661</v>
      </c>
      <c r="K47" s="100">
        <v>-848</v>
      </c>
      <c r="L47" s="100">
        <v>5509</v>
      </c>
      <c r="M47" s="100">
        <v>-12821</v>
      </c>
      <c r="N47" s="100">
        <v>-11238</v>
      </c>
      <c r="O47" s="100"/>
      <c r="P47" s="100">
        <v>-16030</v>
      </c>
      <c r="Q47" s="100">
        <v>1390</v>
      </c>
      <c r="R47" s="100">
        <v>26994</v>
      </c>
      <c r="S47" s="100">
        <f t="shared" si="3"/>
        <v>3</v>
      </c>
      <c r="T47" s="100"/>
      <c r="U47" s="100"/>
      <c r="V47" s="100">
        <v>16423.263786418684</v>
      </c>
      <c r="W47" s="100"/>
      <c r="X47" s="100">
        <v>69615.228300757459</v>
      </c>
      <c r="Y47" s="101">
        <f t="shared" si="49"/>
        <v>0.6694224975987465</v>
      </c>
      <c r="Z47" s="100"/>
      <c r="AA47" s="100"/>
      <c r="AB47" s="100"/>
      <c r="AC47" s="100"/>
      <c r="AD47" s="100">
        <v>46602</v>
      </c>
      <c r="AE47" s="100">
        <v>67206</v>
      </c>
      <c r="AF47" s="100">
        <v>19361</v>
      </c>
      <c r="AG47" s="100">
        <f t="shared" si="50"/>
        <v>47845</v>
      </c>
      <c r="AH47" s="111">
        <f t="shared" si="51"/>
        <v>0.28808439722643814</v>
      </c>
      <c r="AI47" s="111">
        <f t="shared" si="6"/>
        <v>0.41034855398126863</v>
      </c>
      <c r="AJ47" s="99">
        <f t="shared" si="52"/>
        <v>-6741</v>
      </c>
      <c r="AK47" s="99">
        <v>-12989</v>
      </c>
      <c r="AL47" s="99">
        <v>32249</v>
      </c>
      <c r="AM47" s="99">
        <v>45238</v>
      </c>
      <c r="AN47" s="100">
        <v>4260</v>
      </c>
      <c r="AO47" s="100">
        <v>3965.018</v>
      </c>
      <c r="AP47" s="111">
        <f t="shared" si="53"/>
        <v>6.924460093896713E-2</v>
      </c>
      <c r="AQ47" s="107">
        <f t="shared" si="7"/>
        <v>0.5065804101771364</v>
      </c>
      <c r="AR47" s="107">
        <f t="shared" si="29"/>
        <v>1.3053946182567271</v>
      </c>
      <c r="AS47" s="107">
        <f t="shared" si="9"/>
        <v>1.0266726749924897</v>
      </c>
      <c r="AT47" s="107">
        <f t="shared" si="10"/>
        <v>0.27148082349252795</v>
      </c>
      <c r="AU47" s="107">
        <v>0.20390548327839148</v>
      </c>
      <c r="AV47" s="111"/>
      <c r="AW47" s="100">
        <v>33349</v>
      </c>
      <c r="AX47" s="100">
        <v>202</v>
      </c>
      <c r="AY47" s="107">
        <f t="shared" si="12"/>
        <v>0.697021632354478</v>
      </c>
      <c r="AZ47" s="111"/>
      <c r="BA47" s="101">
        <f t="shared" si="13"/>
        <v>0.27222709013735108</v>
      </c>
      <c r="BB47" s="101">
        <f t="shared" si="14"/>
        <v>0.41034855398126863</v>
      </c>
      <c r="BC47" s="101">
        <f t="shared" si="15"/>
        <v>0.12432673505094514</v>
      </c>
      <c r="BD47" s="102">
        <f t="shared" si="16"/>
        <v>8.2872149649911173E-2</v>
      </c>
      <c r="BE47" s="102">
        <f t="shared" si="27"/>
        <v>8.2872149649911173E-2</v>
      </c>
      <c r="BF47" s="102">
        <f t="shared" si="17"/>
        <v>2.2560044152622416E-2</v>
      </c>
      <c r="BG47" s="102">
        <f t="shared" si="18"/>
        <v>2.0000915728355849E-2</v>
      </c>
      <c r="BH47" s="102">
        <f t="shared" si="19"/>
        <v>3.4006466774160346E-2</v>
      </c>
      <c r="BI47" s="102">
        <f t="shared" si="28"/>
        <v>3.4006466774160346E-2</v>
      </c>
      <c r="BJ47" s="102">
        <f t="shared" si="20"/>
        <v>2.3267569816312162E-2</v>
      </c>
      <c r="BL47" s="100">
        <v>327186.24</v>
      </c>
      <c r="BM47" s="100">
        <v>16358.562999999998</v>
      </c>
      <c r="BN47" s="100">
        <v>14061.9</v>
      </c>
      <c r="BP47" s="99">
        <v>12.5</v>
      </c>
      <c r="BW47" s="100">
        <f t="shared" si="21"/>
        <v>30146</v>
      </c>
      <c r="BX47" s="100">
        <v>187662</v>
      </c>
      <c r="BY47" s="100">
        <v>-157516</v>
      </c>
      <c r="BZ47" s="101">
        <f t="shared" si="22"/>
        <v>0.17152383445042502</v>
      </c>
      <c r="CA47" s="101">
        <f t="shared" si="23"/>
        <v>1.0677537922323248</v>
      </c>
      <c r="CB47" s="101">
        <f t="shared" si="24"/>
        <v>-0.89622995778189973</v>
      </c>
      <c r="CC47" s="100"/>
      <c r="CD47" s="100"/>
      <c r="CF47" s="100">
        <v>81682</v>
      </c>
      <c r="CG47" s="100">
        <v>8158</v>
      </c>
      <c r="CH47" s="100">
        <v>69538</v>
      </c>
      <c r="CI47" s="100">
        <v>-2301</v>
      </c>
      <c r="CJ47" s="100">
        <v>1891</v>
      </c>
      <c r="CK47" s="100">
        <v>4396</v>
      </c>
      <c r="CL47" s="100">
        <v>119624</v>
      </c>
      <c r="CM47" s="100">
        <v>119980</v>
      </c>
      <c r="CN47" s="100">
        <v>2884</v>
      </c>
      <c r="CO47" s="100">
        <f t="shared" si="30"/>
        <v>2244.5987464746649</v>
      </c>
      <c r="CP47" s="101">
        <f t="shared" si="31"/>
        <v>0.56610051870500078</v>
      </c>
      <c r="CQ47" s="101"/>
      <c r="CR47" s="100">
        <v>7271</v>
      </c>
      <c r="CS47" s="100">
        <v>5483</v>
      </c>
      <c r="CT47" s="100">
        <v>29500</v>
      </c>
      <c r="CU47" s="100">
        <v>27928</v>
      </c>
      <c r="CV47" s="100">
        <f t="shared" si="32"/>
        <v>-22229</v>
      </c>
      <c r="CW47" s="101">
        <f t="shared" si="33"/>
        <v>-9.8436954298657717E-2</v>
      </c>
      <c r="CX47" s="100">
        <f t="shared" si="34"/>
        <v>-22445</v>
      </c>
      <c r="CY47" s="101">
        <f t="shared" si="35"/>
        <v>-9.9393469757225794E-2</v>
      </c>
      <c r="CZ47" s="100">
        <f t="shared" si="36"/>
        <v>216</v>
      </c>
      <c r="DA47" s="101">
        <f t="shared" si="37"/>
        <v>9.5651545856808976E-4</v>
      </c>
      <c r="DB47" s="101"/>
      <c r="DC47" s="100">
        <v>5227</v>
      </c>
      <c r="DD47" s="100">
        <v>2144</v>
      </c>
      <c r="DE47" s="100">
        <v>4989</v>
      </c>
      <c r="DF47" s="108">
        <f>(DF46+DF48)/2</f>
        <v>3438</v>
      </c>
      <c r="DG47" s="101"/>
      <c r="DH47" s="100">
        <f t="shared" si="39"/>
        <v>7627</v>
      </c>
      <c r="DI47" s="100">
        <f t="shared" si="40"/>
        <v>31366</v>
      </c>
      <c r="DJ47" s="100">
        <f t="shared" si="41"/>
        <v>-23739</v>
      </c>
      <c r="DK47" s="101">
        <f t="shared" si="42"/>
        <v>-0.10512370588401795</v>
      </c>
      <c r="DL47" s="100">
        <f t="shared" si="43"/>
        <v>454</v>
      </c>
      <c r="DM47" s="101">
        <f t="shared" si="44"/>
        <v>2.0104537879162623E-3</v>
      </c>
      <c r="DN47" s="101"/>
      <c r="DO47" s="100">
        <v>7392.7370719999999</v>
      </c>
      <c r="DQ47" s="100">
        <v>33372.378546</v>
      </c>
      <c r="DR47" s="100">
        <v>29857</v>
      </c>
      <c r="DS47" s="100">
        <f t="shared" si="45"/>
        <v>-25979.641474</v>
      </c>
      <c r="DT47" s="101">
        <f t="shared" si="46"/>
        <v>-0.1150459661015633</v>
      </c>
      <c r="DU47" s="101">
        <f t="shared" si="47"/>
        <v>0.67072874431812368</v>
      </c>
      <c r="DV47" s="101">
        <v>0.35</v>
      </c>
      <c r="DW47" s="102">
        <f t="shared" si="25"/>
        <v>-0.22499999999999998</v>
      </c>
      <c r="DX47" s="101"/>
      <c r="DY47" s="100">
        <v>82598</v>
      </c>
      <c r="DZ47" s="110">
        <v>11191</v>
      </c>
      <c r="EA47" s="110">
        <v>71407</v>
      </c>
      <c r="EB47" s="110"/>
      <c r="EC47" s="101"/>
      <c r="ED47" s="100">
        <v>13037</v>
      </c>
      <c r="EE47" s="110">
        <v>2166</v>
      </c>
      <c r="EF47" s="110">
        <v>5380</v>
      </c>
      <c r="EG47" s="110">
        <v>179</v>
      </c>
      <c r="EH47" s="100">
        <v>29631</v>
      </c>
      <c r="EI47" s="110">
        <v>13952</v>
      </c>
      <c r="EJ47" s="110">
        <v>4175</v>
      </c>
      <c r="EK47" s="110">
        <v>5854</v>
      </c>
      <c r="EL47" s="110"/>
      <c r="EM47" s="110"/>
      <c r="EN47" s="99">
        <v>0.77829360141285198</v>
      </c>
    </row>
    <row r="48" spans="1:145" s="99" customFormat="1">
      <c r="A48" s="98">
        <v>2013</v>
      </c>
      <c r="B48" s="100">
        <v>124648</v>
      </c>
      <c r="C48" s="100"/>
      <c r="D48" s="112">
        <v>1.0119054349940435</v>
      </c>
      <c r="E48" s="100">
        <v>180209</v>
      </c>
      <c r="F48" s="100"/>
      <c r="G48" s="100">
        <v>-28310</v>
      </c>
      <c r="H48" s="101">
        <f t="shared" si="2"/>
        <v>-0.18654823171254045</v>
      </c>
      <c r="I48" s="100">
        <v>8535</v>
      </c>
      <c r="J48" s="100">
        <v>6580</v>
      </c>
      <c r="K48" s="100">
        <v>-2032</v>
      </c>
      <c r="L48" s="100">
        <v>8612</v>
      </c>
      <c r="M48" s="100">
        <v>-10717</v>
      </c>
      <c r="N48" s="100">
        <v>-8319</v>
      </c>
      <c r="O48" s="100"/>
      <c r="P48" s="100">
        <v>-17670</v>
      </c>
      <c r="Q48" s="100">
        <v>1203</v>
      </c>
      <c r="R48" s="100">
        <v>28452</v>
      </c>
      <c r="S48" s="100">
        <f t="shared" si="3"/>
        <v>2</v>
      </c>
      <c r="T48" s="100"/>
      <c r="U48" s="100"/>
      <c r="V48" s="100">
        <v>17371.798753560928</v>
      </c>
      <c r="W48" s="100"/>
      <c r="X48" s="100">
        <v>71646.156779228389</v>
      </c>
      <c r="Y48" s="101">
        <f t="shared" si="49"/>
        <v>0.68200448142064662</v>
      </c>
      <c r="Z48" s="100"/>
      <c r="AA48" s="100"/>
      <c r="AB48" s="100"/>
      <c r="AC48" s="100"/>
      <c r="AD48" s="100">
        <v>48863</v>
      </c>
      <c r="AE48" s="100">
        <v>69915</v>
      </c>
      <c r="AF48" s="100">
        <v>20782</v>
      </c>
      <c r="AG48" s="100">
        <f t="shared" si="50"/>
        <v>49133</v>
      </c>
      <c r="AH48" s="111">
        <f t="shared" si="51"/>
        <v>0.29724665665450906</v>
      </c>
      <c r="AI48" s="111">
        <f t="shared" si="6"/>
        <v>0.39417399396701108</v>
      </c>
      <c r="AJ48" s="99">
        <f t="shared" si="52"/>
        <v>-8535</v>
      </c>
      <c r="AK48" s="99">
        <v>-15546</v>
      </c>
      <c r="AL48" s="99">
        <v>25383</v>
      </c>
      <c r="AM48" s="99">
        <v>40929</v>
      </c>
      <c r="AN48" s="100">
        <v>4560</v>
      </c>
      <c r="AO48" s="100">
        <v>4273.4290000000001</v>
      </c>
      <c r="AP48" s="111">
        <f t="shared" si="53"/>
        <v>6.2844517543859627E-2</v>
      </c>
      <c r="AQ48" s="107">
        <f t="shared" si="7"/>
        <v>0.50137760724927549</v>
      </c>
      <c r="AR48" s="107">
        <f t="shared" si="29"/>
        <v>1.3236804944436487</v>
      </c>
      <c r="AS48" s="107">
        <f t="shared" si="9"/>
        <v>1.005525653357346</v>
      </c>
      <c r="AT48" s="107">
        <f t="shared" si="10"/>
        <v>0.31640648851077685</v>
      </c>
      <c r="AU48" s="107">
        <v>0.23273132112815439</v>
      </c>
      <c r="AV48" s="111"/>
      <c r="AW48" s="100">
        <v>28169</v>
      </c>
      <c r="AX48" s="100">
        <v>141</v>
      </c>
      <c r="AY48" s="107">
        <f t="shared" si="12"/>
        <v>0.57332139295381923</v>
      </c>
      <c r="AZ48" s="111"/>
      <c r="BA48" s="101">
        <f t="shared" si="13"/>
        <v>0.2726445405057461</v>
      </c>
      <c r="BB48" s="101">
        <f t="shared" si="14"/>
        <v>0.39417399396701108</v>
      </c>
      <c r="BC48" s="101">
        <f t="shared" si="15"/>
        <v>0.16818561067967397</v>
      </c>
      <c r="BD48" s="102">
        <f t="shared" si="16"/>
        <v>8.6976756965786745E-2</v>
      </c>
      <c r="BE48" s="102">
        <f t="shared" si="27"/>
        <v>8.6976756965786745E-2</v>
      </c>
      <c r="BF48" s="102">
        <f t="shared" si="17"/>
        <v>2.3713737937616879E-2</v>
      </c>
      <c r="BG48" s="102">
        <f t="shared" si="18"/>
        <v>2.1099872770210595E-2</v>
      </c>
      <c r="BH48" s="102">
        <f t="shared" si="19"/>
        <v>3.4283975675502218E-2</v>
      </c>
      <c r="BI48" s="102">
        <f t="shared" si="28"/>
        <v>3.4283975675502218E-2</v>
      </c>
      <c r="BJ48" s="102">
        <f t="shared" si="20"/>
        <v>2.4583104646654856E-2</v>
      </c>
      <c r="BL48" s="100">
        <v>355098.03</v>
      </c>
      <c r="BM48" s="100">
        <v>16829.392</v>
      </c>
      <c r="BN48" s="100">
        <v>14444.8</v>
      </c>
      <c r="BP48" s="99">
        <v>12.5</v>
      </c>
      <c r="BW48" s="100">
        <f t="shared" si="21"/>
        <v>33869</v>
      </c>
      <c r="BX48" s="100">
        <v>191183</v>
      </c>
      <c r="BY48" s="100">
        <v>-157314</v>
      </c>
      <c r="BZ48" s="101">
        <f t="shared" si="22"/>
        <v>0.18794288853497884</v>
      </c>
      <c r="CA48" s="101">
        <f t="shared" si="23"/>
        <v>1.0608959596912473</v>
      </c>
      <c r="CB48" s="101">
        <f t="shared" si="24"/>
        <v>-0.87295307115626852</v>
      </c>
      <c r="CC48" s="100"/>
      <c r="CD48" s="100"/>
      <c r="CF48" s="100">
        <v>77351</v>
      </c>
      <c r="CG48" s="100">
        <v>8267</v>
      </c>
      <c r="CH48" s="100">
        <v>61747</v>
      </c>
      <c r="CI48" s="100">
        <v>-749</v>
      </c>
      <c r="CJ48" s="100">
        <v>1461</v>
      </c>
      <c r="CK48" s="100">
        <v>6625</v>
      </c>
      <c r="CL48" s="100">
        <v>106789</v>
      </c>
      <c r="CM48" s="100">
        <v>107172</v>
      </c>
      <c r="CN48" s="100">
        <v>3615</v>
      </c>
      <c r="CO48" s="100">
        <f t="shared" si="30"/>
        <v>2722.670442377881</v>
      </c>
      <c r="CP48" s="101">
        <f t="shared" si="31"/>
        <v>0.6371161056795096</v>
      </c>
      <c r="CQ48" s="101"/>
      <c r="CR48" s="100">
        <v>8163</v>
      </c>
      <c r="CS48" s="100">
        <v>6243</v>
      </c>
      <c r="CT48" s="100">
        <v>27704</v>
      </c>
      <c r="CU48" s="100">
        <v>26147</v>
      </c>
      <c r="CV48" s="100">
        <f t="shared" si="32"/>
        <v>-19541</v>
      </c>
      <c r="CW48" s="101">
        <f t="shared" si="33"/>
        <v>-8.1668970875358626E-2</v>
      </c>
      <c r="CX48" s="100">
        <f t="shared" si="34"/>
        <v>-19904</v>
      </c>
      <c r="CY48" s="101">
        <f t="shared" si="35"/>
        <v>-8.3186080359405265E-2</v>
      </c>
      <c r="CZ48" s="100">
        <f t="shared" si="36"/>
        <v>363</v>
      </c>
      <c r="DA48" s="101">
        <f t="shared" si="37"/>
        <v>1.5171094840466294E-3</v>
      </c>
      <c r="DB48" s="101"/>
      <c r="DC48" s="100">
        <v>5383</v>
      </c>
      <c r="DD48" s="100">
        <v>1942</v>
      </c>
      <c r="DE48" s="100">
        <v>4761</v>
      </c>
      <c r="DF48" s="100">
        <v>3334</v>
      </c>
      <c r="DG48" s="101"/>
      <c r="DH48" s="100">
        <f t="shared" si="39"/>
        <v>8185</v>
      </c>
      <c r="DI48" s="100">
        <f t="shared" si="40"/>
        <v>29481</v>
      </c>
      <c r="DJ48" s="100">
        <f t="shared" si="41"/>
        <v>-21296</v>
      </c>
      <c r="DK48" s="101">
        <f t="shared" si="42"/>
        <v>-8.9003756397402253E-2</v>
      </c>
      <c r="DL48" s="100">
        <f t="shared" si="43"/>
        <v>985</v>
      </c>
      <c r="DM48" s="101">
        <f t="shared" si="44"/>
        <v>4.1166744952780433E-3</v>
      </c>
      <c r="DN48" s="101"/>
      <c r="DO48" s="100">
        <v>6632.235721</v>
      </c>
      <c r="DQ48" s="100">
        <v>31496.458638999997</v>
      </c>
      <c r="DR48" s="100">
        <v>28659.799845000001</v>
      </c>
      <c r="DS48" s="100">
        <f t="shared" si="45"/>
        <v>-24864.222917999996</v>
      </c>
      <c r="DT48" s="101">
        <f t="shared" si="46"/>
        <v>-0.10391666226541969</v>
      </c>
      <c r="DU48" s="101">
        <f t="shared" si="47"/>
        <v>0.55291617084026734</v>
      </c>
      <c r="DV48" s="101">
        <v>0.35</v>
      </c>
      <c r="DW48" s="102">
        <f t="shared" si="25"/>
        <v>-0.22499999999999998</v>
      </c>
      <c r="DX48" s="101"/>
      <c r="DY48" s="100">
        <v>86051</v>
      </c>
      <c r="DZ48" s="110">
        <v>9995</v>
      </c>
      <c r="EA48" s="110">
        <v>76056</v>
      </c>
      <c r="EB48" s="110"/>
      <c r="EC48" s="101"/>
      <c r="ED48" s="100">
        <v>13637</v>
      </c>
      <c r="EE48" s="110">
        <v>2061</v>
      </c>
      <c r="EF48" s="110">
        <v>5387</v>
      </c>
      <c r="EG48" s="110">
        <v>241</v>
      </c>
      <c r="EH48" s="100">
        <v>32799</v>
      </c>
      <c r="EI48" s="110">
        <v>14991</v>
      </c>
      <c r="EJ48" s="110">
        <v>5078</v>
      </c>
      <c r="EK48" s="110">
        <v>6099</v>
      </c>
      <c r="EL48" s="110"/>
      <c r="EM48" s="110"/>
      <c r="EN48" s="99">
        <v>0.75315918184727004</v>
      </c>
    </row>
    <row r="49" spans="1:144" s="99" customFormat="1">
      <c r="A49" s="98">
        <v>2014</v>
      </c>
      <c r="B49" s="100">
        <v>133599</v>
      </c>
      <c r="C49" s="100"/>
      <c r="D49" s="112">
        <v>1</v>
      </c>
      <c r="E49" s="100">
        <v>193160</v>
      </c>
      <c r="F49" s="100"/>
      <c r="G49" s="100">
        <v>-29715</v>
      </c>
      <c r="H49" s="101">
        <f t="shared" si="2"/>
        <v>-0.18312185321903751</v>
      </c>
      <c r="I49" s="100">
        <v>13517</v>
      </c>
      <c r="J49" s="100">
        <v>13271</v>
      </c>
      <c r="K49" s="100">
        <v>-1964</v>
      </c>
      <c r="L49" s="100">
        <v>15235</v>
      </c>
      <c r="M49" s="100">
        <v>-7972</v>
      </c>
      <c r="N49" s="100">
        <v>-10250</v>
      </c>
      <c r="O49" s="100"/>
      <c r="P49" s="100">
        <v>-24851</v>
      </c>
      <c r="Q49" s="100">
        <v>1043</v>
      </c>
      <c r="R49" s="100">
        <v>30891</v>
      </c>
      <c r="S49" s="100">
        <f t="shared" si="3"/>
        <v>-2</v>
      </c>
      <c r="T49" s="100"/>
      <c r="U49" s="100"/>
      <c r="V49" s="100">
        <v>19342.964480399518</v>
      </c>
      <c r="W49" s="100"/>
      <c r="X49" s="100">
        <v>74150.309599729633</v>
      </c>
      <c r="Y49" s="101">
        <f t="shared" si="49"/>
        <v>0.69553317145135762</v>
      </c>
      <c r="Z49" s="100"/>
      <c r="AA49" s="100"/>
      <c r="AB49" s="100"/>
      <c r="AC49" s="100"/>
      <c r="AD49" s="100">
        <v>51574</v>
      </c>
      <c r="AE49" s="100">
        <v>75836</v>
      </c>
      <c r="AF49" s="100">
        <v>22709</v>
      </c>
      <c r="AG49" s="100">
        <f t="shared" si="50"/>
        <v>53127</v>
      </c>
      <c r="AH49" s="111">
        <f t="shared" si="51"/>
        <v>0.29944881059127593</v>
      </c>
      <c r="AI49" s="111">
        <f t="shared" si="6"/>
        <v>0.39766016212696204</v>
      </c>
      <c r="AJ49" s="99">
        <f t="shared" si="52"/>
        <v>-13517</v>
      </c>
      <c r="AK49" s="99">
        <v>-20434</v>
      </c>
      <c r="AL49" s="99">
        <v>22085</v>
      </c>
      <c r="AM49" s="99">
        <v>42519</v>
      </c>
      <c r="AN49" s="100">
        <v>4946</v>
      </c>
      <c r="AO49" s="100">
        <v>4618.0150000000003</v>
      </c>
      <c r="AP49" s="111">
        <f t="shared" si="53"/>
        <v>6.6313182369591522E-2</v>
      </c>
      <c r="AQ49" s="107">
        <f t="shared" si="7"/>
        <v>0.50741635705485144</v>
      </c>
      <c r="AR49" s="107">
        <f t="shared" si="29"/>
        <v>1.426319463295459</v>
      </c>
      <c r="AS49" s="107">
        <f t="shared" si="9"/>
        <v>1.0301120719742507</v>
      </c>
      <c r="AT49" s="107">
        <f t="shared" si="10"/>
        <v>0.38462551998042427</v>
      </c>
      <c r="AU49" s="107">
        <v>0.26707532712483789</v>
      </c>
      <c r="AV49" s="111"/>
      <c r="AW49" s="100">
        <v>29558</v>
      </c>
      <c r="AX49" s="100">
        <v>157</v>
      </c>
      <c r="AY49" s="107">
        <f t="shared" si="12"/>
        <v>0.55636493684943622</v>
      </c>
      <c r="AZ49" s="111"/>
      <c r="BA49" s="101">
        <f t="shared" si="13"/>
        <v>0.2750414164423276</v>
      </c>
      <c r="BB49" s="101">
        <f t="shared" si="14"/>
        <v>0.39766016212696204</v>
      </c>
      <c r="BC49" s="101">
        <f t="shared" si="15"/>
        <v>0.17641599113765821</v>
      </c>
      <c r="BD49" s="102">
        <f t="shared" si="16"/>
        <v>8.6924068740941524E-2</v>
      </c>
      <c r="BE49" s="102">
        <f t="shared" si="27"/>
        <v>8.6924068740941524E-2</v>
      </c>
      <c r="BF49" s="102">
        <f t="shared" si="17"/>
        <v>2.390771898943881E-2</v>
      </c>
      <c r="BG49" s="102">
        <f t="shared" si="18"/>
        <v>2.148893375891877E-2</v>
      </c>
      <c r="BH49" s="102">
        <f t="shared" si="19"/>
        <v>3.4566239268257998E-2</v>
      </c>
      <c r="BI49" s="102">
        <f t="shared" si="28"/>
        <v>3.4566239268257998E-2</v>
      </c>
      <c r="BJ49" s="102">
        <f t="shared" si="20"/>
        <v>2.5029909132302575E-2</v>
      </c>
      <c r="BL49" s="100">
        <v>379300.74</v>
      </c>
      <c r="BM49" s="100">
        <v>17650.98</v>
      </c>
      <c r="BN49" s="100">
        <v>15153.9</v>
      </c>
      <c r="BP49" s="99">
        <v>12.5</v>
      </c>
      <c r="BW49" s="100">
        <f t="shared" si="21"/>
        <v>34608</v>
      </c>
      <c r="BX49" s="100">
        <v>219790</v>
      </c>
      <c r="BY49" s="100">
        <v>-185182</v>
      </c>
      <c r="BZ49" s="101">
        <f t="shared" si="22"/>
        <v>0.17916752950921516</v>
      </c>
      <c r="CA49" s="101">
        <f t="shared" si="23"/>
        <v>1.137864982398012</v>
      </c>
      <c r="CB49" s="101">
        <f t="shared" si="24"/>
        <v>-0.95869745288879682</v>
      </c>
      <c r="CC49" s="100"/>
      <c r="CD49" s="100"/>
      <c r="CF49" s="100">
        <v>79648</v>
      </c>
      <c r="CG49" s="100">
        <v>9209</v>
      </c>
      <c r="CH49" s="100">
        <v>61167</v>
      </c>
      <c r="CI49" s="100">
        <v>104</v>
      </c>
      <c r="CJ49" s="100">
        <v>1718</v>
      </c>
      <c r="CK49" s="100">
        <v>7450</v>
      </c>
      <c r="CL49" s="100">
        <v>108971</v>
      </c>
      <c r="CM49" s="100">
        <v>108830</v>
      </c>
      <c r="CN49" s="100">
        <v>3816</v>
      </c>
      <c r="CO49" s="100">
        <f t="shared" si="30"/>
        <v>2876.2364913136062</v>
      </c>
      <c r="CP49" s="101">
        <f t="shared" si="31"/>
        <v>0.62282961214149501</v>
      </c>
      <c r="CQ49" s="101"/>
      <c r="CR49" s="100">
        <v>7920</v>
      </c>
      <c r="CS49" s="100">
        <v>4921</v>
      </c>
      <c r="CT49" s="100">
        <v>33450</v>
      </c>
      <c r="CU49" s="100">
        <v>31931</v>
      </c>
      <c r="CV49" s="100">
        <f t="shared" si="32"/>
        <v>-25530</v>
      </c>
      <c r="CW49" s="101">
        <f t="shared" si="33"/>
        <v>-9.9620758482062907E-2</v>
      </c>
      <c r="CX49" s="100">
        <f t="shared" si="34"/>
        <v>-27010</v>
      </c>
      <c r="CY49" s="101">
        <f t="shared" si="35"/>
        <v>-0.10539587491580568</v>
      </c>
      <c r="CZ49" s="100">
        <f t="shared" si="36"/>
        <v>1480</v>
      </c>
      <c r="DA49" s="101">
        <f t="shared" si="37"/>
        <v>5.7751164337427781E-3</v>
      </c>
      <c r="DB49" s="101"/>
      <c r="DC49" s="100">
        <v>7812</v>
      </c>
      <c r="DD49" s="100">
        <v>2523</v>
      </c>
      <c r="DE49" s="100">
        <v>7384</v>
      </c>
      <c r="DF49" s="100">
        <v>3657</v>
      </c>
      <c r="DG49" s="101"/>
      <c r="DH49" s="100">
        <f t="shared" si="39"/>
        <v>7444</v>
      </c>
      <c r="DI49" s="100">
        <f t="shared" si="40"/>
        <v>35588</v>
      </c>
      <c r="DJ49" s="100">
        <f t="shared" si="41"/>
        <v>-28144</v>
      </c>
      <c r="DK49" s="101">
        <f t="shared" si="42"/>
        <v>-0.10982086277787617</v>
      </c>
      <c r="DL49" s="100">
        <f t="shared" si="43"/>
        <v>1908</v>
      </c>
      <c r="DM49" s="101">
        <f t="shared" si="44"/>
        <v>7.4452176726900136E-3</v>
      </c>
      <c r="DN49" s="101"/>
      <c r="DO49" s="100">
        <v>7806.5485919999992</v>
      </c>
      <c r="DP49" s="100"/>
      <c r="DQ49" s="100">
        <v>33987.627387</v>
      </c>
      <c r="DR49" s="100">
        <v>30070</v>
      </c>
      <c r="DS49" s="100">
        <f t="shared" si="45"/>
        <v>-26181.078795000001</v>
      </c>
      <c r="DT49" s="101">
        <f t="shared" si="46"/>
        <v>-0.10216133675818856</v>
      </c>
      <c r="DU49" s="101">
        <f t="shared" si="47"/>
        <v>0.57020006380639454</v>
      </c>
      <c r="DV49" s="101">
        <v>0.35</v>
      </c>
      <c r="DW49" s="102">
        <f t="shared" si="25"/>
        <v>-0.22499999999999998</v>
      </c>
      <c r="DX49" s="101"/>
      <c r="DY49" s="100">
        <v>107543</v>
      </c>
      <c r="DZ49" s="110">
        <v>16517</v>
      </c>
      <c r="EA49" s="110">
        <v>91026</v>
      </c>
      <c r="EB49" s="110"/>
      <c r="EC49" s="101"/>
      <c r="ED49" s="100">
        <v>14260</v>
      </c>
      <c r="EE49" s="110">
        <v>1859</v>
      </c>
      <c r="EF49" s="110">
        <v>3377</v>
      </c>
      <c r="EG49" s="110">
        <v>1741</v>
      </c>
      <c r="EH49" s="100">
        <v>40402</v>
      </c>
      <c r="EI49" s="110">
        <v>18663</v>
      </c>
      <c r="EJ49" s="110">
        <v>8030</v>
      </c>
      <c r="EK49" s="110" t="s">
        <v>65</v>
      </c>
      <c r="EL49" s="110"/>
      <c r="EM49" s="110"/>
      <c r="EN49" s="99">
        <v>0.75373073671740198</v>
      </c>
    </row>
    <row r="50" spans="1:144" s="99" customFormat="1">
      <c r="A50" s="98">
        <v>2015</v>
      </c>
      <c r="B50" s="100">
        <v>142330</v>
      </c>
      <c r="C50" s="100"/>
      <c r="D50" s="112">
        <v>1.0487907660515612</v>
      </c>
      <c r="E50" s="100">
        <v>255815</v>
      </c>
      <c r="F50" s="100"/>
      <c r="G50" s="100">
        <v>-53173</v>
      </c>
      <c r="H50" s="101">
        <f t="shared" si="2"/>
        <v>-0.27372501377041752</v>
      </c>
      <c r="I50" s="100">
        <v>15307</v>
      </c>
      <c r="J50" s="100">
        <v>15016</v>
      </c>
      <c r="K50" s="100">
        <v>-2127</v>
      </c>
      <c r="L50" s="100">
        <v>17143</v>
      </c>
      <c r="M50" s="100">
        <v>-12825</v>
      </c>
      <c r="N50" s="100">
        <v>-27918</v>
      </c>
      <c r="O50" s="100"/>
      <c r="P50" s="100">
        <v>-27645</v>
      </c>
      <c r="Q50" s="100">
        <v>1244</v>
      </c>
      <c r="R50" s="100">
        <v>61558</v>
      </c>
      <c r="S50" s="100">
        <f t="shared" si="3"/>
        <v>-2</v>
      </c>
      <c r="T50" s="100"/>
      <c r="U50" s="100"/>
      <c r="V50" s="100">
        <v>20669.840348448448</v>
      </c>
      <c r="W50" s="100"/>
      <c r="X50" s="100">
        <v>78294.397733414546</v>
      </c>
      <c r="Y50" s="101">
        <f t="shared" si="49"/>
        <v>0.70538891158019279</v>
      </c>
      <c r="Z50" s="100"/>
      <c r="AA50" s="100"/>
      <c r="AB50" s="100"/>
      <c r="AC50" s="100"/>
      <c r="AD50" s="100">
        <v>55228</v>
      </c>
      <c r="AE50" s="100">
        <v>128779</v>
      </c>
      <c r="AF50" s="100">
        <v>52854</v>
      </c>
      <c r="AG50" s="100">
        <f t="shared" si="50"/>
        <v>75925</v>
      </c>
      <c r="AH50" s="111">
        <f t="shared" si="51"/>
        <v>0.4104240598234184</v>
      </c>
      <c r="AI50" s="111">
        <f t="shared" si="6"/>
        <v>0.53344340616876273</v>
      </c>
      <c r="AJ50" s="99">
        <f t="shared" si="52"/>
        <v>-15307</v>
      </c>
      <c r="AK50" s="99">
        <v>-21601</v>
      </c>
      <c r="AL50" s="99">
        <v>21659</v>
      </c>
      <c r="AM50" s="99">
        <v>43260</v>
      </c>
      <c r="AN50" s="100">
        <v>7266</v>
      </c>
      <c r="AO50" s="100">
        <v>6872.9269999999997</v>
      </c>
      <c r="AP50" s="111">
        <f t="shared" si="53"/>
        <v>5.4097577759427515E-2</v>
      </c>
      <c r="AQ50" s="107">
        <f t="shared" si="7"/>
        <v>0.57890402811982955</v>
      </c>
      <c r="AR50" s="107">
        <f t="shared" si="29"/>
        <v>1.7658796262765264</v>
      </c>
      <c r="AS50" s="107">
        <f t="shared" si="9"/>
        <v>1.3747555587745348</v>
      </c>
      <c r="AT50" s="107">
        <f t="shared" si="10"/>
        <v>0.28450444517616069</v>
      </c>
      <c r="AU50" s="107">
        <v>0.29215884801439984</v>
      </c>
      <c r="AV50" s="111"/>
      <c r="AW50" s="100">
        <v>53082</v>
      </c>
      <c r="AX50" s="100">
        <v>91</v>
      </c>
      <c r="AY50" s="107">
        <f t="shared" si="12"/>
        <v>0.69913730655251893</v>
      </c>
      <c r="AZ50" s="111"/>
      <c r="BA50" s="101">
        <f t="shared" si="13"/>
        <v>0.29679651310517369</v>
      </c>
      <c r="BB50" s="101">
        <f t="shared" si="14"/>
        <v>0.53344340616876273</v>
      </c>
      <c r="BC50" s="101">
        <f t="shared" si="15"/>
        <v>0.1604932199817326</v>
      </c>
      <c r="BD50" s="102">
        <f t="shared" si="16"/>
        <v>9.0522581494896281E-2</v>
      </c>
      <c r="BE50" s="102">
        <f t="shared" si="27"/>
        <v>9.0522581494896281E-2</v>
      </c>
      <c r="BF50" s="102">
        <f t="shared" si="17"/>
        <v>2.6866786544964133E-2</v>
      </c>
      <c r="BG50" s="102">
        <f t="shared" si="18"/>
        <v>2.1644702127874779E-2</v>
      </c>
      <c r="BH50" s="102">
        <f t="shared" si="19"/>
        <v>4.8288674207826877E-2</v>
      </c>
      <c r="BI50" s="102">
        <f t="shared" si="28"/>
        <v>4.8288674207826877E-2</v>
      </c>
      <c r="BJ50" s="102">
        <f t="shared" si="20"/>
        <v>2.5271678167669946E-2</v>
      </c>
      <c r="BL50" s="100">
        <v>395888.42</v>
      </c>
      <c r="BM50" s="100">
        <v>18290.314999999999</v>
      </c>
      <c r="BN50" s="100">
        <v>15665.3</v>
      </c>
      <c r="BP50" s="99">
        <v>12.5</v>
      </c>
      <c r="BW50" s="100">
        <f t="shared" si="21"/>
        <v>81212</v>
      </c>
      <c r="BX50" s="100">
        <v>317197</v>
      </c>
      <c r="BY50" s="100">
        <v>-235985</v>
      </c>
      <c r="BZ50" s="101">
        <f t="shared" si="22"/>
        <v>0.3174637921935774</v>
      </c>
      <c r="CA50" s="101">
        <f t="shared" si="23"/>
        <v>1.239946836581123</v>
      </c>
      <c r="CB50" s="101">
        <f t="shared" si="24"/>
        <v>-0.92248304438754569</v>
      </c>
      <c r="CC50" s="100"/>
      <c r="CD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v>8930.7735089999987</v>
      </c>
      <c r="DP50" s="100"/>
      <c r="DQ50" s="100">
        <v>39336.180666</v>
      </c>
      <c r="DR50" s="100"/>
      <c r="DS50" s="100">
        <f t="shared" si="45"/>
        <v>-30405.407157000001</v>
      </c>
      <c r="DT50" s="101">
        <f t="shared" si="46"/>
        <v>-0.1071684922520607</v>
      </c>
      <c r="DU50" s="101">
        <f t="shared" si="47"/>
        <v>0.3375770556747883</v>
      </c>
      <c r="DV50" s="101">
        <v>0.35</v>
      </c>
      <c r="DW50" s="102">
        <f t="shared" si="25"/>
        <v>-0.22499999999999998</v>
      </c>
      <c r="DX50" s="101"/>
      <c r="DY50" s="101"/>
      <c r="DZ50" s="100"/>
      <c r="EA50" s="100"/>
      <c r="EB50" s="100"/>
      <c r="EC50" s="101"/>
      <c r="ED50" s="100">
        <v>15882</v>
      </c>
      <c r="EE50" s="110">
        <v>2065</v>
      </c>
      <c r="EF50" s="110">
        <v>4334</v>
      </c>
      <c r="EG50" s="110">
        <v>2305</v>
      </c>
      <c r="EH50" s="100">
        <v>41909</v>
      </c>
      <c r="EI50" s="110">
        <v>17853</v>
      </c>
      <c r="EJ50" s="110" t="s">
        <v>65</v>
      </c>
      <c r="EK50" s="110">
        <v>9269</v>
      </c>
      <c r="EL50" s="110"/>
      <c r="EM50" s="110"/>
      <c r="EN50" s="99">
        <v>0.90165896164127801</v>
      </c>
    </row>
    <row r="51" spans="1:144">
      <c r="A51" s="98">
        <v>2016</v>
      </c>
      <c r="B51" s="108">
        <f>B50*1.06</f>
        <v>150869.80000000002</v>
      </c>
      <c r="D51" s="109">
        <f>D50*1.01</f>
        <v>1.0592786737120767</v>
      </c>
      <c r="E51" s="108">
        <f>E50*1.06</f>
        <v>271163.90000000002</v>
      </c>
      <c r="G51" s="100">
        <v>-47465</v>
      </c>
      <c r="J51" s="100">
        <v>16914</v>
      </c>
      <c r="L51" s="100">
        <v>19281</v>
      </c>
      <c r="AW51" s="100">
        <v>47384</v>
      </c>
      <c r="AX51" s="100">
        <v>80</v>
      </c>
      <c r="AY51" s="107" t="e">
        <f t="shared" si="12"/>
        <v>#DIV/0!</v>
      </c>
      <c r="BB51" s="100"/>
      <c r="BC51" s="101"/>
      <c r="BH51" s="106"/>
      <c r="BI51" s="106"/>
      <c r="BP51" s="99">
        <v>12.5</v>
      </c>
      <c r="BW51" s="100">
        <f>102985-41325</f>
        <v>61660</v>
      </c>
      <c r="BX51" s="100"/>
      <c r="BY51" s="100"/>
      <c r="BZ51" s="101"/>
      <c r="CA51" s="100"/>
      <c r="CB51" s="100"/>
      <c r="CC51" s="100"/>
      <c r="CD51" s="100"/>
      <c r="CF51" s="100"/>
      <c r="CG51" s="100"/>
      <c r="CH51" s="100"/>
      <c r="CI51" s="100"/>
      <c r="CJ51" s="100"/>
      <c r="CK51" s="100"/>
      <c r="CL51" s="100"/>
      <c r="CN51" s="100"/>
      <c r="CO51" s="100"/>
      <c r="CP51" s="100"/>
      <c r="CQ51" s="100"/>
      <c r="CR51" s="100" t="s">
        <v>195</v>
      </c>
      <c r="CS51" s="100"/>
      <c r="CT51" s="100">
        <v>35680</v>
      </c>
      <c r="CU51" s="105">
        <v>33606</v>
      </c>
      <c r="DC51" s="104">
        <f>(DC49+CR49)*EN49/E49</f>
        <v>6.1387926848406341E-2</v>
      </c>
      <c r="DE51" s="103">
        <f>(DE49+CT49)*EN49/E49</f>
        <v>0.15933858409152202</v>
      </c>
      <c r="DO51" s="100">
        <v>9555.6945610000002</v>
      </c>
      <c r="DQ51" s="100">
        <v>45503.865808999995</v>
      </c>
      <c r="DS51" s="100">
        <f t="shared" si="45"/>
        <v>-35948.171247999999</v>
      </c>
      <c r="DT51" s="101">
        <f t="shared" si="46"/>
        <v>-0.11979929560945143</v>
      </c>
      <c r="DU51" s="101"/>
      <c r="DV51" s="101">
        <v>0.35</v>
      </c>
      <c r="DW51" s="102">
        <f t="shared" si="25"/>
        <v>-0.22499999999999998</v>
      </c>
      <c r="DX51" s="101"/>
      <c r="DY51" s="101"/>
      <c r="DZ51" s="101"/>
      <c r="EA51" s="101"/>
      <c r="EB51" s="101"/>
      <c r="EC51" s="101"/>
      <c r="ED51" s="101"/>
      <c r="EE51" s="101"/>
      <c r="EF51" s="101"/>
      <c r="EG51" s="101"/>
      <c r="EH51" s="101"/>
      <c r="EI51" s="101"/>
      <c r="EJ51" s="101"/>
      <c r="EK51" s="101"/>
      <c r="EL51" s="101"/>
      <c r="EM51" s="101"/>
      <c r="EN51" s="98">
        <f>1/1.1066</f>
        <v>0.90366889571660947</v>
      </c>
    </row>
    <row r="52" spans="1:144">
      <c r="A52" s="98">
        <v>2017</v>
      </c>
      <c r="BP52" s="99">
        <v>12.5</v>
      </c>
      <c r="BW52" s="100"/>
      <c r="BX52" s="100"/>
      <c r="BY52" s="100"/>
      <c r="BZ52" s="100"/>
      <c r="CA52" s="100"/>
      <c r="CB52" s="100"/>
      <c r="CC52" s="100"/>
      <c r="CD52" s="100"/>
      <c r="CF52" s="100"/>
      <c r="CG52" s="100"/>
      <c r="CH52" s="100"/>
      <c r="CI52" s="100"/>
      <c r="CJ52" s="100"/>
      <c r="CK52" s="100"/>
      <c r="CL52" s="100"/>
      <c r="CN52" s="100"/>
      <c r="CO52" s="100"/>
      <c r="CP52" s="100"/>
      <c r="CQ52" s="100"/>
      <c r="CR52" s="100"/>
      <c r="CS52" s="100"/>
      <c r="CT52" s="100"/>
    </row>
    <row r="53" spans="1:144">
      <c r="BW53" s="100"/>
      <c r="BX53" s="100"/>
      <c r="BY53" s="100"/>
      <c r="BZ53" s="100"/>
      <c r="CA53" s="100"/>
      <c r="CB53" s="100"/>
      <c r="CC53" s="100"/>
      <c r="CD53" s="100"/>
    </row>
    <row r="54" spans="1:144">
      <c r="CR54" s="98" t="s">
        <v>194</v>
      </c>
    </row>
    <row r="55" spans="1:144">
      <c r="CR55" s="98" t="s">
        <v>193</v>
      </c>
    </row>
    <row r="56" spans="1:144">
      <c r="CR56" s="98" t="s">
        <v>192</v>
      </c>
    </row>
    <row r="58" spans="1:144">
      <c r="CR58" s="98" t="s">
        <v>191</v>
      </c>
    </row>
    <row r="59" spans="1:144">
      <c r="CR59" s="98" t="s">
        <v>190</v>
      </c>
    </row>
    <row r="62" spans="1:144">
      <c r="CR62" s="98" t="s">
        <v>189</v>
      </c>
    </row>
    <row r="64" spans="1:144">
      <c r="CR64" s="98" t="s">
        <v>188</v>
      </c>
    </row>
    <row r="86" spans="44:44">
      <c r="AR86" s="98" t="s">
        <v>187</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5"/>
  <sheetViews>
    <sheetView zoomScale="115" zoomScaleNormal="115" zoomScalePageLayoutView="115" workbookViewId="0">
      <selection activeCell="I11" sqref="I11"/>
    </sheetView>
  </sheetViews>
  <sheetFormatPr baseColWidth="10" defaultColWidth="8.6640625" defaultRowHeight="14" x14ac:dyDescent="0"/>
  <cols>
    <col min="1" max="1" width="14.33203125" style="4" customWidth="1"/>
    <col min="2" max="2" width="35.5" style="4" customWidth="1"/>
    <col min="3" max="3" width="17.6640625" style="4" bestFit="1" customWidth="1"/>
    <col min="4" max="4" width="12.5" style="4" bestFit="1" customWidth="1"/>
    <col min="5" max="5" width="10" style="4" bestFit="1" customWidth="1"/>
    <col min="6" max="6" width="8.6640625" style="4"/>
    <col min="7" max="7" width="9.6640625" style="4" customWidth="1"/>
    <col min="8" max="8" width="14.1640625" style="4" bestFit="1" customWidth="1"/>
    <col min="9" max="9" width="23.33203125" style="4" customWidth="1"/>
    <col min="10" max="11" width="1.33203125" style="4" customWidth="1"/>
    <col min="12" max="12" width="8.6640625" style="4"/>
    <col min="13" max="13" width="24.83203125" style="4" bestFit="1" customWidth="1"/>
    <col min="14" max="27" width="8.6640625" style="4"/>
    <col min="28" max="28" width="15.33203125" style="4" customWidth="1"/>
    <col min="29" max="34" width="10.1640625" style="4" customWidth="1"/>
    <col min="35" max="16384" width="8.6640625" style="4"/>
  </cols>
  <sheetData>
    <row r="1" spans="2:34" ht="15" thickBot="1">
      <c r="AB1" s="7" t="s">
        <v>105</v>
      </c>
      <c r="AC1" s="6"/>
      <c r="AD1" s="6"/>
      <c r="AE1" s="6"/>
      <c r="AF1" s="6"/>
      <c r="AG1" s="6"/>
      <c r="AH1" s="6"/>
    </row>
    <row r="2" spans="2:34" ht="16" thickTop="1" thickBot="1">
      <c r="B2" s="231" t="s">
        <v>102</v>
      </c>
      <c r="C2" s="231"/>
      <c r="D2" s="231"/>
      <c r="E2" s="231"/>
      <c r="H2" s="231" t="s">
        <v>86</v>
      </c>
      <c r="I2" s="231"/>
      <c r="L2" s="231" t="s">
        <v>85</v>
      </c>
      <c r="M2" s="231"/>
      <c r="AC2" s="229" t="s">
        <v>94</v>
      </c>
      <c r="AD2" s="229"/>
      <c r="AE2" s="229"/>
      <c r="AF2" s="229" t="s">
        <v>93</v>
      </c>
      <c r="AG2" s="229"/>
      <c r="AH2" s="229"/>
    </row>
    <row r="3" spans="2:34" ht="15" thickTop="1">
      <c r="B3" s="5" t="s">
        <v>98</v>
      </c>
      <c r="C3" s="5" t="s">
        <v>24</v>
      </c>
      <c r="D3" s="5" t="s">
        <v>58</v>
      </c>
      <c r="E3" s="5" t="s">
        <v>23</v>
      </c>
      <c r="H3" s="4" t="s">
        <v>14</v>
      </c>
      <c r="I3" s="4">
        <f t="shared" ref="I3:I16" si="0">+COUNTIF($AC$4:$AE$49,H3)</f>
        <v>10</v>
      </c>
      <c r="L3" s="4" t="s">
        <v>25</v>
      </c>
      <c r="M3" s="4">
        <v>13</v>
      </c>
      <c r="AB3" s="22" t="s">
        <v>63</v>
      </c>
      <c r="AC3" s="22" t="s">
        <v>92</v>
      </c>
      <c r="AD3" s="22" t="s">
        <v>91</v>
      </c>
      <c r="AE3" s="22" t="s">
        <v>90</v>
      </c>
      <c r="AF3" s="22" t="s">
        <v>89</v>
      </c>
      <c r="AG3" s="22" t="s">
        <v>88</v>
      </c>
      <c r="AH3" s="22" t="s">
        <v>87</v>
      </c>
    </row>
    <row r="4" spans="2:34">
      <c r="B4" s="4" t="s">
        <v>24</v>
      </c>
      <c r="C4" s="4">
        <v>595</v>
      </c>
      <c r="D4" s="4">
        <v>71</v>
      </c>
      <c r="E4" s="4">
        <v>666</v>
      </c>
      <c r="H4" s="4" t="s">
        <v>25</v>
      </c>
      <c r="I4" s="4">
        <f t="shared" si="0"/>
        <v>5</v>
      </c>
      <c r="L4" s="4" t="s">
        <v>14</v>
      </c>
      <c r="M4" s="4">
        <v>11</v>
      </c>
    </row>
    <row r="5" spans="2:34">
      <c r="B5" s="4" t="s">
        <v>58</v>
      </c>
      <c r="C5" s="4">
        <v>71</v>
      </c>
      <c r="D5" s="4">
        <v>3</v>
      </c>
      <c r="E5" s="4">
        <v>74</v>
      </c>
      <c r="H5" s="4" t="s">
        <v>45</v>
      </c>
      <c r="I5" s="4">
        <f t="shared" si="0"/>
        <v>5</v>
      </c>
      <c r="L5" s="4" t="s">
        <v>45</v>
      </c>
      <c r="M5" s="4">
        <v>8</v>
      </c>
      <c r="AB5" s="4" t="s">
        <v>57</v>
      </c>
    </row>
    <row r="6" spans="2:34" ht="15" thickBot="1">
      <c r="B6" s="6" t="s">
        <v>23</v>
      </c>
      <c r="C6" s="6">
        <v>666</v>
      </c>
      <c r="D6" s="6">
        <v>74</v>
      </c>
      <c r="E6" s="6">
        <v>740</v>
      </c>
      <c r="H6" s="4" t="s">
        <v>6</v>
      </c>
      <c r="I6" s="4">
        <f t="shared" si="0"/>
        <v>4</v>
      </c>
      <c r="L6" s="4" t="s">
        <v>6</v>
      </c>
      <c r="M6" s="4">
        <v>6</v>
      </c>
      <c r="AB6" s="4" t="s">
        <v>56</v>
      </c>
      <c r="AF6" s="4" t="s">
        <v>45</v>
      </c>
      <c r="AG6" s="4" t="s">
        <v>25</v>
      </c>
      <c r="AH6" s="4" t="s">
        <v>0</v>
      </c>
    </row>
    <row r="7" spans="2:34" ht="15" thickTop="1">
      <c r="H7" s="4" t="s">
        <v>15</v>
      </c>
      <c r="I7" s="4">
        <f t="shared" si="0"/>
        <v>4</v>
      </c>
      <c r="L7" s="4" t="s">
        <v>27</v>
      </c>
      <c r="M7" s="4">
        <v>6</v>
      </c>
      <c r="AB7" s="4" t="s">
        <v>22</v>
      </c>
      <c r="AC7" s="4" t="s">
        <v>14</v>
      </c>
      <c r="AD7" s="4" t="s">
        <v>6</v>
      </c>
      <c r="AE7" s="4" t="s">
        <v>25</v>
      </c>
    </row>
    <row r="8" spans="2:34" ht="15" thickBot="1">
      <c r="B8" s="231" t="s">
        <v>97</v>
      </c>
      <c r="C8" s="231"/>
      <c r="D8" s="231"/>
      <c r="E8" s="231"/>
      <c r="H8" s="4" t="s">
        <v>0</v>
      </c>
      <c r="I8" s="4">
        <f t="shared" si="0"/>
        <v>2</v>
      </c>
      <c r="L8" s="4" t="s">
        <v>15</v>
      </c>
      <c r="M8" s="4">
        <v>3</v>
      </c>
      <c r="AB8" s="4" t="s">
        <v>84</v>
      </c>
      <c r="AC8" s="4" t="s">
        <v>14</v>
      </c>
      <c r="AD8" s="4" t="s">
        <v>6</v>
      </c>
      <c r="AE8" s="4" t="s">
        <v>25</v>
      </c>
      <c r="AF8" s="4" t="s">
        <v>25</v>
      </c>
      <c r="AG8" s="4" t="s">
        <v>15</v>
      </c>
      <c r="AH8" s="4" t="s">
        <v>6</v>
      </c>
    </row>
    <row r="9" spans="2:34" ht="15" thickTop="1">
      <c r="B9" s="5"/>
      <c r="C9" s="5" t="s">
        <v>96</v>
      </c>
      <c r="D9" s="5" t="s">
        <v>95</v>
      </c>
      <c r="E9" s="5" t="s">
        <v>23</v>
      </c>
      <c r="H9" s="4" t="s">
        <v>18</v>
      </c>
      <c r="I9" s="4">
        <f t="shared" si="0"/>
        <v>2</v>
      </c>
      <c r="L9" s="4" t="s">
        <v>77</v>
      </c>
      <c r="M9" s="4">
        <v>3</v>
      </c>
      <c r="AB9" s="4" t="s">
        <v>55</v>
      </c>
      <c r="AF9" s="4" t="s">
        <v>25</v>
      </c>
      <c r="AG9" s="4" t="s">
        <v>77</v>
      </c>
      <c r="AH9" s="4" t="s">
        <v>27</v>
      </c>
    </row>
    <row r="10" spans="2:34" ht="15" thickBot="1">
      <c r="B10" s="6" t="s">
        <v>24</v>
      </c>
      <c r="C10" s="150">
        <f>+C6/$E$6</f>
        <v>0.9</v>
      </c>
      <c r="D10" s="150">
        <f>+D6/$E$6</f>
        <v>0.1</v>
      </c>
      <c r="E10" s="150">
        <f>SUM(C10:D10)</f>
        <v>1</v>
      </c>
      <c r="H10" s="4" t="s">
        <v>1</v>
      </c>
      <c r="I10" s="4">
        <f t="shared" si="0"/>
        <v>2</v>
      </c>
      <c r="L10" s="4" t="s">
        <v>61</v>
      </c>
      <c r="M10" s="4">
        <v>3</v>
      </c>
      <c r="AB10" s="4" t="s">
        <v>54</v>
      </c>
    </row>
    <row r="11" spans="2:34" ht="15" thickTop="1">
      <c r="H11" s="4" t="s">
        <v>11</v>
      </c>
      <c r="I11" s="4">
        <f t="shared" si="0"/>
        <v>2</v>
      </c>
      <c r="L11" s="4" t="s">
        <v>56</v>
      </c>
      <c r="M11" s="4">
        <v>2</v>
      </c>
      <c r="AB11" s="4" t="s">
        <v>52</v>
      </c>
    </row>
    <row r="12" spans="2:34">
      <c r="H12" s="4" t="s">
        <v>56</v>
      </c>
      <c r="I12" s="4">
        <f t="shared" si="0"/>
        <v>1</v>
      </c>
      <c r="L12" s="4" t="s">
        <v>22</v>
      </c>
      <c r="M12" s="4">
        <v>2</v>
      </c>
      <c r="AB12" s="4" t="s">
        <v>51</v>
      </c>
      <c r="AF12" s="4" t="s">
        <v>25</v>
      </c>
      <c r="AG12" s="4" t="s">
        <v>45</v>
      </c>
      <c r="AH12" s="4" t="s">
        <v>77</v>
      </c>
    </row>
    <row r="13" spans="2:34" ht="15.75" customHeight="1">
      <c r="B13" s="230"/>
      <c r="C13" s="230"/>
      <c r="D13" s="230"/>
      <c r="E13" s="230"/>
      <c r="F13" s="230"/>
      <c r="H13" s="4" t="s">
        <v>22</v>
      </c>
      <c r="I13" s="4">
        <f t="shared" si="0"/>
        <v>1</v>
      </c>
      <c r="L13" s="4" t="s">
        <v>40</v>
      </c>
      <c r="M13" s="4">
        <v>2</v>
      </c>
      <c r="AB13" s="4" t="s">
        <v>50</v>
      </c>
      <c r="AF13" s="4" t="s">
        <v>53</v>
      </c>
      <c r="AG13" s="4" t="s">
        <v>26</v>
      </c>
      <c r="AH13" s="4" t="s">
        <v>39</v>
      </c>
    </row>
    <row r="14" spans="2:34">
      <c r="B14" s="230"/>
      <c r="C14" s="230"/>
      <c r="D14" s="230"/>
      <c r="E14" s="230"/>
      <c r="F14" s="230"/>
      <c r="H14" s="4" t="s">
        <v>40</v>
      </c>
      <c r="I14" s="4">
        <f t="shared" si="0"/>
        <v>1</v>
      </c>
      <c r="L14" s="4" t="s">
        <v>51</v>
      </c>
      <c r="M14" s="4">
        <v>2</v>
      </c>
      <c r="AB14" s="4" t="s">
        <v>19</v>
      </c>
    </row>
    <row r="15" spans="2:34">
      <c r="B15" s="230"/>
      <c r="C15" s="230"/>
      <c r="D15" s="230"/>
      <c r="E15" s="230"/>
      <c r="F15" s="230"/>
      <c r="H15" s="4" t="s">
        <v>54</v>
      </c>
      <c r="I15" s="4">
        <f t="shared" si="0"/>
        <v>1</v>
      </c>
      <c r="L15" s="4" t="s">
        <v>26</v>
      </c>
      <c r="M15" s="4">
        <v>2</v>
      </c>
      <c r="AB15" s="4" t="s">
        <v>18</v>
      </c>
      <c r="AC15" s="4" t="s">
        <v>14</v>
      </c>
      <c r="AD15" s="4" t="s">
        <v>0</v>
      </c>
      <c r="AE15" s="4" t="s">
        <v>1</v>
      </c>
      <c r="AF15" s="4" t="s">
        <v>40</v>
      </c>
      <c r="AG15" s="4" t="s">
        <v>1</v>
      </c>
      <c r="AH15" s="4" t="s">
        <v>14</v>
      </c>
    </row>
    <row r="16" spans="2:34" ht="15" thickBot="1">
      <c r="H16" s="6" t="s">
        <v>2</v>
      </c>
      <c r="I16" s="6">
        <f t="shared" si="0"/>
        <v>1</v>
      </c>
      <c r="L16" s="4" t="s">
        <v>53</v>
      </c>
      <c r="M16" s="4">
        <v>2</v>
      </c>
      <c r="AB16" s="4" t="s">
        <v>49</v>
      </c>
    </row>
    <row r="17" spans="2:34" ht="15" thickTop="1">
      <c r="L17" s="4" t="s">
        <v>18</v>
      </c>
      <c r="M17" s="4">
        <v>1</v>
      </c>
      <c r="AB17" s="4" t="s">
        <v>17</v>
      </c>
      <c r="AF17" s="4" t="s">
        <v>16</v>
      </c>
      <c r="AG17" s="4" t="s">
        <v>6</v>
      </c>
      <c r="AH17" s="4" t="s">
        <v>40</v>
      </c>
    </row>
    <row r="18" spans="2:34">
      <c r="L18" s="4" t="s">
        <v>54</v>
      </c>
      <c r="M18" s="4">
        <v>1</v>
      </c>
      <c r="AB18" s="4" t="s">
        <v>16</v>
      </c>
      <c r="AF18" s="4" t="s">
        <v>83</v>
      </c>
      <c r="AG18" s="4" t="s">
        <v>14</v>
      </c>
    </row>
    <row r="19" spans="2:34">
      <c r="L19" s="4" t="s">
        <v>19</v>
      </c>
      <c r="M19" s="4">
        <v>1</v>
      </c>
      <c r="AB19" s="4" t="s">
        <v>15</v>
      </c>
      <c r="AC19" s="4" t="s">
        <v>14</v>
      </c>
      <c r="AD19" s="4" t="s">
        <v>11</v>
      </c>
      <c r="AE19" s="4" t="s">
        <v>2</v>
      </c>
    </row>
    <row r="20" spans="2:34" ht="15.75" customHeight="1">
      <c r="L20" s="4" t="s">
        <v>36</v>
      </c>
      <c r="M20" s="4">
        <v>1</v>
      </c>
      <c r="AB20" s="4" t="s">
        <v>14</v>
      </c>
      <c r="AC20" s="4" t="s">
        <v>25</v>
      </c>
      <c r="AD20" s="4" t="s">
        <v>45</v>
      </c>
      <c r="AE20" s="4" t="s">
        <v>15</v>
      </c>
      <c r="AF20" s="4" t="s">
        <v>51</v>
      </c>
      <c r="AG20" s="4" t="s">
        <v>82</v>
      </c>
      <c r="AH20" s="4" t="s">
        <v>26</v>
      </c>
    </row>
    <row r="21" spans="2:34">
      <c r="L21" s="4" t="s">
        <v>16</v>
      </c>
      <c r="M21" s="4">
        <v>1</v>
      </c>
      <c r="AB21" s="4" t="s">
        <v>13</v>
      </c>
      <c r="AC21" s="4" t="s">
        <v>14</v>
      </c>
      <c r="AD21" s="4" t="s">
        <v>22</v>
      </c>
      <c r="AF21" s="4" t="s">
        <v>14</v>
      </c>
      <c r="AG21" s="4" t="s">
        <v>22</v>
      </c>
      <c r="AH21" s="4" t="s">
        <v>5</v>
      </c>
    </row>
    <row r="22" spans="2:34">
      <c r="L22" s="4" t="s">
        <v>5</v>
      </c>
      <c r="M22" s="4">
        <v>1</v>
      </c>
      <c r="AB22" s="4" t="s">
        <v>48</v>
      </c>
    </row>
    <row r="23" spans="2:34">
      <c r="B23" s="8"/>
      <c r="C23" s="8"/>
      <c r="D23" s="8"/>
      <c r="E23" s="8"/>
      <c r="L23" s="4" t="s">
        <v>380</v>
      </c>
      <c r="M23" s="4">
        <v>1</v>
      </c>
      <c r="AB23" s="4" t="s">
        <v>47</v>
      </c>
    </row>
    <row r="24" spans="2:34" ht="15.75" customHeight="1">
      <c r="L24" s="4" t="s">
        <v>82</v>
      </c>
      <c r="M24" s="4">
        <v>1</v>
      </c>
      <c r="AB24" s="4" t="s">
        <v>46</v>
      </c>
    </row>
    <row r="25" spans="2:34" ht="27" customHeight="1">
      <c r="L25" s="4" t="s">
        <v>39</v>
      </c>
      <c r="M25" s="4">
        <v>1</v>
      </c>
      <c r="AB25" s="4" t="s">
        <v>11</v>
      </c>
      <c r="AC25" s="4" t="s">
        <v>15</v>
      </c>
      <c r="AD25" s="4" t="s">
        <v>14</v>
      </c>
      <c r="AE25" s="4" t="s">
        <v>0</v>
      </c>
      <c r="AF25" s="4" t="s">
        <v>14</v>
      </c>
      <c r="AG25" s="4" t="s">
        <v>15</v>
      </c>
      <c r="AH25" s="4" t="s">
        <v>6</v>
      </c>
    </row>
    <row r="26" spans="2:34">
      <c r="L26" s="4" t="s">
        <v>1</v>
      </c>
      <c r="M26" s="4">
        <v>1</v>
      </c>
      <c r="AB26" s="4" t="s">
        <v>45</v>
      </c>
    </row>
    <row r="27" spans="2:34">
      <c r="L27" s="4" t="s">
        <v>11</v>
      </c>
      <c r="M27" s="4">
        <v>0</v>
      </c>
      <c r="AB27" s="4" t="s">
        <v>44</v>
      </c>
      <c r="AF27" s="4" t="s">
        <v>62</v>
      </c>
      <c r="AG27" s="4" t="s">
        <v>53</v>
      </c>
      <c r="AH27" s="4" t="s">
        <v>27</v>
      </c>
    </row>
    <row r="28" spans="2:34">
      <c r="H28" s="230"/>
      <c r="I28" s="230"/>
      <c r="J28" s="230"/>
      <c r="K28" s="230"/>
      <c r="L28" s="230"/>
      <c r="M28" s="230"/>
      <c r="N28" s="230"/>
      <c r="AB28" s="4" t="s">
        <v>77</v>
      </c>
      <c r="AF28" s="4" t="s">
        <v>45</v>
      </c>
      <c r="AG28" s="4" t="s">
        <v>25</v>
      </c>
      <c r="AH28" s="4" t="s">
        <v>51</v>
      </c>
    </row>
    <row r="29" spans="2:34">
      <c r="H29" s="230"/>
      <c r="I29" s="230"/>
      <c r="J29" s="230"/>
      <c r="K29" s="230"/>
      <c r="L29" s="230"/>
      <c r="M29" s="230"/>
      <c r="N29" s="230"/>
      <c r="AB29" s="4" t="s">
        <v>10</v>
      </c>
    </row>
    <row r="30" spans="2:34">
      <c r="AB30" s="4" t="s">
        <v>9</v>
      </c>
    </row>
    <row r="31" spans="2:34">
      <c r="AB31" s="4" t="s">
        <v>43</v>
      </c>
      <c r="AC31" s="4" t="s">
        <v>45</v>
      </c>
      <c r="AF31" s="4" t="s">
        <v>45</v>
      </c>
      <c r="AG31" s="4" t="s">
        <v>25</v>
      </c>
      <c r="AH31" s="4" t="s">
        <v>56</v>
      </c>
    </row>
    <row r="32" spans="2:34">
      <c r="AB32" s="4" t="s">
        <v>42</v>
      </c>
      <c r="AF32" s="4" t="s">
        <v>25</v>
      </c>
      <c r="AG32" s="4" t="s">
        <v>27</v>
      </c>
      <c r="AH32" s="4" t="s">
        <v>14</v>
      </c>
    </row>
    <row r="33" spans="28:34">
      <c r="AB33" s="4" t="s">
        <v>6</v>
      </c>
      <c r="AF33" s="4" t="s">
        <v>14</v>
      </c>
      <c r="AG33" s="4" t="s">
        <v>15</v>
      </c>
      <c r="AH33" s="4" t="s">
        <v>25</v>
      </c>
    </row>
    <row r="34" spans="28:34">
      <c r="AB34" s="4" t="s">
        <v>41</v>
      </c>
      <c r="AC34" s="4" t="s">
        <v>56</v>
      </c>
      <c r="AD34" s="4" t="s">
        <v>54</v>
      </c>
      <c r="AF34" s="4" t="s">
        <v>56</v>
      </c>
      <c r="AG34" s="4" t="s">
        <v>25</v>
      </c>
      <c r="AH34" s="4" t="s">
        <v>0</v>
      </c>
    </row>
    <row r="35" spans="28:34">
      <c r="AB35" s="4" t="s">
        <v>40</v>
      </c>
      <c r="AC35" s="4" t="s">
        <v>6</v>
      </c>
      <c r="AD35" s="4" t="s">
        <v>18</v>
      </c>
      <c r="AE35" s="4" t="s">
        <v>1</v>
      </c>
      <c r="AF35" s="4" t="s">
        <v>18</v>
      </c>
      <c r="AG35" s="4" t="s">
        <v>14</v>
      </c>
      <c r="AH35" s="4" t="s">
        <v>6</v>
      </c>
    </row>
    <row r="36" spans="28:34">
      <c r="AB36" s="4" t="s">
        <v>38</v>
      </c>
    </row>
    <row r="37" spans="28:34">
      <c r="AB37" s="4" t="s">
        <v>81</v>
      </c>
    </row>
    <row r="38" spans="28:34">
      <c r="AB38" s="4" t="s">
        <v>5</v>
      </c>
      <c r="AC38" s="4" t="s">
        <v>14</v>
      </c>
      <c r="AD38" s="4" t="s">
        <v>15</v>
      </c>
      <c r="AE38" s="4" t="s">
        <v>61</v>
      </c>
    </row>
    <row r="39" spans="28:34">
      <c r="AB39" s="4" t="s">
        <v>80</v>
      </c>
      <c r="AC39" s="4" t="s">
        <v>79</v>
      </c>
      <c r="AF39" s="4" t="s">
        <v>27</v>
      </c>
      <c r="AG39" s="4" t="s">
        <v>6</v>
      </c>
      <c r="AH39" s="4" t="s">
        <v>14</v>
      </c>
    </row>
    <row r="40" spans="28:34">
      <c r="AB40" s="4" t="s">
        <v>4</v>
      </c>
    </row>
    <row r="41" spans="28:34">
      <c r="AB41" s="4" t="s">
        <v>37</v>
      </c>
    </row>
    <row r="42" spans="28:34">
      <c r="AB42" s="4" t="s">
        <v>26</v>
      </c>
      <c r="AC42" s="4" t="s">
        <v>45</v>
      </c>
      <c r="AF42" s="4" t="s">
        <v>78</v>
      </c>
      <c r="AG42" s="4" t="s">
        <v>25</v>
      </c>
      <c r="AH42" s="4" t="s">
        <v>45</v>
      </c>
    </row>
    <row r="43" spans="28:34">
      <c r="AB43" s="4" t="s">
        <v>3</v>
      </c>
      <c r="AC43" s="4" t="s">
        <v>11</v>
      </c>
      <c r="AF43" s="4" t="s">
        <v>14</v>
      </c>
      <c r="AG43" s="4" t="s">
        <v>22</v>
      </c>
      <c r="AH43" s="4" t="s">
        <v>19</v>
      </c>
    </row>
    <row r="44" spans="28:34">
      <c r="AB44" s="4" t="s">
        <v>2</v>
      </c>
      <c r="AC44" s="4" t="s">
        <v>15</v>
      </c>
      <c r="AD44" s="4" t="s">
        <v>14</v>
      </c>
      <c r="AE44" s="4" t="s">
        <v>25</v>
      </c>
      <c r="AF44" s="4" t="s">
        <v>25</v>
      </c>
      <c r="AG44" s="4" t="s">
        <v>14</v>
      </c>
      <c r="AH44" s="4" t="s">
        <v>27</v>
      </c>
    </row>
    <row r="45" spans="28:34">
      <c r="AB45" s="4" t="s">
        <v>1</v>
      </c>
      <c r="AC45" s="4" t="s">
        <v>40</v>
      </c>
      <c r="AD45" s="4" t="s">
        <v>18</v>
      </c>
      <c r="AE45" s="4" t="s">
        <v>14</v>
      </c>
    </row>
    <row r="46" spans="28:34">
      <c r="AB46" s="4" t="s">
        <v>27</v>
      </c>
      <c r="AC46" s="4" t="s">
        <v>14</v>
      </c>
      <c r="AD46" s="4" t="s">
        <v>45</v>
      </c>
      <c r="AE46" s="4" t="s">
        <v>25</v>
      </c>
      <c r="AF46" s="4" t="s">
        <v>25</v>
      </c>
      <c r="AG46" s="4" t="s">
        <v>45</v>
      </c>
      <c r="AH46" s="4" t="s">
        <v>14</v>
      </c>
    </row>
    <row r="47" spans="28:34">
      <c r="AB47" s="4" t="s">
        <v>36</v>
      </c>
      <c r="AC47" s="4" t="s">
        <v>6</v>
      </c>
    </row>
    <row r="48" spans="28:34">
      <c r="AB48" s="4" t="s">
        <v>35</v>
      </c>
      <c r="AC48" s="4" t="s">
        <v>45</v>
      </c>
    </row>
    <row r="49" spans="28:34">
      <c r="AB49" s="4" t="s">
        <v>34</v>
      </c>
    </row>
    <row r="50" spans="28:34">
      <c r="AB50" s="4" t="s">
        <v>0</v>
      </c>
    </row>
    <row r="51" spans="28:34">
      <c r="AB51" s="4" t="s">
        <v>25</v>
      </c>
      <c r="AF51" s="4" t="s">
        <v>45</v>
      </c>
      <c r="AG51" s="4" t="s">
        <v>54</v>
      </c>
      <c r="AH51" s="4" t="s">
        <v>0</v>
      </c>
    </row>
    <row r="52" spans="28:34">
      <c r="AB52" s="4" t="s">
        <v>33</v>
      </c>
    </row>
    <row r="53" spans="28:34">
      <c r="AB53" s="4" t="s">
        <v>32</v>
      </c>
      <c r="AF53" s="4" t="s">
        <v>25</v>
      </c>
      <c r="AG53" s="4" t="s">
        <v>6</v>
      </c>
      <c r="AH53" s="4" t="s">
        <v>27</v>
      </c>
    </row>
    <row r="54" spans="28:34" ht="15" thickBot="1">
      <c r="AB54" s="6" t="s">
        <v>31</v>
      </c>
      <c r="AC54" s="6"/>
      <c r="AD54" s="6"/>
      <c r="AE54" s="6"/>
      <c r="AF54" s="6" t="s">
        <v>45</v>
      </c>
      <c r="AG54" s="6" t="s">
        <v>77</v>
      </c>
      <c r="AH54" s="6" t="s">
        <v>36</v>
      </c>
    </row>
    <row r="55" spans="28:34" ht="15" thickTop="1"/>
  </sheetData>
  <mergeCells count="8">
    <mergeCell ref="AC2:AE2"/>
    <mergeCell ref="AF2:AH2"/>
    <mergeCell ref="H28:N29"/>
    <mergeCell ref="B2:E2"/>
    <mergeCell ref="B8:E8"/>
    <mergeCell ref="H2:I2"/>
    <mergeCell ref="L2:M2"/>
    <mergeCell ref="B13:F15"/>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J33"/>
  <sheetViews>
    <sheetView workbookViewId="0">
      <selection activeCell="B2" sqref="B2:D11"/>
    </sheetView>
  </sheetViews>
  <sheetFormatPr baseColWidth="10" defaultColWidth="11" defaultRowHeight="15" x14ac:dyDescent="0"/>
  <cols>
    <col min="1" max="1" width="11.33203125" customWidth="1"/>
    <col min="2" max="2" width="50.6640625" customWidth="1"/>
    <col min="3" max="4" width="18.5" customWidth="1"/>
  </cols>
  <sheetData>
    <row r="1" spans="2:10" ht="16" thickBot="1"/>
    <row r="2" spans="2:10" s="73" customFormat="1" ht="65" customHeight="1" thickTop="1">
      <c r="B2" s="74"/>
      <c r="C2" s="75" t="s">
        <v>175</v>
      </c>
      <c r="D2" s="75" t="s">
        <v>178</v>
      </c>
    </row>
    <row r="3" spans="2:10" ht="28" customHeight="1">
      <c r="B3" s="76" t="s">
        <v>181</v>
      </c>
      <c r="C3" s="77">
        <v>75038.206240594474</v>
      </c>
      <c r="D3" s="78"/>
    </row>
    <row r="4" spans="2:10" ht="28" customHeight="1">
      <c r="B4" s="79" t="s">
        <v>173</v>
      </c>
      <c r="C4" s="80">
        <f>C3-C5</f>
        <v>11940.064507492207</v>
      </c>
      <c r="D4" s="81"/>
    </row>
    <row r="5" spans="2:10" ht="28" customHeight="1">
      <c r="B5" s="79" t="s">
        <v>163</v>
      </c>
      <c r="C5" s="80">
        <v>63098.141733102268</v>
      </c>
      <c r="D5" s="81"/>
    </row>
    <row r="6" spans="2:10" ht="28" customHeight="1">
      <c r="B6" s="79" t="s">
        <v>165</v>
      </c>
      <c r="C6" s="80">
        <v>34083.390265509159</v>
      </c>
      <c r="D6" s="81">
        <f>C6/C$7</f>
        <v>2.9598385675351149</v>
      </c>
    </row>
    <row r="7" spans="2:10" ht="28" customHeight="1">
      <c r="B7" s="79" t="s">
        <v>174</v>
      </c>
      <c r="C7" s="80">
        <v>11515.286894140656</v>
      </c>
      <c r="D7" s="81">
        <f t="shared" ref="D7:D11" si="0">C7/C$7</f>
        <v>1</v>
      </c>
    </row>
    <row r="8" spans="2:10" ht="28" customHeight="1">
      <c r="B8" s="82" t="s">
        <v>180</v>
      </c>
      <c r="C8" s="80">
        <v>1703.2290592571803</v>
      </c>
      <c r="D8" s="81">
        <f t="shared" si="0"/>
        <v>0.1479102583300671</v>
      </c>
    </row>
    <row r="9" spans="2:10" ht="28" customHeight="1">
      <c r="B9" s="82" t="s">
        <v>179</v>
      </c>
      <c r="C9" s="80">
        <v>616.46162984891726</v>
      </c>
      <c r="D9" s="81">
        <f t="shared" si="0"/>
        <v>5.353419637009587E-2</v>
      </c>
      <c r="F9" s="1"/>
      <c r="G9" s="1"/>
    </row>
    <row r="10" spans="2:10" ht="28" customHeight="1">
      <c r="B10" s="82" t="s">
        <v>176</v>
      </c>
      <c r="C10" s="80">
        <f>C7-C8</f>
        <v>9812.0578348834752</v>
      </c>
      <c r="D10" s="81">
        <f t="shared" si="0"/>
        <v>0.8520897416699329</v>
      </c>
    </row>
    <row r="11" spans="2:10" ht="28" customHeight="1" thickBot="1">
      <c r="B11" s="83" t="s">
        <v>177</v>
      </c>
      <c r="C11" s="84">
        <v>2153.7160158938877</v>
      </c>
      <c r="D11" s="85">
        <f t="shared" si="0"/>
        <v>0.18703103411081898</v>
      </c>
    </row>
    <row r="12" spans="2:10" ht="28" customHeight="1" thickTop="1">
      <c r="B12" s="79"/>
      <c r="C12" s="80"/>
      <c r="D12" s="81"/>
    </row>
    <row r="13" spans="2:10" ht="28" customHeight="1">
      <c r="B13" s="79"/>
      <c r="C13" s="80"/>
      <c r="D13" s="81"/>
    </row>
    <row r="14" spans="2:10" ht="28" customHeight="1">
      <c r="B14" s="79"/>
      <c r="C14" s="80"/>
      <c r="D14" s="81"/>
    </row>
    <row r="15" spans="2:10" ht="28" customHeight="1">
      <c r="B15" s="79" t="s">
        <v>361</v>
      </c>
      <c r="C15" s="80"/>
      <c r="D15" s="81"/>
    </row>
    <row r="16" spans="2:10" s="3" customFormat="1" ht="60">
      <c r="C16" s="70" t="s">
        <v>171</v>
      </c>
      <c r="D16" s="70" t="s">
        <v>172</v>
      </c>
      <c r="E16" s="70" t="s">
        <v>164</v>
      </c>
      <c r="F16" s="70" t="s">
        <v>167</v>
      </c>
      <c r="G16" s="70" t="s">
        <v>169</v>
      </c>
      <c r="H16" s="70" t="s">
        <v>168</v>
      </c>
      <c r="I16" s="3" t="s">
        <v>166</v>
      </c>
      <c r="J16" s="3" t="s">
        <v>100</v>
      </c>
    </row>
    <row r="17" spans="2:10">
      <c r="B17" t="s">
        <v>25</v>
      </c>
      <c r="C17" s="21">
        <v>15398.936451943649</v>
      </c>
      <c r="D17" s="21">
        <f t="shared" ref="D17:D22" si="1">I17-J17</f>
        <v>8318.6393519436497</v>
      </c>
      <c r="E17" s="21">
        <v>2031.4420605290684</v>
      </c>
      <c r="F17" s="68">
        <v>249.73599781264693</v>
      </c>
      <c r="G17" s="21">
        <f>E17-F17</f>
        <v>1781.7060627164215</v>
      </c>
      <c r="H17" s="21">
        <v>142.04516052906811</v>
      </c>
      <c r="I17" s="21">
        <v>9869.53205194365</v>
      </c>
      <c r="J17" s="21">
        <v>1550.8926999999999</v>
      </c>
    </row>
    <row r="18" spans="2:10">
      <c r="B18" t="s">
        <v>103</v>
      </c>
      <c r="C18" s="21">
        <v>12257.485601155637</v>
      </c>
      <c r="D18" s="21">
        <f t="shared" si="1"/>
        <v>6802.6379852654063</v>
      </c>
      <c r="E18" s="21">
        <v>2158.0474091993692</v>
      </c>
      <c r="F18" s="68">
        <v>607.52016841741943</v>
      </c>
      <c r="G18" s="21">
        <f t="shared" ref="G18:G22" si="2">E18-F18</f>
        <v>1550.5272407819498</v>
      </c>
      <c r="H18" s="21">
        <v>216.63507582872325</v>
      </c>
      <c r="I18" s="21">
        <v>8226.6947133827471</v>
      </c>
      <c r="J18" s="21">
        <v>1424.0567281173403</v>
      </c>
    </row>
    <row r="19" spans="2:10">
      <c r="B19" t="s">
        <v>161</v>
      </c>
      <c r="C19" s="21">
        <v>9527.7626282235287</v>
      </c>
      <c r="D19" s="21">
        <f t="shared" si="1"/>
        <v>5721.3973470355113</v>
      </c>
      <c r="E19" s="21">
        <v>2072.9128409495456</v>
      </c>
      <c r="F19" s="68">
        <v>289.04964278964076</v>
      </c>
      <c r="G19" s="21">
        <f t="shared" si="2"/>
        <v>1783.8631981599049</v>
      </c>
      <c r="H19" s="21">
        <v>89.994739295684482</v>
      </c>
      <c r="I19" s="21">
        <v>7117.7517962163947</v>
      </c>
      <c r="J19" s="21">
        <v>1396.3544491808834</v>
      </c>
    </row>
    <row r="20" spans="2:10">
      <c r="B20" t="s">
        <v>73</v>
      </c>
      <c r="C20" s="21">
        <v>23498.127476268535</v>
      </c>
      <c r="D20" s="21">
        <f t="shared" si="1"/>
        <v>11694.054860020353</v>
      </c>
      <c r="E20" s="21">
        <v>4748.034301113461</v>
      </c>
      <c r="F20" s="68">
        <v>492.63997484684938</v>
      </c>
      <c r="G20" s="21">
        <f t="shared" si="2"/>
        <v>4255.3943262666116</v>
      </c>
      <c r="H20" s="21">
        <v>167.78665419544132</v>
      </c>
      <c r="I20" s="21">
        <v>13859.093677075747</v>
      </c>
      <c r="J20" s="21">
        <v>2165.0388170553942</v>
      </c>
    </row>
    <row r="21" spans="2:10">
      <c r="B21" t="s">
        <v>76</v>
      </c>
      <c r="C21" s="21">
        <v>2415.8295755109066</v>
      </c>
      <c r="D21" s="21">
        <f t="shared" si="1"/>
        <v>1546.6607212442391</v>
      </c>
      <c r="E21" s="21">
        <v>504.85028234921282</v>
      </c>
      <c r="F21" s="21">
        <f>F22-F20-F19-F18-F17</f>
        <v>64.283275390623885</v>
      </c>
      <c r="G21" s="21">
        <f>E21-F21</f>
        <v>440.56700695858893</v>
      </c>
      <c r="H21" s="69">
        <v>-616.46162984891726</v>
      </c>
      <c r="I21" s="21">
        <v>1939.2389856109451</v>
      </c>
      <c r="J21" s="21">
        <v>392.57826436670609</v>
      </c>
    </row>
    <row r="22" spans="2:10">
      <c r="B22" s="71" t="s">
        <v>162</v>
      </c>
      <c r="C22" s="72">
        <v>63098.141733102268</v>
      </c>
      <c r="D22" s="72">
        <f t="shared" si="1"/>
        <v>34083.390265509159</v>
      </c>
      <c r="E22" s="72">
        <v>11515.286894140656</v>
      </c>
      <c r="F22" s="72">
        <v>1703.2290592571803</v>
      </c>
      <c r="G22" s="72">
        <f t="shared" si="2"/>
        <v>9812.0578348834752</v>
      </c>
      <c r="H22" s="72">
        <f>H20+H19+H18+H17</f>
        <v>616.46162984891714</v>
      </c>
      <c r="I22" s="72">
        <v>41012.311224229481</v>
      </c>
      <c r="J22" s="72">
        <v>6928.9209587203241</v>
      </c>
    </row>
    <row r="23" spans="2:10" s="3" customFormat="1" ht="60">
      <c r="C23" s="70" t="s">
        <v>171</v>
      </c>
      <c r="D23" s="70" t="s">
        <v>172</v>
      </c>
      <c r="E23" s="70" t="s">
        <v>164</v>
      </c>
      <c r="F23" s="70" t="s">
        <v>167</v>
      </c>
      <c r="G23" s="70" t="s">
        <v>169</v>
      </c>
      <c r="H23" s="70" t="s">
        <v>168</v>
      </c>
    </row>
    <row r="24" spans="2:10">
      <c r="B24" t="s">
        <v>25</v>
      </c>
      <c r="C24" s="1">
        <f>C17/C$22</f>
        <v>0.24404738442344853</v>
      </c>
      <c r="D24" s="1">
        <f t="shared" ref="C24:H27" si="3">D17/D$22</f>
        <v>0.24406725056226974</v>
      </c>
      <c r="E24" s="1">
        <f t="shared" si="3"/>
        <v>0.17641263124436185</v>
      </c>
      <c r="F24" s="1">
        <f t="shared" ref="F24:G28" si="4">F17/F$22</f>
        <v>0.14662502172289316</v>
      </c>
      <c r="G24" s="1">
        <f t="shared" si="4"/>
        <v>0.18158332255056264</v>
      </c>
      <c r="H24" s="1">
        <f t="shared" si="3"/>
        <v>0.23042011643754801</v>
      </c>
    </row>
    <row r="25" spans="2:10">
      <c r="B25" t="s">
        <v>103</v>
      </c>
      <c r="C25" s="1">
        <f t="shared" si="3"/>
        <v>0.19426064325322545</v>
      </c>
      <c r="D25" s="1">
        <f t="shared" si="3"/>
        <v>0.19958806715743202</v>
      </c>
      <c r="E25" s="1">
        <f t="shared" si="3"/>
        <v>0.18740717700202958</v>
      </c>
      <c r="F25" s="1">
        <f t="shared" si="4"/>
        <v>0.356687296471077</v>
      </c>
      <c r="G25" s="1">
        <f t="shared" si="4"/>
        <v>0.15802263570742225</v>
      </c>
      <c r="H25" s="1">
        <f t="shared" si="3"/>
        <v>0.35141696634357655</v>
      </c>
    </row>
    <row r="26" spans="2:10">
      <c r="B26" t="s">
        <v>161</v>
      </c>
      <c r="C26" s="1">
        <f t="shared" si="3"/>
        <v>0.15099910023538959</v>
      </c>
      <c r="D26" s="1">
        <f t="shared" si="3"/>
        <v>0.16786467843914299</v>
      </c>
      <c r="E26" s="1">
        <f t="shared" si="3"/>
        <v>0.18001399878315752</v>
      </c>
      <c r="F26" s="1">
        <f t="shared" si="4"/>
        <v>0.1697068525332126</v>
      </c>
      <c r="G26" s="1">
        <f t="shared" si="4"/>
        <v>0.18180316791631401</v>
      </c>
      <c r="H26" s="1">
        <f t="shared" si="3"/>
        <v>0.14598595425596961</v>
      </c>
    </row>
    <row r="27" spans="2:10">
      <c r="B27" t="s">
        <v>73</v>
      </c>
      <c r="C27" s="1">
        <f t="shared" si="3"/>
        <v>0.37240601435875648</v>
      </c>
      <c r="D27" s="1">
        <f t="shared" si="3"/>
        <v>0.3431012809736303</v>
      </c>
      <c r="E27" s="1">
        <f t="shared" si="3"/>
        <v>0.41232444703825938</v>
      </c>
      <c r="F27" s="1">
        <f t="shared" si="4"/>
        <v>0.28923882678569474</v>
      </c>
      <c r="G27" s="1">
        <f t="shared" si="4"/>
        <v>0.43369030206263021</v>
      </c>
      <c r="H27" s="1">
        <f t="shared" si="3"/>
        <v>0.27217696296290589</v>
      </c>
    </row>
    <row r="28" spans="2:10">
      <c r="B28" t="s">
        <v>76</v>
      </c>
      <c r="C28" s="1">
        <f>C21/C$22</f>
        <v>3.8286857729179759E-2</v>
      </c>
      <c r="D28" s="1">
        <f>D21/D$22</f>
        <v>4.5378722867524993E-2</v>
      </c>
      <c r="E28" s="1">
        <f>E21/E$22</f>
        <v>4.3841745932191818E-2</v>
      </c>
      <c r="F28" s="1">
        <f t="shared" si="4"/>
        <v>3.774200248712254E-2</v>
      </c>
      <c r="G28" s="1">
        <f t="shared" si="4"/>
        <v>4.4900571763071037E-2</v>
      </c>
      <c r="H28" s="1"/>
    </row>
    <row r="29" spans="2:10">
      <c r="B29" s="71" t="s">
        <v>162</v>
      </c>
      <c r="C29" s="72">
        <f t="shared" ref="C29:H29" si="5">C22</f>
        <v>63098.141733102268</v>
      </c>
      <c r="D29" s="72">
        <f t="shared" si="5"/>
        <v>34083.390265509159</v>
      </c>
      <c r="E29" s="72">
        <f t="shared" si="5"/>
        <v>11515.286894140656</v>
      </c>
      <c r="F29" s="72">
        <f>F22</f>
        <v>1703.2290592571803</v>
      </c>
      <c r="G29" s="72">
        <f t="shared" si="5"/>
        <v>9812.0578348834752</v>
      </c>
      <c r="H29" s="72">
        <f t="shared" si="5"/>
        <v>616.46162984891714</v>
      </c>
    </row>
    <row r="30" spans="2:10">
      <c r="I30" s="1"/>
    </row>
    <row r="32" spans="2:10">
      <c r="B32" t="s">
        <v>360</v>
      </c>
      <c r="E32" s="21"/>
    </row>
    <row r="33" spans="5:5">
      <c r="E33" s="21"/>
    </row>
  </sheetData>
  <phoneticPr fontId="101" type="noConversion"/>
  <pageMargins left="0.75" right="0.75" top="1" bottom="1" header="0.5" footer="0.5"/>
  <pageSetup scale="95"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H55"/>
  <sheetViews>
    <sheetView zoomScale="50" zoomScaleNormal="50" zoomScalePageLayoutView="50" workbookViewId="0">
      <pane xSplit="2" ySplit="2" topLeftCell="C3" activePane="bottomRight" state="frozen"/>
      <selection pane="topRight" activeCell="B1" sqref="B1"/>
      <selection pane="bottomLeft" activeCell="A2" sqref="A2"/>
      <selection pane="bottomRight" activeCell="B1" sqref="B1:H55"/>
    </sheetView>
  </sheetViews>
  <sheetFormatPr baseColWidth="10" defaultColWidth="10.83203125" defaultRowHeight="14" x14ac:dyDescent="0"/>
  <cols>
    <col min="1" max="1" width="10.83203125" style="4"/>
    <col min="2" max="2" width="47.83203125" style="4" customWidth="1"/>
    <col min="3" max="7" width="20.5" style="4" customWidth="1"/>
    <col min="8" max="8" width="23.5" style="4" customWidth="1"/>
    <col min="9" max="16384" width="10.83203125" style="4"/>
  </cols>
  <sheetData>
    <row r="1" spans="2:8" ht="15" thickBot="1"/>
    <row r="2" spans="2:8" s="174" customFormat="1" ht="153" customHeight="1" thickTop="1">
      <c r="B2" s="192"/>
      <c r="C2" s="193" t="s">
        <v>363</v>
      </c>
      <c r="D2" s="194" t="s">
        <v>369</v>
      </c>
      <c r="E2" s="194" t="s">
        <v>370</v>
      </c>
      <c r="F2" s="193" t="s">
        <v>182</v>
      </c>
      <c r="G2" s="192" t="s">
        <v>365</v>
      </c>
      <c r="H2" s="192" t="s">
        <v>373</v>
      </c>
    </row>
    <row r="3" spans="2:8" ht="40" customHeight="1">
      <c r="B3" s="195"/>
      <c r="C3" s="215" t="s">
        <v>367</v>
      </c>
      <c r="D3" s="215"/>
      <c r="E3" s="215"/>
      <c r="F3" s="215"/>
      <c r="G3" s="215"/>
      <c r="H3" s="215"/>
    </row>
    <row r="4" spans="2:8" ht="30">
      <c r="B4" s="196" t="s">
        <v>56</v>
      </c>
      <c r="C4" s="197">
        <v>178.84741076861815</v>
      </c>
      <c r="D4" s="198">
        <v>150.54830069919333</v>
      </c>
      <c r="E4" s="199">
        <v>28.299110069424813</v>
      </c>
      <c r="F4" s="197">
        <v>12.001898115930068</v>
      </c>
      <c r="G4" s="200">
        <v>0.29682183632835152</v>
      </c>
      <c r="H4" s="201">
        <v>6.7825450297755593E-2</v>
      </c>
    </row>
    <row r="5" spans="2:8" ht="30">
      <c r="B5" s="196" t="s">
        <v>22</v>
      </c>
      <c r="C5" s="197">
        <v>47.957043627358011</v>
      </c>
      <c r="D5" s="198">
        <v>36.662221884370965</v>
      </c>
      <c r="E5" s="199">
        <v>11.294821742987047</v>
      </c>
      <c r="F5" s="197">
        <v>3.5893290717257158</v>
      </c>
      <c r="G5" s="200">
        <v>0.1771303557511523</v>
      </c>
      <c r="H5" s="201">
        <v>0.10563501241772515</v>
      </c>
    </row>
    <row r="6" spans="2:8" ht="30">
      <c r="B6" s="196" t="s">
        <v>54</v>
      </c>
      <c r="C6" s="197">
        <v>142.9569900038934</v>
      </c>
      <c r="D6" s="198">
        <v>96.021047611886118</v>
      </c>
      <c r="E6" s="199">
        <v>46.935942392007277</v>
      </c>
      <c r="F6" s="197">
        <v>17.230105012370196</v>
      </c>
      <c r="G6" s="200">
        <v>0.34611388196176218</v>
      </c>
      <c r="H6" s="201">
        <v>9.2280382186396753E-2</v>
      </c>
    </row>
    <row r="7" spans="2:8" ht="30">
      <c r="B7" s="196" t="s">
        <v>52</v>
      </c>
      <c r="C7" s="197">
        <v>67.542484958596845</v>
      </c>
      <c r="D7" s="198">
        <v>57.64734037003133</v>
      </c>
      <c r="E7" s="199">
        <v>9.8951445885655183</v>
      </c>
      <c r="F7" s="197">
        <v>4.7302225724644016</v>
      </c>
      <c r="G7" s="200">
        <v>0.15479746660886656</v>
      </c>
      <c r="H7" s="201">
        <v>0.10858052429150625</v>
      </c>
    </row>
    <row r="8" spans="2:8" ht="30">
      <c r="B8" s="196" t="s">
        <v>19</v>
      </c>
      <c r="C8" s="197">
        <v>33.577437877940952</v>
      </c>
      <c r="D8" s="198">
        <v>16.08665945983709</v>
      </c>
      <c r="E8" s="199">
        <v>17.490778418103861</v>
      </c>
      <c r="F8" s="197">
        <v>1.7605746705110292</v>
      </c>
      <c r="G8" s="200">
        <v>0.19987578983562221</v>
      </c>
      <c r="H8" s="201">
        <v>4.9842555724673894E-2</v>
      </c>
    </row>
    <row r="9" spans="2:8" ht="30">
      <c r="B9" s="196" t="s">
        <v>18</v>
      </c>
      <c r="C9" s="197">
        <v>51.69259919912686</v>
      </c>
      <c r="D9" s="198">
        <v>46.583304156154874</v>
      </c>
      <c r="E9" s="199">
        <v>5.1092950429719881</v>
      </c>
      <c r="F9" s="197">
        <v>2.9616756315975024</v>
      </c>
      <c r="G9" s="200">
        <v>0.14950708919067349</v>
      </c>
      <c r="H9" s="201">
        <v>8.4308238779602376E-2</v>
      </c>
    </row>
    <row r="10" spans="2:8" ht="30">
      <c r="B10" s="196" t="s">
        <v>17</v>
      </c>
      <c r="C10" s="197">
        <v>4.0797019715879275</v>
      </c>
      <c r="D10" s="198">
        <v>2.6246663272094639</v>
      </c>
      <c r="E10" s="199">
        <v>1.4550356443784636</v>
      </c>
      <c r="F10" s="197">
        <v>0.24368604717346201</v>
      </c>
      <c r="G10" s="200">
        <v>0.11534321054777766</v>
      </c>
      <c r="H10" s="201">
        <v>0.10357148064219124</v>
      </c>
    </row>
    <row r="11" spans="2:8" ht="30">
      <c r="B11" s="196" t="s">
        <v>16</v>
      </c>
      <c r="C11" s="197">
        <v>25.094852932206081</v>
      </c>
      <c r="D11" s="198">
        <v>20.848243728764402</v>
      </c>
      <c r="E11" s="199">
        <v>4.2466092034416771</v>
      </c>
      <c r="F11" s="197">
        <v>2.7147863725476888</v>
      </c>
      <c r="G11" s="200">
        <v>0.20095461174702786</v>
      </c>
      <c r="H11" s="201">
        <v>0.10766710208423033</v>
      </c>
    </row>
    <row r="12" spans="2:8" ht="30">
      <c r="B12" s="196" t="s">
        <v>15</v>
      </c>
      <c r="C12" s="197">
        <v>187.65852722592464</v>
      </c>
      <c r="D12" s="198">
        <v>155.87971222540267</v>
      </c>
      <c r="E12" s="199">
        <v>31.778815000521959</v>
      </c>
      <c r="F12" s="197">
        <v>32.08314908112564</v>
      </c>
      <c r="G12" s="200">
        <v>0.27138098390108983</v>
      </c>
      <c r="H12" s="201">
        <v>0.20997354799632112</v>
      </c>
    </row>
    <row r="13" spans="2:8" ht="30">
      <c r="B13" s="196" t="s">
        <v>14</v>
      </c>
      <c r="C13" s="197">
        <v>553.04943443142031</v>
      </c>
      <c r="D13" s="198">
        <v>510.21356868126225</v>
      </c>
      <c r="E13" s="199">
        <v>42.83586575015805</v>
      </c>
      <c r="F13" s="197">
        <v>54.902660173481536</v>
      </c>
      <c r="G13" s="200">
        <v>0.10568882329112707</v>
      </c>
      <c r="H13" s="201">
        <v>0.27915742108293917</v>
      </c>
    </row>
    <row r="14" spans="2:8" ht="30">
      <c r="B14" s="196" t="s">
        <v>374</v>
      </c>
      <c r="C14" s="197">
        <v>22.607784095761257</v>
      </c>
      <c r="D14" s="198">
        <v>21.264791270930999</v>
      </c>
      <c r="E14" s="199">
        <v>1.3429928248302583</v>
      </c>
      <c r="F14" s="197">
        <v>1.0464804684901017</v>
      </c>
      <c r="G14" s="200">
        <v>0.18641603978549989</v>
      </c>
      <c r="H14" s="201">
        <v>7.2009177498450469E-2</v>
      </c>
    </row>
    <row r="15" spans="2:8" ht="30">
      <c r="B15" s="196" t="s">
        <v>13</v>
      </c>
      <c r="C15" s="197">
        <v>20.668289583202817</v>
      </c>
      <c r="D15" s="198">
        <v>10.9518498611117</v>
      </c>
      <c r="E15" s="199">
        <v>9.7164397220911169</v>
      </c>
      <c r="F15" s="197">
        <v>2.3948158426447881</v>
      </c>
      <c r="G15" s="200">
        <v>0.10626839819341541</v>
      </c>
      <c r="H15" s="201">
        <v>0.20716531812951985</v>
      </c>
    </row>
    <row r="16" spans="2:8" ht="30">
      <c r="B16" s="196" t="s">
        <v>375</v>
      </c>
      <c r="C16" s="197">
        <v>2.1489969781260903</v>
      </c>
      <c r="D16" s="198">
        <v>2.2451838166311084</v>
      </c>
      <c r="E16" s="199">
        <v>-9.6186838505018343E-2</v>
      </c>
      <c r="F16" s="197">
        <v>0.43773338031755893</v>
      </c>
      <c r="G16" s="200">
        <v>0.18534366223782692</v>
      </c>
      <c r="H16" s="201">
        <v>0.21979920473468681</v>
      </c>
    </row>
    <row r="17" spans="2:8" ht="30">
      <c r="B17" s="196" t="s">
        <v>46</v>
      </c>
      <c r="C17" s="197">
        <v>53.821062621875072</v>
      </c>
      <c r="D17" s="198">
        <v>47.993599947051308</v>
      </c>
      <c r="E17" s="199">
        <v>5.8274626748237663</v>
      </c>
      <c r="F17" s="197">
        <v>0.63705559338188589</v>
      </c>
      <c r="G17" s="200">
        <v>0.16576042245572675</v>
      </c>
      <c r="H17" s="201">
        <v>1.7851891100410196E-2</v>
      </c>
    </row>
    <row r="18" spans="2:8" ht="30">
      <c r="B18" s="196" t="s">
        <v>11</v>
      </c>
      <c r="C18" s="197">
        <v>211.89440797463348</v>
      </c>
      <c r="D18" s="198">
        <v>198.69651928591927</v>
      </c>
      <c r="E18" s="199">
        <v>13.197888688714203</v>
      </c>
      <c r="F18" s="197">
        <v>22.701788950523405</v>
      </c>
      <c r="G18" s="200">
        <v>0.17596888878420774</v>
      </c>
      <c r="H18" s="201">
        <v>0.19117642800501949</v>
      </c>
    </row>
    <row r="19" spans="2:8" ht="30">
      <c r="B19" s="196" t="s">
        <v>45</v>
      </c>
      <c r="C19" s="197">
        <v>634.13536380108962</v>
      </c>
      <c r="D19" s="198">
        <v>602.04369839467972</v>
      </c>
      <c r="E19" s="199">
        <v>32.091665406409945</v>
      </c>
      <c r="F19" s="197">
        <v>27.848868658080285</v>
      </c>
      <c r="G19" s="200">
        <v>0.26194231763861364</v>
      </c>
      <c r="H19" s="201">
        <v>5.6768428474810222E-2</v>
      </c>
    </row>
    <row r="20" spans="2:8" ht="30">
      <c r="B20" s="196" t="s">
        <v>77</v>
      </c>
      <c r="C20" s="197">
        <v>248.21706968304588</v>
      </c>
      <c r="D20" s="198">
        <v>245.67299089602625</v>
      </c>
      <c r="E20" s="199">
        <v>2.54407878701964</v>
      </c>
      <c r="F20" s="197">
        <v>4.4366599333901586</v>
      </c>
      <c r="G20" s="200">
        <v>0.18360409812068557</v>
      </c>
      <c r="H20" s="201">
        <v>2.3559034749706397E-2</v>
      </c>
    </row>
    <row r="21" spans="2:8" ht="30">
      <c r="B21" s="196" t="s">
        <v>10</v>
      </c>
      <c r="C21" s="197">
        <v>4.1858751479217755</v>
      </c>
      <c r="D21" s="198">
        <v>2.9616504770785292</v>
      </c>
      <c r="E21" s="199">
        <v>1.2242246708432463</v>
      </c>
      <c r="F21" s="197">
        <v>0.20097282338156508</v>
      </c>
      <c r="G21" s="200">
        <v>0.10296717318914152</v>
      </c>
      <c r="H21" s="201">
        <v>6.9942883428137856E-2</v>
      </c>
    </row>
    <row r="22" spans="2:8" ht="30">
      <c r="B22" s="196" t="s">
        <v>42</v>
      </c>
      <c r="C22" s="197">
        <v>325.04468785135941</v>
      </c>
      <c r="D22" s="198">
        <v>301.58421413041287</v>
      </c>
      <c r="E22" s="199">
        <v>23.460473720946542</v>
      </c>
      <c r="F22" s="197">
        <v>12.115511599266812</v>
      </c>
      <c r="G22" s="200">
        <v>0.11500632352983997</v>
      </c>
      <c r="H22" s="201">
        <v>9.722953735639249E-2</v>
      </c>
    </row>
    <row r="23" spans="2:8" ht="30">
      <c r="B23" s="196" t="s">
        <v>41</v>
      </c>
      <c r="C23" s="197">
        <v>43.62366684525152</v>
      </c>
      <c r="D23" s="198">
        <v>37.387512967206689</v>
      </c>
      <c r="E23" s="199">
        <v>6.2361538780448305</v>
      </c>
      <c r="F23" s="197">
        <v>1.4127580464257283</v>
      </c>
      <c r="G23" s="200">
        <v>0.18235080869942946</v>
      </c>
      <c r="H23" s="201">
        <v>4.9727423642897652E-2</v>
      </c>
    </row>
    <row r="24" spans="2:8" ht="30">
      <c r="B24" s="196" t="s">
        <v>40</v>
      </c>
      <c r="C24" s="197">
        <v>76.129871814410606</v>
      </c>
      <c r="D24" s="198">
        <v>69.220800988805692</v>
      </c>
      <c r="E24" s="199">
        <v>6.9090708256049158</v>
      </c>
      <c r="F24" s="197">
        <v>4.9697162876448902</v>
      </c>
      <c r="G24" s="200">
        <v>0.22304226581791881</v>
      </c>
      <c r="H24" s="201">
        <v>7.9022923686169505E-2</v>
      </c>
    </row>
    <row r="25" spans="2:8" ht="30">
      <c r="B25" s="196" t="s">
        <v>5</v>
      </c>
      <c r="C25" s="197">
        <v>87.784586815227485</v>
      </c>
      <c r="D25" s="198">
        <v>68.400379245525556</v>
      </c>
      <c r="E25" s="199">
        <v>19.384207569701928</v>
      </c>
      <c r="F25" s="197">
        <v>3.6957534122054829</v>
      </c>
      <c r="G25" s="200">
        <v>0.10004109953339942</v>
      </c>
      <c r="H25" s="201">
        <v>7.995762060743801E-2</v>
      </c>
    </row>
    <row r="26" spans="2:8" ht="30">
      <c r="B26" s="196" t="s">
        <v>376</v>
      </c>
      <c r="C26" s="197">
        <v>26.618072907828797</v>
      </c>
      <c r="D26" s="198">
        <v>21.796272457083916</v>
      </c>
      <c r="E26" s="199">
        <v>4.8218004507448811</v>
      </c>
      <c r="F26" s="197">
        <v>2.6381016430905269</v>
      </c>
      <c r="G26" s="200">
        <v>0.23389494144374526</v>
      </c>
      <c r="H26" s="201">
        <v>8.8984298209723964E-2</v>
      </c>
    </row>
    <row r="27" spans="2:8" ht="30">
      <c r="B27" s="196" t="s">
        <v>3</v>
      </c>
      <c r="C27" s="197">
        <v>11.604550057172386</v>
      </c>
      <c r="D27" s="198">
        <v>6.1106002311912384</v>
      </c>
      <c r="E27" s="199">
        <v>5.4939498259811472</v>
      </c>
      <c r="F27" s="197">
        <v>0.63679409313137514</v>
      </c>
      <c r="G27" s="200">
        <v>0.25136691949526291</v>
      </c>
      <c r="H27" s="201">
        <v>4.8026979941344722E-2</v>
      </c>
    </row>
    <row r="28" spans="2:8" ht="30">
      <c r="B28" s="196" t="s">
        <v>377</v>
      </c>
      <c r="C28" s="197">
        <v>3.417758487410429</v>
      </c>
      <c r="D28" s="198">
        <v>2.1654972543629127</v>
      </c>
      <c r="E28" s="199">
        <v>1.2522612330475162</v>
      </c>
      <c r="F28" s="197">
        <v>0.22529212274620541</v>
      </c>
      <c r="G28" s="200">
        <v>0.18430597322014902</v>
      </c>
      <c r="H28" s="201">
        <v>6.080147951825994E-2</v>
      </c>
    </row>
    <row r="29" spans="2:8" ht="30">
      <c r="B29" s="196" t="s">
        <v>2</v>
      </c>
      <c r="C29" s="197">
        <v>158.95366208289389</v>
      </c>
      <c r="D29" s="198">
        <v>138.10950017172459</v>
      </c>
      <c r="E29" s="199">
        <v>20.844161911169302</v>
      </c>
      <c r="F29" s="197">
        <v>14.361632474553868</v>
      </c>
      <c r="G29" s="200">
        <v>0.17854513612704259</v>
      </c>
      <c r="H29" s="201">
        <v>0.14169133044555379</v>
      </c>
    </row>
    <row r="30" spans="2:8" ht="30">
      <c r="B30" s="196" t="s">
        <v>1</v>
      </c>
      <c r="C30" s="197">
        <v>63.367762356160583</v>
      </c>
      <c r="D30" s="198">
        <v>38.893850086611252</v>
      </c>
      <c r="E30" s="199">
        <v>24.473912269549327</v>
      </c>
      <c r="F30" s="197">
        <v>8.5408289583551564</v>
      </c>
      <c r="G30" s="200">
        <v>0.23240677496786705</v>
      </c>
      <c r="H30" s="201">
        <v>0.12758674261005515</v>
      </c>
    </row>
    <row r="31" spans="2:8" ht="30">
      <c r="B31" s="196" t="s">
        <v>34</v>
      </c>
      <c r="C31" s="197">
        <v>212.59949330572061</v>
      </c>
      <c r="D31" s="198">
        <v>208.99138955102183</v>
      </c>
      <c r="E31" s="199">
        <v>3.6081037546987877</v>
      </c>
      <c r="F31" s="197">
        <v>4.6119434767300787</v>
      </c>
      <c r="G31" s="200">
        <v>5.7737739505824968E-2</v>
      </c>
      <c r="H31" s="201">
        <v>7.5143595197188717E-2</v>
      </c>
    </row>
    <row r="32" spans="2:8" ht="30">
      <c r="B32" s="196" t="s">
        <v>0</v>
      </c>
      <c r="C32" s="197">
        <v>425.05098961874262</v>
      </c>
      <c r="D32" s="198">
        <v>352.85598596010277</v>
      </c>
      <c r="E32" s="199">
        <v>72.19500365863982</v>
      </c>
      <c r="F32" s="197">
        <v>61.499020611120656</v>
      </c>
      <c r="G32" s="200">
        <v>0.16514206638750611</v>
      </c>
      <c r="H32" s="201">
        <v>0.17522636389555327</v>
      </c>
    </row>
    <row r="33" spans="2:8" ht="30">
      <c r="B33" s="202" t="s">
        <v>25</v>
      </c>
      <c r="C33" s="203">
        <v>1889.3969000000002</v>
      </c>
      <c r="D33" s="204">
        <v>1736.5969000000002</v>
      </c>
      <c r="E33" s="205">
        <v>152.79999999999998</v>
      </c>
      <c r="F33" s="203">
        <v>142.04516052906811</v>
      </c>
      <c r="G33" s="206">
        <v>0.21434974303175788</v>
      </c>
      <c r="H33" s="207">
        <v>0.14029437788441623</v>
      </c>
    </row>
    <row r="34" spans="2:8" ht="40" customHeight="1">
      <c r="B34" s="208"/>
      <c r="C34" s="216" t="s">
        <v>372</v>
      </c>
      <c r="D34" s="217"/>
      <c r="E34" s="217"/>
      <c r="F34" s="217"/>
      <c r="G34" s="217"/>
      <c r="H34" s="217"/>
    </row>
    <row r="35" spans="2:8" ht="30">
      <c r="B35" s="196" t="s">
        <v>55</v>
      </c>
      <c r="C35" s="197">
        <v>274.33569999999997</v>
      </c>
      <c r="D35" s="198">
        <v>244.69331984510049</v>
      </c>
      <c r="E35" s="199">
        <v>29.642380154899492</v>
      </c>
      <c r="F35" s="197">
        <v>13.243963816477239</v>
      </c>
      <c r="G35" s="200">
        <v>0.19512114040962047</v>
      </c>
      <c r="H35" s="201">
        <v>8.4122127915958592E-2</v>
      </c>
    </row>
    <row r="36" spans="2:8" ht="30">
      <c r="B36" s="196" t="s">
        <v>51</v>
      </c>
      <c r="C36" s="197">
        <v>2068.7040725409047</v>
      </c>
      <c r="D36" s="198">
        <v>1906.4118219516592</v>
      </c>
      <c r="E36" s="199">
        <v>162.29225058924547</v>
      </c>
      <c r="F36" s="197">
        <v>54.639167474834217</v>
      </c>
      <c r="G36" s="200">
        <v>0.20396568806595239</v>
      </c>
      <c r="H36" s="201">
        <v>3.23734212127871E-2</v>
      </c>
    </row>
    <row r="37" spans="2:8" ht="30">
      <c r="B37" s="196" t="s">
        <v>50</v>
      </c>
      <c r="C37" s="197">
        <v>58.600733808963028</v>
      </c>
      <c r="D37" s="198">
        <v>51.842575306437539</v>
      </c>
      <c r="E37" s="199">
        <v>6.7581585025254878</v>
      </c>
      <c r="F37" s="197">
        <v>1.3137022123411772</v>
      </c>
      <c r="G37" s="200">
        <v>0.29059680575582675</v>
      </c>
      <c r="H37" s="201">
        <v>1.9286039387400509E-2</v>
      </c>
    </row>
    <row r="38" spans="2:8" ht="30">
      <c r="B38" s="196" t="s">
        <v>378</v>
      </c>
      <c r="C38" s="197">
        <v>13.202740172271037</v>
      </c>
      <c r="D38" s="198">
        <v>12.103508766196498</v>
      </c>
      <c r="E38" s="199">
        <v>1.0992314060745381</v>
      </c>
      <c r="F38" s="197">
        <v>0.98977563943513325</v>
      </c>
      <c r="G38" s="200">
        <v>0.1165985538315733</v>
      </c>
      <c r="H38" s="201">
        <v>0.19288603020104272</v>
      </c>
    </row>
    <row r="39" spans="2:8" ht="30">
      <c r="B39" s="196" t="s">
        <v>48</v>
      </c>
      <c r="C39" s="197">
        <v>376.12710693199818</v>
      </c>
      <c r="D39" s="198">
        <v>368.39413600613318</v>
      </c>
      <c r="E39" s="199">
        <v>7.7329709258650219</v>
      </c>
      <c r="F39" s="197">
        <v>8.7497440301564922</v>
      </c>
      <c r="G39" s="200">
        <v>9.9375912586799398E-2</v>
      </c>
      <c r="H39" s="201">
        <v>8.1017937685124219E-2</v>
      </c>
    </row>
    <row r="40" spans="2:8" ht="30">
      <c r="B40" s="196" t="s">
        <v>37</v>
      </c>
      <c r="C40" s="197">
        <v>289.6640115913587</v>
      </c>
      <c r="D40" s="198">
        <v>252.6287048842982</v>
      </c>
      <c r="E40" s="199">
        <v>37.035306707060499</v>
      </c>
      <c r="F40" s="197">
        <v>11.347828990193646</v>
      </c>
      <c r="G40" s="200">
        <v>0.14496428366386327</v>
      </c>
      <c r="H40" s="201">
        <v>5.404894525547628E-2</v>
      </c>
    </row>
    <row r="41" spans="2:8" ht="30">
      <c r="B41" s="202" t="s">
        <v>379</v>
      </c>
      <c r="C41" s="203">
        <v>76.467180015656993</v>
      </c>
      <c r="D41" s="204">
        <v>67.723996105885448</v>
      </c>
      <c r="E41" s="205">
        <v>8.7431839097715454</v>
      </c>
      <c r="F41" s="203">
        <v>3.8269074924636528</v>
      </c>
      <c r="G41" s="206">
        <v>0.24568487670387729</v>
      </c>
      <c r="H41" s="207">
        <v>5.7036451351329766E-2</v>
      </c>
    </row>
    <row r="42" spans="2:8" ht="39" customHeight="1">
      <c r="B42" s="196"/>
      <c r="C42" s="218" t="s">
        <v>76</v>
      </c>
      <c r="D42" s="219"/>
      <c r="E42" s="219"/>
      <c r="F42" s="219"/>
      <c r="G42" s="219"/>
      <c r="H42" s="219"/>
    </row>
    <row r="43" spans="2:8" ht="30">
      <c r="B43" s="196" t="s">
        <v>21</v>
      </c>
      <c r="C43" s="197">
        <v>80.241889758299209</v>
      </c>
      <c r="D43" s="209">
        <v>48.035141815518401</v>
      </c>
      <c r="E43" s="209">
        <v>32.206747942780808</v>
      </c>
      <c r="F43" s="197">
        <v>-13.106870602869716</v>
      </c>
      <c r="G43" s="200">
        <v>0.18742426983704405</v>
      </c>
      <c r="H43" s="201">
        <f>VLOOKUP($B43,'Data F8b'!$A$2:$H$16,8,)</f>
        <v>0.15960156624970104</v>
      </c>
    </row>
    <row r="44" spans="2:8" ht="30">
      <c r="B44" s="196" t="s">
        <v>12</v>
      </c>
      <c r="C44" s="197">
        <v>174.30510209753976</v>
      </c>
      <c r="D44" s="209">
        <v>58.031972841329662</v>
      </c>
      <c r="E44" s="209">
        <v>116.2731292562101</v>
      </c>
      <c r="F44" s="197">
        <v>-106.3289638729139</v>
      </c>
      <c r="G44" s="200">
        <v>4.3730990037364761E-2</v>
      </c>
      <c r="H44" s="201">
        <f>VLOOKUP($B44,'Data F8b'!$A$2:$H$16,8,)</f>
        <v>0.57743248093138921</v>
      </c>
    </row>
    <row r="45" spans="2:8" ht="30">
      <c r="B45" s="196" t="s">
        <v>8</v>
      </c>
      <c r="C45" s="197">
        <v>91.027431841444567</v>
      </c>
      <c r="D45" s="209">
        <v>39.722599658914945</v>
      </c>
      <c r="E45" s="209">
        <v>51.304832182529623</v>
      </c>
      <c r="F45" s="197">
        <v>-46.799572185855702</v>
      </c>
      <c r="G45" s="200">
        <v>2.7963025736591773E-2</v>
      </c>
      <c r="H45" s="201">
        <f>VLOOKUP($B45,'Data F8b'!$A$2:$H$16,8,)</f>
        <v>0.50414994247910705</v>
      </c>
    </row>
    <row r="46" spans="2:8" ht="30">
      <c r="B46" s="196" t="s">
        <v>7</v>
      </c>
      <c r="C46" s="197">
        <v>13.646495114506827</v>
      </c>
      <c r="D46" s="209">
        <v>0.79144089380624261</v>
      </c>
      <c r="E46" s="209">
        <v>12.855054220700584</v>
      </c>
      <c r="F46" s="197">
        <v>-12.327426958163089</v>
      </c>
      <c r="G46" s="200">
        <v>4.7649291571561309E-2</v>
      </c>
      <c r="H46" s="201">
        <f>VLOOKUP($B46,'Data F8b'!$A$2:$H$16,8,)</f>
        <v>0.90334015105889631</v>
      </c>
    </row>
    <row r="47" spans="2:8" ht="30">
      <c r="B47" s="196" t="s">
        <v>6</v>
      </c>
      <c r="C47" s="197">
        <v>195.09598848383817</v>
      </c>
      <c r="D47" s="209">
        <v>105.76204146485456</v>
      </c>
      <c r="E47" s="209">
        <v>89.333947018983608</v>
      </c>
      <c r="F47" s="197">
        <v>-57.353364287520073</v>
      </c>
      <c r="G47" s="200">
        <v>0.10484903843270543</v>
      </c>
      <c r="H47" s="201">
        <f>VLOOKUP($B47,'Data F8b'!$A$2:$H$16,8,)</f>
        <v>0.3179544298480857</v>
      </c>
    </row>
    <row r="48" spans="2:8" ht="30">
      <c r="B48" s="196" t="s">
        <v>99</v>
      </c>
      <c r="C48" s="197">
        <v>102.24493064007694</v>
      </c>
      <c r="D48" s="209">
        <f>C48-E48</f>
        <v>3.8664188443038086</v>
      </c>
      <c r="E48" s="209">
        <v>98.378511795773136</v>
      </c>
      <c r="F48" s="197">
        <v>-96.73216830648569</v>
      </c>
      <c r="G48" s="200" t="s">
        <v>371</v>
      </c>
      <c r="H48" s="201">
        <f>VLOOKUP($B48,'Data F8b'!$A$2:$H$16,8,)</f>
        <v>1</v>
      </c>
    </row>
    <row r="49" spans="2:8" ht="30">
      <c r="B49" s="196" t="s">
        <v>368</v>
      </c>
      <c r="C49" s="197">
        <v>25.438024032487199</v>
      </c>
      <c r="D49" s="209">
        <v>0.89240592903512039</v>
      </c>
      <c r="E49" s="209">
        <v>24.545618103452078</v>
      </c>
      <c r="F49" s="197">
        <v>-23.950680817428665</v>
      </c>
      <c r="G49" s="200">
        <v>0</v>
      </c>
      <c r="H49" s="201"/>
    </row>
    <row r="50" spans="2:8" ht="30">
      <c r="B50" s="196" t="s">
        <v>26</v>
      </c>
      <c r="C50" s="197">
        <v>120.07387384516201</v>
      </c>
      <c r="D50" s="209">
        <v>29.794561305006578</v>
      </c>
      <c r="E50" s="209">
        <v>90.279312540155431</v>
      </c>
      <c r="F50" s="197">
        <v>-70.416271670151048</v>
      </c>
      <c r="G50" s="200">
        <v>8.300833934937181E-2</v>
      </c>
      <c r="H50" s="201">
        <f>VLOOKUP($B50,'Data F8b'!$A$2:$H$16,8,)</f>
        <v>0.40851319960697152</v>
      </c>
    </row>
    <row r="51" spans="2:8" ht="30">
      <c r="B51" s="196" t="s">
        <v>60</v>
      </c>
      <c r="C51" s="197">
        <v>52.764834331533464</v>
      </c>
      <c r="D51" s="209">
        <v>9.8517915193119219</v>
      </c>
      <c r="E51" s="209">
        <v>42.913042812221541</v>
      </c>
      <c r="F51" s="197">
        <v>-41.683062581236264</v>
      </c>
      <c r="G51" s="200">
        <v>3.2938604318924807E-2</v>
      </c>
      <c r="H51" s="201">
        <f>VLOOKUP($B51,'Data F8b'!$A$2:$H$16,8,)</f>
        <v>0.78997808122227953</v>
      </c>
    </row>
    <row r="52" spans="2:8" ht="30">
      <c r="B52" s="196" t="s">
        <v>82</v>
      </c>
      <c r="C52" s="197">
        <v>95.223967679643692</v>
      </c>
      <c r="D52" s="209">
        <v>44.867795494357466</v>
      </c>
      <c r="E52" s="209">
        <v>50.356172185286226</v>
      </c>
      <c r="F52" s="197">
        <v>-39.035168909870336</v>
      </c>
      <c r="G52" s="200">
        <v>0.17659863513001625</v>
      </c>
      <c r="H52" s="201">
        <f>VLOOKUP($B52,'Data F8b'!$A$2:$H$16,8,)</f>
        <v>0.33038854240582904</v>
      </c>
    </row>
    <row r="53" spans="2:8" ht="30">
      <c r="B53" s="196" t="s">
        <v>27</v>
      </c>
      <c r="C53" s="197">
        <v>94.889238877326122</v>
      </c>
      <c r="D53" s="209">
        <v>34.576111736785066</v>
      </c>
      <c r="E53" s="209">
        <v>60.313127140541056</v>
      </c>
      <c r="F53" s="197">
        <v>-58.152724672949248</v>
      </c>
      <c r="G53" s="200">
        <v>0.21188216848158226</v>
      </c>
      <c r="H53" s="201">
        <f>VLOOKUP($B53,'Data F8b'!$A$2:$H$16,8,)</f>
        <v>0.20104419648279911</v>
      </c>
    </row>
    <row r="54" spans="2:8" ht="31" thickBot="1">
      <c r="B54" s="210" t="s">
        <v>75</v>
      </c>
      <c r="C54" s="211"/>
      <c r="D54" s="212"/>
      <c r="E54" s="212"/>
      <c r="F54" s="211">
        <v>-50.575354983473517</v>
      </c>
      <c r="G54" s="213"/>
      <c r="H54" s="214"/>
    </row>
    <row r="55" spans="2:8" ht="15" thickTop="1"/>
  </sheetData>
  <mergeCells count="3">
    <mergeCell ref="C3:H3"/>
    <mergeCell ref="C34:H34"/>
    <mergeCell ref="C42:H42"/>
  </mergeCells>
  <phoneticPr fontId="101" type="noConversion"/>
  <pageMargins left="0.75" right="0.75" top="1" bottom="1" header="0.5" footer="0.5"/>
  <pageSetup scale="36"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F42"/>
  <sheetViews>
    <sheetView zoomScale="70" zoomScaleNormal="70" zoomScalePageLayoutView="70" workbookViewId="0">
      <pane xSplit="2" ySplit="2" topLeftCell="C3" activePane="bottomRight" state="frozen"/>
      <selection pane="topRight" activeCell="B1" sqref="B1"/>
      <selection pane="bottomLeft" activeCell="A2" sqref="A2"/>
      <selection pane="bottomRight" activeCell="H37" sqref="H37"/>
    </sheetView>
  </sheetViews>
  <sheetFormatPr baseColWidth="10" defaultColWidth="10.83203125" defaultRowHeight="14" x14ac:dyDescent="0"/>
  <cols>
    <col min="1" max="1" width="10.83203125" style="4"/>
    <col min="2" max="2" width="38" style="4" customWidth="1"/>
    <col min="3" max="6" width="17.83203125" style="4" customWidth="1"/>
    <col min="7" max="16384" width="10.83203125" style="4"/>
  </cols>
  <sheetData>
    <row r="1" spans="2:6" ht="15" thickBot="1"/>
    <row r="2" spans="2:6" s="174" customFormat="1" ht="111" customHeight="1" thickTop="1">
      <c r="B2" s="176"/>
      <c r="C2" s="176" t="s">
        <v>362</v>
      </c>
      <c r="D2" s="177" t="s">
        <v>366</v>
      </c>
      <c r="E2" s="176" t="s">
        <v>364</v>
      </c>
      <c r="F2" s="177" t="s">
        <v>366</v>
      </c>
    </row>
    <row r="3" spans="2:6" ht="40" customHeight="1">
      <c r="B3" s="178"/>
      <c r="C3" s="220" t="s">
        <v>367</v>
      </c>
      <c r="D3" s="220"/>
      <c r="E3" s="220"/>
      <c r="F3" s="220"/>
    </row>
    <row r="4" spans="2:6" ht="23">
      <c r="B4" s="179" t="s">
        <v>56</v>
      </c>
      <c r="C4" s="180">
        <v>0.25836178750546229</v>
      </c>
      <c r="D4" s="182">
        <v>1.1371464504019685E-2</v>
      </c>
      <c r="E4" s="181">
        <v>-1.4001709064918258E-2</v>
      </c>
      <c r="F4" s="182">
        <v>8.3405684574240236E-3</v>
      </c>
    </row>
    <row r="5" spans="2:6" ht="23">
      <c r="B5" s="179" t="s">
        <v>22</v>
      </c>
      <c r="C5" s="180">
        <v>0.28945308486464771</v>
      </c>
      <c r="D5" s="182">
        <v>1.25062123479035E-2</v>
      </c>
      <c r="E5" s="181">
        <v>4.1200659503837049E-2</v>
      </c>
      <c r="F5" s="182">
        <v>7.5948652828068605E-3</v>
      </c>
    </row>
    <row r="6" spans="2:6" ht="23">
      <c r="B6" s="179" t="s">
        <v>54</v>
      </c>
      <c r="C6" s="180">
        <v>0.2420220289240701</v>
      </c>
      <c r="D6" s="182">
        <v>1.3856244278997676E-2</v>
      </c>
      <c r="E6" s="181">
        <v>-1.4479612380355944E-2</v>
      </c>
      <c r="F6" s="182">
        <v>9.4499228354270326E-3</v>
      </c>
    </row>
    <row r="7" spans="2:6" ht="23">
      <c r="B7" s="179" t="s">
        <v>52</v>
      </c>
      <c r="C7" s="180">
        <v>0.51152630144752997</v>
      </c>
      <c r="D7" s="182">
        <v>1.4622606723193987E-2</v>
      </c>
      <c r="E7" s="181">
        <v>1.7905342625488527E-2</v>
      </c>
      <c r="F7" s="182">
        <v>1.7690956856558217E-2</v>
      </c>
    </row>
    <row r="8" spans="2:6" ht="23">
      <c r="B8" s="179" t="s">
        <v>19</v>
      </c>
      <c r="C8" s="180">
        <v>0.38718251884010413</v>
      </c>
      <c r="D8" s="182">
        <v>1.0498857411052109E-2</v>
      </c>
      <c r="E8" s="181">
        <v>6.5324221129483551E-2</v>
      </c>
      <c r="F8" s="182">
        <v>7.426525588277548E-3</v>
      </c>
    </row>
    <row r="9" spans="2:6" ht="23">
      <c r="B9" s="179" t="s">
        <v>18</v>
      </c>
      <c r="C9" s="180">
        <v>0.3074052693508203</v>
      </c>
      <c r="D9" s="182">
        <v>1.2368327818461533E-2</v>
      </c>
      <c r="E9" s="181">
        <v>8.1686532589068786E-2</v>
      </c>
      <c r="F9" s="182">
        <v>7.6111145260631397E-3</v>
      </c>
    </row>
    <row r="10" spans="2:6" ht="23">
      <c r="B10" s="179" t="s">
        <v>17</v>
      </c>
      <c r="C10" s="180">
        <v>0.3475883017391132</v>
      </c>
      <c r="D10" s="182">
        <v>1.1178339380035485E-2</v>
      </c>
      <c r="E10" s="181">
        <v>5.0145613530790764E-2</v>
      </c>
      <c r="F10" s="182">
        <v>8.6898044381704814E-3</v>
      </c>
    </row>
    <row r="11" spans="2:6" ht="23">
      <c r="B11" s="179" t="s">
        <v>16</v>
      </c>
      <c r="C11" s="180">
        <v>0.27652821925910182</v>
      </c>
      <c r="D11" s="182">
        <v>1.6236372272171895E-2</v>
      </c>
      <c r="E11" s="181">
        <v>9.3138915235374316E-3</v>
      </c>
      <c r="F11" s="182">
        <v>9.7550883923745429E-3</v>
      </c>
    </row>
    <row r="12" spans="2:6" ht="23">
      <c r="B12" s="179" t="s">
        <v>15</v>
      </c>
      <c r="C12" s="180">
        <v>0.18798598666690589</v>
      </c>
      <c r="D12" s="182">
        <v>2.0999129327754024E-2</v>
      </c>
      <c r="E12" s="181">
        <v>3.6902446438304296E-3</v>
      </c>
      <c r="F12" s="182">
        <v>1.1075049907497931E-2</v>
      </c>
    </row>
    <row r="13" spans="2:6" ht="23">
      <c r="B13" s="179" t="s">
        <v>14</v>
      </c>
      <c r="C13" s="180">
        <v>0.31154276388371477</v>
      </c>
      <c r="D13" s="182">
        <v>1.8420549125841734E-2</v>
      </c>
      <c r="E13" s="181">
        <v>9.2132336293559672E-2</v>
      </c>
      <c r="F13" s="182">
        <v>1.2450312919860596E-2</v>
      </c>
    </row>
    <row r="14" spans="2:6" ht="23">
      <c r="B14" s="179" t="s">
        <v>374</v>
      </c>
      <c r="C14" s="180">
        <v>0.4279989266081784</v>
      </c>
      <c r="D14" s="182">
        <v>1.0618266921490149E-2</v>
      </c>
      <c r="E14" s="181">
        <v>2.7626651605094704E-3</v>
      </c>
      <c r="F14" s="182">
        <v>4.5156740515685505E-3</v>
      </c>
    </row>
    <row r="15" spans="2:6" ht="23">
      <c r="B15" s="179" t="s">
        <v>13</v>
      </c>
      <c r="C15" s="180">
        <v>0.38663972119156975</v>
      </c>
      <c r="D15" s="182">
        <v>2.3042575630465134E-2</v>
      </c>
      <c r="E15" s="181">
        <v>0.10435669981756783</v>
      </c>
      <c r="F15" s="182">
        <v>1.4858641177218565E-2</v>
      </c>
    </row>
    <row r="16" spans="2:6" ht="23">
      <c r="B16" s="179" t="s">
        <v>375</v>
      </c>
      <c r="C16" s="180">
        <v>0.32955011084231589</v>
      </c>
      <c r="D16" s="182">
        <v>3.399621368463257E-2</v>
      </c>
      <c r="E16" s="181">
        <v>9.4993316731769084E-2</v>
      </c>
      <c r="F16" s="182">
        <v>1.990657610864599E-2</v>
      </c>
    </row>
    <row r="17" spans="2:6" ht="23">
      <c r="B17" s="179" t="s">
        <v>46</v>
      </c>
      <c r="C17" s="180">
        <v>0.37170988003780647</v>
      </c>
      <c r="D17" s="182">
        <v>2.3144039754842693E-3</v>
      </c>
      <c r="E17" s="181">
        <v>3.1742868565435421E-2</v>
      </c>
      <c r="F17" s="182">
        <v>1.7389105418350904E-3</v>
      </c>
    </row>
    <row r="18" spans="2:6" ht="23">
      <c r="B18" s="179" t="s">
        <v>11</v>
      </c>
      <c r="C18" s="180">
        <v>0.30277197141089351</v>
      </c>
      <c r="D18" s="182">
        <v>1.9452728921744489E-2</v>
      </c>
      <c r="E18" s="181">
        <v>3.9011820498799067E-2</v>
      </c>
      <c r="F18" s="182">
        <v>1.0038923374648397E-2</v>
      </c>
    </row>
    <row r="19" spans="2:6" ht="23">
      <c r="B19" s="179" t="s">
        <v>45</v>
      </c>
      <c r="C19" s="180">
        <v>0.2780869274235474</v>
      </c>
      <c r="D19" s="182">
        <v>8.1743443309079122E-3</v>
      </c>
      <c r="E19" s="181">
        <v>4.6790257613276222E-5</v>
      </c>
      <c r="F19" s="182">
        <v>5.3747550395127856E-3</v>
      </c>
    </row>
    <row r="20" spans="2:6" ht="23">
      <c r="B20" s="179" t="s">
        <v>77</v>
      </c>
      <c r="C20" s="180">
        <v>0.37492117324922547</v>
      </c>
      <c r="D20" s="182">
        <v>3.5447452494677956E-3</v>
      </c>
      <c r="E20" s="181">
        <v>8.0124687746868123E-2</v>
      </c>
      <c r="F20" s="182">
        <v>2.4885922924095666E-3</v>
      </c>
    </row>
    <row r="21" spans="2:6" ht="23">
      <c r="B21" s="179" t="s">
        <v>10</v>
      </c>
      <c r="C21" s="180">
        <v>0.31439220037446575</v>
      </c>
      <c r="D21" s="182">
        <v>8.7666586007972835E-3</v>
      </c>
      <c r="E21" s="181">
        <v>-5.1514059810729576E-3</v>
      </c>
      <c r="F21" s="182">
        <v>6.3062810080509171E-3</v>
      </c>
    </row>
    <row r="22" spans="2:6" ht="23">
      <c r="B22" s="179" t="s">
        <v>42</v>
      </c>
      <c r="C22" s="180">
        <v>0.71286907375466635</v>
      </c>
      <c r="D22" s="182">
        <v>6.1342803682541414E-3</v>
      </c>
      <c r="E22" s="181">
        <v>-1.2204747840662833E-2</v>
      </c>
      <c r="F22" s="182">
        <v>9.006629764566728E-3</v>
      </c>
    </row>
    <row r="23" spans="2:6" ht="23">
      <c r="B23" s="179" t="s">
        <v>41</v>
      </c>
      <c r="C23" s="180">
        <v>0.43971650193992473</v>
      </c>
      <c r="D23" s="182">
        <v>6.621374477260189E-3</v>
      </c>
      <c r="E23" s="181">
        <v>1.4451717461876509E-2</v>
      </c>
      <c r="F23" s="182">
        <v>6.6865976190489439E-3</v>
      </c>
    </row>
    <row r="24" spans="2:6" ht="23">
      <c r="B24" s="179" t="s">
        <v>40</v>
      </c>
      <c r="C24" s="180">
        <v>0.41117695105703728</v>
      </c>
      <c r="D24" s="182">
        <v>1.2313953262717559E-2</v>
      </c>
      <c r="E24" s="181">
        <v>6.4685623580762325E-2</v>
      </c>
      <c r="F24" s="182">
        <v>1.0138374048108342E-2</v>
      </c>
    </row>
    <row r="25" spans="2:6" ht="23">
      <c r="B25" s="179" t="s">
        <v>5</v>
      </c>
      <c r="C25" s="180">
        <v>0.45044506095034809</v>
      </c>
      <c r="D25" s="182">
        <v>8.6244281270658751E-3</v>
      </c>
      <c r="E25" s="181">
        <v>3.6846731168906077E-2</v>
      </c>
      <c r="F25" s="182">
        <v>6.2912396552448589E-3</v>
      </c>
    </row>
    <row r="26" spans="2:6" ht="23">
      <c r="B26" s="179" t="s">
        <v>376</v>
      </c>
      <c r="C26" s="180">
        <v>0.33091688050670443</v>
      </c>
      <c r="D26" s="182">
        <v>1.7622954013515824E-2</v>
      </c>
      <c r="E26" s="181">
        <v>2.8444326397483104E-2</v>
      </c>
      <c r="F26" s="182">
        <v>1.0836940465079898E-2</v>
      </c>
    </row>
    <row r="27" spans="2:6" ht="23">
      <c r="B27" s="179" t="s">
        <v>3</v>
      </c>
      <c r="C27" s="180">
        <v>0.35008935590447227</v>
      </c>
      <c r="D27" s="182">
        <v>1.0854318823523501E-2</v>
      </c>
      <c r="E27" s="181">
        <v>3.3613452366741091E-2</v>
      </c>
      <c r="F27" s="182">
        <v>5.9299566672194673E-3</v>
      </c>
    </row>
    <row r="28" spans="2:6" ht="23">
      <c r="B28" s="179" t="s">
        <v>377</v>
      </c>
      <c r="C28" s="180">
        <v>0.17974584828690532</v>
      </c>
      <c r="D28" s="182">
        <v>8.6432526320889269E-3</v>
      </c>
      <c r="E28" s="181">
        <v>9.0508355142292038E-2</v>
      </c>
      <c r="F28" s="182">
        <v>4.0388154775275742E-3</v>
      </c>
    </row>
    <row r="29" spans="2:6" ht="23">
      <c r="B29" s="179" t="s">
        <v>2</v>
      </c>
      <c r="C29" s="180">
        <v>0.29473307860078718</v>
      </c>
      <c r="D29" s="182">
        <v>1.5659669590297853E-2</v>
      </c>
      <c r="E29" s="181">
        <v>3.4050846362564322E-2</v>
      </c>
      <c r="F29" s="182">
        <v>9.7654928215745694E-3</v>
      </c>
    </row>
    <row r="30" spans="2:6" ht="23">
      <c r="B30" s="179" t="s">
        <v>1</v>
      </c>
      <c r="C30" s="180">
        <v>0.3088817071105322</v>
      </c>
      <c r="D30" s="182">
        <v>2.1622869904464048E-2</v>
      </c>
      <c r="E30" s="181">
        <v>6.2852545515691333E-2</v>
      </c>
      <c r="F30" s="182">
        <v>1.3553977509366544E-2</v>
      </c>
    </row>
    <row r="31" spans="2:6" ht="23">
      <c r="B31" s="179" t="s">
        <v>34</v>
      </c>
      <c r="C31" s="180">
        <v>0.55229742652042513</v>
      </c>
      <c r="D31" s="182">
        <v>4.363321206557913E-3</v>
      </c>
      <c r="E31" s="181">
        <v>-2.3187752487047224E-2</v>
      </c>
      <c r="F31" s="182">
        <v>4.6298741629027668E-3</v>
      </c>
    </row>
    <row r="32" spans="2:6" ht="23">
      <c r="B32" s="179" t="s">
        <v>0</v>
      </c>
      <c r="C32" s="180">
        <v>0.30956861731501217</v>
      </c>
      <c r="D32" s="182">
        <v>2.5306664265437651E-2</v>
      </c>
      <c r="E32" s="181">
        <v>2.1149766621671941E-3</v>
      </c>
      <c r="F32" s="182">
        <v>1.8085623104931822E-2</v>
      </c>
    </row>
    <row r="33" spans="2:6" ht="23">
      <c r="B33" s="183" t="s">
        <v>25</v>
      </c>
      <c r="C33" s="184">
        <v>0.27438771599231976</v>
      </c>
      <c r="D33" s="185">
        <v>1.0599704309198599E-2</v>
      </c>
      <c r="E33" s="186">
        <v>-2.0845465750546969E-2</v>
      </c>
      <c r="F33" s="185">
        <v>6.7472664275459934E-3</v>
      </c>
    </row>
    <row r="34" spans="2:6" ht="40" customHeight="1">
      <c r="B34" s="187"/>
      <c r="C34" s="221" t="s">
        <v>372</v>
      </c>
      <c r="D34" s="221"/>
      <c r="E34" s="221"/>
      <c r="F34" s="221"/>
    </row>
    <row r="35" spans="2:6" ht="23">
      <c r="B35" s="179" t="s">
        <v>55</v>
      </c>
      <c r="C35" s="180">
        <v>0.26027183864597253</v>
      </c>
      <c r="D35" s="182">
        <v>1.0011147379011043E-2</v>
      </c>
      <c r="E35" s="181">
        <v>-2.797115768725851E-3</v>
      </c>
      <c r="F35" s="182">
        <v>5.0400847973459655E-3</v>
      </c>
    </row>
    <row r="36" spans="2:6" ht="23">
      <c r="B36" s="179" t="s">
        <v>51</v>
      </c>
      <c r="C36" s="180">
        <v>0.43532711952768061</v>
      </c>
      <c r="D36" s="182">
        <v>5.4645190622102935E-3</v>
      </c>
      <c r="E36" s="181">
        <v>3.6782233708194001E-2</v>
      </c>
      <c r="F36" s="182">
        <v>4.4340008685482199E-3</v>
      </c>
    </row>
    <row r="37" spans="2:6" ht="23">
      <c r="B37" s="179" t="s">
        <v>50</v>
      </c>
      <c r="C37" s="180">
        <v>0.5447198849026238</v>
      </c>
      <c r="D37" s="182">
        <v>4.7339859392322436E-3</v>
      </c>
      <c r="E37" s="181">
        <v>-5.9160357518265538E-2</v>
      </c>
      <c r="F37" s="182">
        <v>4.4487067445869999E-3</v>
      </c>
    </row>
    <row r="38" spans="2:6" ht="23">
      <c r="B38" s="179" t="s">
        <v>378</v>
      </c>
      <c r="C38" s="180">
        <v>0.44781052923821374</v>
      </c>
      <c r="D38" s="182">
        <v>1.8600939882358336E-2</v>
      </c>
      <c r="E38" s="181">
        <v>1.6247320202197383E-2</v>
      </c>
      <c r="F38" s="182">
        <v>1.6578100598432417E-2</v>
      </c>
    </row>
    <row r="39" spans="2:6" ht="23">
      <c r="B39" s="179" t="s">
        <v>48</v>
      </c>
      <c r="C39" s="180">
        <v>0.55680571576411908</v>
      </c>
      <c r="D39" s="182">
        <v>5.0851094776903638E-3</v>
      </c>
      <c r="E39" s="181">
        <v>-2.5733874153418192E-2</v>
      </c>
      <c r="F39" s="182">
        <v>3.9222208745919793E-3</v>
      </c>
    </row>
    <row r="40" spans="2:6" ht="23">
      <c r="B40" s="179" t="s">
        <v>37</v>
      </c>
      <c r="C40" s="180">
        <v>0.40363244324297204</v>
      </c>
      <c r="D40" s="182">
        <v>8.1890498552520397E-3</v>
      </c>
      <c r="E40" s="181">
        <v>8.8673969637301037E-2</v>
      </c>
      <c r="F40" s="182">
        <v>7.0570237466801161E-3</v>
      </c>
    </row>
    <row r="41" spans="2:6" ht="24" thickBot="1">
      <c r="B41" s="188" t="s">
        <v>379</v>
      </c>
      <c r="C41" s="189">
        <v>0.39307089417796898</v>
      </c>
      <c r="D41" s="190">
        <v>1.383470389918362E-2</v>
      </c>
      <c r="E41" s="191">
        <v>2.9147999306365131E-4</v>
      </c>
      <c r="F41" s="190">
        <v>1.0193455766199223E-2</v>
      </c>
    </row>
    <row r="42" spans="2:6" ht="15" thickTop="1"/>
  </sheetData>
  <mergeCells count="2">
    <mergeCell ref="C3:F3"/>
    <mergeCell ref="C34:F34"/>
  </mergeCells>
  <phoneticPr fontId="101" type="noConversion"/>
  <pageMargins left="0.75" right="0.75" top="1" bottom="1" header="0.5" footer="0.5"/>
  <pageSetup scale="61"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pane xSplit="1" ySplit="1" topLeftCell="B2" activePane="bottomRight" state="frozen"/>
      <selection pane="topRight"/>
      <selection pane="bottomLeft"/>
      <selection pane="bottomRight" activeCell="E7" sqref="E7"/>
    </sheetView>
  </sheetViews>
  <sheetFormatPr baseColWidth="10" defaultColWidth="11" defaultRowHeight="14" x14ac:dyDescent="0"/>
  <cols>
    <col min="1" max="1" width="17.33203125" style="23" customWidth="1"/>
    <col min="2" max="16384" width="11" style="23"/>
  </cols>
  <sheetData>
    <row r="1" spans="1:20" s="40" customFormat="1" ht="70">
      <c r="B1" s="41" t="s">
        <v>23</v>
      </c>
      <c r="C1" s="41" t="s">
        <v>110</v>
      </c>
      <c r="D1" s="41" t="s">
        <v>104</v>
      </c>
      <c r="E1" s="41" t="s">
        <v>109</v>
      </c>
      <c r="F1" s="41" t="s">
        <v>108</v>
      </c>
      <c r="G1" s="41" t="s">
        <v>107</v>
      </c>
      <c r="H1" s="41" t="s">
        <v>106</v>
      </c>
    </row>
    <row r="2" spans="1:20" ht="15">
      <c r="A2" s="35" t="s">
        <v>8</v>
      </c>
      <c r="B2" s="34">
        <f t="shared" ref="B2:B18" si="0">C2+D2+E2</f>
        <v>2.5760594544648772</v>
      </c>
      <c r="C2" s="34">
        <v>1.1028799246634562</v>
      </c>
      <c r="D2" s="34">
        <v>1.1684081444524146</v>
      </c>
      <c r="E2" s="34">
        <v>0.30477138534900672</v>
      </c>
      <c r="F2" s="29">
        <f t="shared" ref="F2:F18" si="1">AVERAGE(B$9:B$15,B$17:B$18)</f>
        <v>0.36081676937669838</v>
      </c>
      <c r="G2" s="33">
        <v>0.40461450275815142</v>
      </c>
      <c r="H2" s="33">
        <v>4.6076539817790847</v>
      </c>
      <c r="S2" s="35"/>
      <c r="T2" s="35"/>
    </row>
    <row r="3" spans="1:20" ht="15">
      <c r="A3" s="35" t="s">
        <v>12</v>
      </c>
      <c r="B3" s="34">
        <f t="shared" si="0"/>
        <v>2.4170053053193823</v>
      </c>
      <c r="C3" s="34">
        <v>1.6221937040390999</v>
      </c>
      <c r="D3" s="34">
        <v>0.79481160128028239</v>
      </c>
      <c r="E3" s="34">
        <v>0</v>
      </c>
      <c r="F3" s="29">
        <f t="shared" si="1"/>
        <v>0.36081676937669838</v>
      </c>
      <c r="G3" s="33">
        <v>0.68416351867003244</v>
      </c>
      <c r="H3" s="33">
        <v>7.9996490577609283</v>
      </c>
      <c r="S3" s="35"/>
      <c r="T3" s="35"/>
    </row>
    <row r="4" spans="1:20" ht="15">
      <c r="A4" s="39" t="s">
        <v>60</v>
      </c>
      <c r="B4" s="34">
        <f t="shared" si="0"/>
        <v>2.2852999866399926</v>
      </c>
      <c r="C4" s="34">
        <v>2.2852999866399926</v>
      </c>
      <c r="D4" s="34">
        <v>0</v>
      </c>
      <c r="E4" s="34">
        <v>0</v>
      </c>
      <c r="F4" s="29">
        <f t="shared" si="1"/>
        <v>0.36081676937669838</v>
      </c>
      <c r="G4" s="33">
        <v>0.47996308817683037</v>
      </c>
      <c r="H4" s="33">
        <v>16.745534629218685</v>
      </c>
      <c r="S4" s="35"/>
      <c r="T4" s="35"/>
    </row>
    <row r="5" spans="1:20" ht="15">
      <c r="A5" s="36" t="s">
        <v>26</v>
      </c>
      <c r="B5" s="34">
        <f t="shared" si="0"/>
        <v>0.97482127044710287</v>
      </c>
      <c r="C5" s="34">
        <v>0.62387923338851881</v>
      </c>
      <c r="D5" s="34">
        <v>0.15643459965113188</v>
      </c>
      <c r="E5" s="34">
        <v>0.1945074374074523</v>
      </c>
      <c r="F5" s="29">
        <f t="shared" si="1"/>
        <v>0.36081676937669838</v>
      </c>
      <c r="G5" s="33">
        <v>0.47996308817683037</v>
      </c>
      <c r="H5" s="33">
        <v>2.1814755318098822</v>
      </c>
      <c r="S5" s="35"/>
      <c r="T5" s="35"/>
    </row>
    <row r="6" spans="1:20" ht="15">
      <c r="A6" s="35" t="s">
        <v>82</v>
      </c>
      <c r="B6" s="34">
        <f t="shared" si="0"/>
        <v>0.89230249376021953</v>
      </c>
      <c r="C6" s="34">
        <v>0.63150559253260896</v>
      </c>
      <c r="D6" s="34">
        <v>0</v>
      </c>
      <c r="E6" s="34">
        <v>0.26079690122761051</v>
      </c>
      <c r="F6" s="29">
        <f t="shared" si="1"/>
        <v>0.36081676937669838</v>
      </c>
      <c r="G6" s="33">
        <v>0.47996308817683037</v>
      </c>
      <c r="H6" s="33">
        <v>2.1348906384735855</v>
      </c>
      <c r="S6" s="35"/>
      <c r="T6" s="35"/>
    </row>
    <row r="7" spans="1:20" ht="15">
      <c r="A7" s="35" t="s">
        <v>6</v>
      </c>
      <c r="B7" s="34">
        <f t="shared" si="0"/>
        <v>0.61488639096018938</v>
      </c>
      <c r="C7" s="34">
        <v>0.48955537292127899</v>
      </c>
      <c r="D7" s="34">
        <v>8.7982667359788116E-2</v>
      </c>
      <c r="E7" s="34">
        <v>3.7348350679122254E-2</v>
      </c>
      <c r="F7" s="29">
        <f t="shared" si="1"/>
        <v>0.36081676937669838</v>
      </c>
      <c r="G7" s="33">
        <v>0.41153378760859277</v>
      </c>
      <c r="H7" s="33">
        <v>1.1495705968665206</v>
      </c>
      <c r="S7" s="35"/>
      <c r="T7" s="35"/>
    </row>
    <row r="8" spans="1:20" ht="15">
      <c r="A8" s="35" t="s">
        <v>21</v>
      </c>
      <c r="B8" s="34">
        <f t="shared" si="0"/>
        <v>0.48185631506037491</v>
      </c>
      <c r="C8" s="34">
        <v>0.46042895713758619</v>
      </c>
      <c r="D8" s="34">
        <v>2.1427357922788704E-2</v>
      </c>
      <c r="E8" s="34">
        <v>0</v>
      </c>
      <c r="F8" s="29">
        <f t="shared" si="1"/>
        <v>0.36081676937669838</v>
      </c>
      <c r="G8" s="33">
        <v>0.4031489417707429</v>
      </c>
      <c r="H8" s="33">
        <v>0.67980103327038299</v>
      </c>
      <c r="S8" s="35"/>
      <c r="T8" s="35"/>
    </row>
    <row r="9" spans="1:20" ht="15">
      <c r="A9" s="35" t="s">
        <v>14</v>
      </c>
      <c r="B9" s="34">
        <f t="shared" si="0"/>
        <v>0.45220474547375394</v>
      </c>
      <c r="C9" s="34">
        <v>0.45220474547375394</v>
      </c>
      <c r="D9" s="34">
        <v>0</v>
      </c>
      <c r="E9" s="34">
        <v>0</v>
      </c>
      <c r="F9" s="29">
        <f t="shared" si="1"/>
        <v>0.36081676937669838</v>
      </c>
      <c r="G9" s="33">
        <v>0.51589201053413136</v>
      </c>
      <c r="H9" s="33">
        <v>0.18304850872360104</v>
      </c>
      <c r="S9" s="35"/>
      <c r="T9" s="35"/>
    </row>
    <row r="10" spans="1:20" ht="15">
      <c r="A10" s="35" t="s">
        <v>11</v>
      </c>
      <c r="B10" s="34">
        <f t="shared" si="0"/>
        <v>0.43094579515647402</v>
      </c>
      <c r="C10" s="34">
        <v>0.43094579515647402</v>
      </c>
      <c r="D10" s="34">
        <v>0</v>
      </c>
      <c r="E10" s="34">
        <v>0</v>
      </c>
      <c r="F10" s="29">
        <f t="shared" si="1"/>
        <v>0.36081676937669838</v>
      </c>
      <c r="G10" s="33">
        <v>0.48415758018996907</v>
      </c>
      <c r="H10" s="33">
        <v>0.16233602672515596</v>
      </c>
      <c r="S10" s="35"/>
      <c r="T10" s="35"/>
    </row>
    <row r="11" spans="1:20" ht="15">
      <c r="A11" s="35" t="s">
        <v>0</v>
      </c>
      <c r="B11" s="34">
        <f t="shared" si="0"/>
        <v>0.41977482452487414</v>
      </c>
      <c r="C11" s="34">
        <v>0.41977482452487414</v>
      </c>
      <c r="D11" s="34">
        <v>0</v>
      </c>
      <c r="E11" s="34">
        <v>0</v>
      </c>
      <c r="F11" s="37">
        <f t="shared" si="1"/>
        <v>0.36081676937669838</v>
      </c>
      <c r="G11" s="33">
        <v>0.48210280844721259</v>
      </c>
      <c r="H11" s="33">
        <v>0.25723407405999843</v>
      </c>
    </row>
    <row r="12" spans="1:20" ht="15">
      <c r="A12" s="36" t="s">
        <v>45</v>
      </c>
      <c r="B12" s="34">
        <f t="shared" si="0"/>
        <v>0.41884260770852871</v>
      </c>
      <c r="C12" s="34">
        <v>0.41884260770852871</v>
      </c>
      <c r="D12" s="34">
        <v>0</v>
      </c>
      <c r="E12" s="34">
        <v>0</v>
      </c>
      <c r="F12" s="29">
        <f t="shared" si="1"/>
        <v>0.36081676937669838</v>
      </c>
      <c r="G12" s="33">
        <v>0.43664443770241151</v>
      </c>
      <c r="H12" s="33">
        <v>0.23732566147384185</v>
      </c>
    </row>
    <row r="13" spans="1:20" ht="15">
      <c r="A13" s="35" t="s">
        <v>2</v>
      </c>
      <c r="B13" s="34">
        <f t="shared" si="0"/>
        <v>0.40428538787668511</v>
      </c>
      <c r="C13" s="34">
        <v>0.40428538787668511</v>
      </c>
      <c r="D13" s="34">
        <v>0</v>
      </c>
      <c r="E13" s="34">
        <v>0</v>
      </c>
      <c r="F13" s="29">
        <f t="shared" si="1"/>
        <v>0.36081676937669838</v>
      </c>
      <c r="G13" s="33">
        <v>0.44755015816737814</v>
      </c>
      <c r="H13" s="33">
        <v>0.24643753940062663</v>
      </c>
    </row>
    <row r="14" spans="1:20" ht="15">
      <c r="A14" s="31" t="s">
        <v>56</v>
      </c>
      <c r="B14" s="30">
        <f t="shared" si="0"/>
        <v>0.35986511293798373</v>
      </c>
      <c r="C14" s="30">
        <v>0.35986511293798373</v>
      </c>
      <c r="D14" s="30">
        <v>0</v>
      </c>
      <c r="E14" s="30">
        <v>0</v>
      </c>
      <c r="F14" s="29">
        <f t="shared" si="1"/>
        <v>0.36081676937669838</v>
      </c>
      <c r="G14" s="28">
        <v>0.38244922547378107</v>
      </c>
      <c r="H14" s="28">
        <v>0.27383940346897767</v>
      </c>
    </row>
    <row r="15" spans="1:20" ht="15">
      <c r="A15" s="31" t="s">
        <v>25</v>
      </c>
      <c r="B15" s="30">
        <f t="shared" si="0"/>
        <v>0.31301581156556391</v>
      </c>
      <c r="C15" s="30">
        <v>0.31301581156556391</v>
      </c>
      <c r="D15" s="30">
        <v>0</v>
      </c>
      <c r="E15" s="30">
        <v>0</v>
      </c>
      <c r="F15" s="29">
        <f t="shared" si="1"/>
        <v>0.36081676937669838</v>
      </c>
      <c r="G15" s="28">
        <v>0.3159171001923794</v>
      </c>
      <c r="H15" s="28">
        <v>0.28343272646330486</v>
      </c>
    </row>
    <row r="16" spans="1:20" ht="15">
      <c r="A16" s="32" t="s">
        <v>27</v>
      </c>
      <c r="B16" s="30">
        <f t="shared" si="0"/>
        <v>0.29546351380205693</v>
      </c>
      <c r="C16" s="30">
        <v>0.29546351380205693</v>
      </c>
      <c r="D16" s="30">
        <v>0</v>
      </c>
      <c r="E16" s="30">
        <v>0</v>
      </c>
      <c r="F16" s="29">
        <f t="shared" si="1"/>
        <v>0.36081676937669838</v>
      </c>
      <c r="G16" s="28">
        <v>0.11438915202699569</v>
      </c>
      <c r="H16" s="28">
        <v>3.1934639833073937</v>
      </c>
    </row>
    <row r="17" spans="1:8" ht="15">
      <c r="A17" s="31" t="s">
        <v>54</v>
      </c>
      <c r="B17" s="30">
        <f t="shared" si="0"/>
        <v>0.23305888899623428</v>
      </c>
      <c r="C17" s="30">
        <v>0.23305888899623428</v>
      </c>
      <c r="D17" s="30">
        <v>0</v>
      </c>
      <c r="E17" s="30">
        <v>0</v>
      </c>
      <c r="F17" s="29">
        <f t="shared" si="1"/>
        <v>0.36081676937669838</v>
      </c>
      <c r="G17" s="28">
        <v>0.18400463874630477</v>
      </c>
      <c r="H17" s="28">
        <v>0.51265902111925798</v>
      </c>
    </row>
    <row r="18" spans="1:8" ht="16" thickBot="1">
      <c r="A18" s="27" t="s">
        <v>15</v>
      </c>
      <c r="B18" s="26">
        <f t="shared" si="0"/>
        <v>0.21535775015018682</v>
      </c>
      <c r="C18" s="26">
        <v>0.21535775015018682</v>
      </c>
      <c r="D18" s="26">
        <v>0</v>
      </c>
      <c r="E18" s="26">
        <v>0</v>
      </c>
      <c r="F18" s="25">
        <f t="shared" si="1"/>
        <v>0.36081676937669838</v>
      </c>
      <c r="G18" s="24">
        <v>0.2171009289647885</v>
      </c>
      <c r="H18" s="24">
        <v>0.2071972615008727</v>
      </c>
    </row>
    <row r="19" spans="1:8" ht="15" thickTop="1"/>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pane xSplit="1" ySplit="1" topLeftCell="B2" activePane="bottomRight" state="frozen"/>
      <selection pane="topRight"/>
      <selection pane="bottomLeft"/>
      <selection pane="bottomRight" activeCell="H1" sqref="H1:H10"/>
    </sheetView>
  </sheetViews>
  <sheetFormatPr baseColWidth="10" defaultColWidth="11" defaultRowHeight="14" x14ac:dyDescent="0"/>
  <cols>
    <col min="1" max="1" width="17.33203125" style="23" customWidth="1"/>
    <col min="2" max="16384" width="11" style="23"/>
  </cols>
  <sheetData>
    <row r="1" spans="1:18" s="40" customFormat="1" ht="70">
      <c r="B1" s="41" t="s">
        <v>23</v>
      </c>
      <c r="C1" s="41" t="s">
        <v>110</v>
      </c>
      <c r="D1" s="41" t="s">
        <v>104</v>
      </c>
      <c r="E1" s="41" t="s">
        <v>109</v>
      </c>
      <c r="F1" s="41" t="s">
        <v>107</v>
      </c>
      <c r="G1" s="41" t="s">
        <v>106</v>
      </c>
      <c r="L1" s="41" t="s">
        <v>23</v>
      </c>
      <c r="M1" s="41" t="s">
        <v>110</v>
      </c>
      <c r="N1" s="41" t="s">
        <v>104</v>
      </c>
      <c r="O1" s="41" t="s">
        <v>109</v>
      </c>
      <c r="P1" s="41" t="s">
        <v>108</v>
      </c>
      <c r="Q1" s="41" t="s">
        <v>107</v>
      </c>
      <c r="R1" s="41" t="s">
        <v>106</v>
      </c>
    </row>
    <row r="2" spans="1:18" s="40" customFormat="1" ht="15">
      <c r="A2" s="35" t="s">
        <v>14</v>
      </c>
      <c r="B2" s="34">
        <f t="shared" ref="B2:B9" si="0">C2+D2+E2</f>
        <v>0.45220474547375394</v>
      </c>
      <c r="C2" s="34">
        <v>0.45220474547375394</v>
      </c>
      <c r="D2" s="34">
        <v>0</v>
      </c>
      <c r="E2" s="34">
        <v>0</v>
      </c>
      <c r="F2" s="33">
        <v>0.51589201053413136</v>
      </c>
      <c r="G2" s="33">
        <v>0.18304850872360104</v>
      </c>
      <c r="K2" s="35" t="str">
        <f>DataF3!A2</f>
        <v>Luxembourg</v>
      </c>
      <c r="L2" s="38">
        <f>DataF3!B2</f>
        <v>2.5760594544648772</v>
      </c>
      <c r="M2" s="38">
        <f>DataF3!C2</f>
        <v>1.1028799246634562</v>
      </c>
      <c r="N2" s="38">
        <f>DataF3!D2</f>
        <v>1.1684081444524146</v>
      </c>
      <c r="O2" s="38">
        <f>DataF3!E2</f>
        <v>0.30477138534900672</v>
      </c>
      <c r="P2" s="38">
        <f>DataF3!F2</f>
        <v>0.36081676937669838</v>
      </c>
      <c r="Q2" s="38">
        <f>DataF3!G2</f>
        <v>0.40461450275815142</v>
      </c>
      <c r="R2" s="38">
        <f>DataF3!H2</f>
        <v>4.6076539817790847</v>
      </c>
    </row>
    <row r="3" spans="1:18" ht="15">
      <c r="A3" s="31" t="s">
        <v>11</v>
      </c>
      <c r="B3" s="30">
        <f t="shared" si="0"/>
        <v>0.43094579515647402</v>
      </c>
      <c r="C3" s="30">
        <v>0.43094579515647402</v>
      </c>
      <c r="D3" s="30">
        <v>0</v>
      </c>
      <c r="E3" s="30">
        <v>0</v>
      </c>
      <c r="F3" s="28">
        <v>0.48415758018996907</v>
      </c>
      <c r="G3" s="28">
        <v>0.16233602672515596</v>
      </c>
      <c r="K3" s="35" t="str">
        <f>DataF3!A3</f>
        <v>Ireland</v>
      </c>
      <c r="L3" s="38">
        <f>DataF3!B3</f>
        <v>2.4170053053193823</v>
      </c>
      <c r="M3" s="38">
        <f>DataF3!C3</f>
        <v>1.6221937040390999</v>
      </c>
      <c r="N3" s="38">
        <f>DataF3!D3</f>
        <v>0.79481160128028239</v>
      </c>
      <c r="O3" s="38">
        <f>DataF3!E3</f>
        <v>0</v>
      </c>
      <c r="P3" s="38">
        <f>DataF3!F3</f>
        <v>0.36081676937669838</v>
      </c>
      <c r="Q3" s="38">
        <f>DataF3!G3</f>
        <v>0.68416351867003244</v>
      </c>
      <c r="R3" s="38">
        <f>DataF3!H3</f>
        <v>7.9996490577609283</v>
      </c>
    </row>
    <row r="4" spans="1:18" ht="15">
      <c r="A4" s="35" t="s">
        <v>0</v>
      </c>
      <c r="B4" s="34">
        <f t="shared" si="0"/>
        <v>0.41977482452487414</v>
      </c>
      <c r="C4" s="34">
        <v>0.41977482452487414</v>
      </c>
      <c r="D4" s="34">
        <v>0</v>
      </c>
      <c r="E4" s="34">
        <v>0</v>
      </c>
      <c r="F4" s="33">
        <v>0.48210280844721259</v>
      </c>
      <c r="G4" s="33">
        <v>0.25723407405999843</v>
      </c>
      <c r="K4" s="35" t="str">
        <f>DataF3!A4</f>
        <v>Puerto Rico</v>
      </c>
      <c r="L4" s="38">
        <f>DataF3!B4</f>
        <v>2.2852999866399926</v>
      </c>
      <c r="M4" s="38">
        <f>DataF3!C4</f>
        <v>2.2852999866399926</v>
      </c>
      <c r="N4" s="38">
        <f>DataF3!D4</f>
        <v>0</v>
      </c>
      <c r="O4" s="38">
        <f>DataF3!E4</f>
        <v>0</v>
      </c>
      <c r="P4" s="38">
        <f>DataF3!F4</f>
        <v>0.36081676937669838</v>
      </c>
      <c r="Q4" s="38">
        <f>DataF3!G4</f>
        <v>0.47996308817683037</v>
      </c>
      <c r="R4" s="38">
        <f>DataF3!H4</f>
        <v>16.745534629218685</v>
      </c>
    </row>
    <row r="5" spans="1:18" ht="15">
      <c r="A5" s="35" t="s">
        <v>2</v>
      </c>
      <c r="B5" s="34">
        <f t="shared" si="0"/>
        <v>0.40428538787668511</v>
      </c>
      <c r="C5" s="34">
        <v>0.40428538787668511</v>
      </c>
      <c r="D5" s="34">
        <v>0</v>
      </c>
      <c r="E5" s="34">
        <v>0</v>
      </c>
      <c r="F5" s="33">
        <v>0.44755015816737814</v>
      </c>
      <c r="G5" s="33">
        <v>0.24643753940062663</v>
      </c>
      <c r="K5" s="35" t="str">
        <f>DataF3!A5</f>
        <v>Singapore</v>
      </c>
      <c r="L5" s="38">
        <f>DataF3!B5</f>
        <v>0.97482127044710287</v>
      </c>
      <c r="M5" s="38">
        <f>DataF3!C5</f>
        <v>0.62387923338851881</v>
      </c>
      <c r="N5" s="38">
        <f>DataF3!D5</f>
        <v>0.15643459965113188</v>
      </c>
      <c r="O5" s="38">
        <f>DataF3!E5</f>
        <v>0.1945074374074523</v>
      </c>
      <c r="P5" s="38">
        <f>DataF3!F5</f>
        <v>0.36081676937669838</v>
      </c>
      <c r="Q5" s="38">
        <f>DataF3!G5</f>
        <v>0.47996308817683037</v>
      </c>
      <c r="R5" s="38">
        <f>DataF3!H5</f>
        <v>2.1814755318098822</v>
      </c>
    </row>
    <row r="6" spans="1:18" ht="15">
      <c r="A6" s="40" t="s">
        <v>45</v>
      </c>
      <c r="B6" s="34">
        <f t="shared" si="0"/>
        <v>0.41884260770852871</v>
      </c>
      <c r="C6" s="34">
        <v>0.41884260770852871</v>
      </c>
      <c r="D6" s="34">
        <v>0</v>
      </c>
      <c r="E6" s="34">
        <v>0</v>
      </c>
      <c r="F6" s="33">
        <v>0.43664443770241151</v>
      </c>
      <c r="G6" s="33">
        <v>0.23732566147384185</v>
      </c>
      <c r="K6" s="35" t="str">
        <f>DataF3!A6</f>
        <v>Hong Kong</v>
      </c>
      <c r="L6" s="38">
        <f>DataF3!B6</f>
        <v>0.89230249376021953</v>
      </c>
      <c r="M6" s="38">
        <f>DataF3!C6</f>
        <v>0.63150559253260896</v>
      </c>
      <c r="N6" s="38">
        <f>DataF3!D6</f>
        <v>0</v>
      </c>
      <c r="O6" s="38">
        <f>DataF3!E6</f>
        <v>0.26079690122761051</v>
      </c>
      <c r="P6" s="38">
        <f>DataF3!F6</f>
        <v>0.36081676937669838</v>
      </c>
      <c r="Q6" s="38">
        <f>DataF3!G6</f>
        <v>0.47996308817683037</v>
      </c>
      <c r="R6" s="38">
        <f>DataF3!H6</f>
        <v>2.1348906384735855</v>
      </c>
    </row>
    <row r="7" spans="1:18" ht="15">
      <c r="A7" s="31" t="s">
        <v>56</v>
      </c>
      <c r="B7" s="30">
        <f t="shared" si="0"/>
        <v>0.35986511293798373</v>
      </c>
      <c r="C7" s="30">
        <v>0.35986511293798373</v>
      </c>
      <c r="D7" s="30">
        <v>0</v>
      </c>
      <c r="E7" s="30">
        <v>0</v>
      </c>
      <c r="F7" s="28">
        <v>0.38244922547378107</v>
      </c>
      <c r="G7" s="28">
        <v>0.27383940346897767</v>
      </c>
      <c r="K7" s="35" t="str">
        <f>DataF3!A7</f>
        <v>Netherlands</v>
      </c>
      <c r="L7" s="38">
        <f>DataF3!B7</f>
        <v>0.61488639096018938</v>
      </c>
      <c r="M7" s="38">
        <f>DataF3!C7</f>
        <v>0.48955537292127899</v>
      </c>
      <c r="N7" s="38">
        <f>DataF3!D7</f>
        <v>8.7982667359788116E-2</v>
      </c>
      <c r="O7" s="38">
        <f>DataF3!E7</f>
        <v>3.7348350679122254E-2</v>
      </c>
      <c r="P7" s="38">
        <f>DataF3!F7</f>
        <v>0.36081676937669838</v>
      </c>
      <c r="Q7" s="38">
        <f>DataF3!G7</f>
        <v>0.41153378760859277</v>
      </c>
      <c r="R7" s="38">
        <f>DataF3!H7</f>
        <v>1.1495705968665206</v>
      </c>
    </row>
    <row r="8" spans="1:18" ht="15">
      <c r="A8" s="31" t="s">
        <v>25</v>
      </c>
      <c r="B8" s="30">
        <f t="shared" si="0"/>
        <v>0.31301581156556391</v>
      </c>
      <c r="C8" s="30">
        <v>0.31301581156556391</v>
      </c>
      <c r="D8" s="30">
        <v>0</v>
      </c>
      <c r="E8" s="30">
        <v>0</v>
      </c>
      <c r="F8" s="28">
        <v>0.3159171001923794</v>
      </c>
      <c r="G8" s="28">
        <v>0.28343272646330486</v>
      </c>
      <c r="K8" s="35" t="str">
        <f>DataF3!A8</f>
        <v>Belgium</v>
      </c>
      <c r="L8" s="38">
        <f>DataF3!B8</f>
        <v>0.48185631506037491</v>
      </c>
      <c r="M8" s="38">
        <f>DataF3!C8</f>
        <v>0.46042895713758619</v>
      </c>
      <c r="N8" s="38">
        <f>DataF3!D8</f>
        <v>2.1427357922788704E-2</v>
      </c>
      <c r="O8" s="38">
        <f>DataF3!E8</f>
        <v>0</v>
      </c>
      <c r="P8" s="38">
        <f>DataF3!F8</f>
        <v>0.36081676937669838</v>
      </c>
      <c r="Q8" s="38">
        <f>DataF3!G8</f>
        <v>0.4031489417707429</v>
      </c>
      <c r="R8" s="38">
        <f>DataF3!H8</f>
        <v>0.67980103327038299</v>
      </c>
    </row>
    <row r="9" spans="1:18" ht="16" thickBot="1">
      <c r="A9" s="27" t="s">
        <v>15</v>
      </c>
      <c r="B9" s="26">
        <f t="shared" si="0"/>
        <v>0.21535775015018682</v>
      </c>
      <c r="C9" s="26">
        <v>0.21535775015018682</v>
      </c>
      <c r="D9" s="26">
        <v>0</v>
      </c>
      <c r="E9" s="26">
        <v>0</v>
      </c>
      <c r="F9" s="24">
        <v>0.2171009289647885</v>
      </c>
      <c r="G9" s="24">
        <v>0.2071972615008727</v>
      </c>
      <c r="K9" s="35" t="str">
        <f>DataF3!A9</f>
        <v>Germany</v>
      </c>
      <c r="L9" s="38">
        <f>DataF3!B9</f>
        <v>0.45220474547375394</v>
      </c>
      <c r="M9" s="38">
        <f>DataF3!C9</f>
        <v>0.45220474547375394</v>
      </c>
      <c r="N9" s="38">
        <f>DataF3!D9</f>
        <v>0</v>
      </c>
      <c r="O9" s="38">
        <f>DataF3!E9</f>
        <v>0</v>
      </c>
      <c r="P9" s="38">
        <f>DataF3!F9</f>
        <v>0.36081676937669838</v>
      </c>
      <c r="Q9" s="38">
        <f>DataF3!G9</f>
        <v>0.51589201053413136</v>
      </c>
      <c r="R9" s="38">
        <f>DataF3!H9</f>
        <v>0.18304850872360104</v>
      </c>
    </row>
    <row r="10" spans="1:18" ht="15" thickTop="1">
      <c r="K10" s="35" t="str">
        <f>DataF3!A16</f>
        <v>Switzerland</v>
      </c>
      <c r="L10" s="38">
        <f>DataF3!B16</f>
        <v>0.29546351380205693</v>
      </c>
      <c r="M10" s="38">
        <f>DataF3!C16</f>
        <v>0.29546351380205693</v>
      </c>
      <c r="N10" s="38">
        <f>DataF3!D16</f>
        <v>0</v>
      </c>
      <c r="O10" s="38">
        <f>DataF3!E16</f>
        <v>0</v>
      </c>
      <c r="P10" s="38">
        <f>DataF3!F16</f>
        <v>0.36081676937669838</v>
      </c>
      <c r="Q10" s="38">
        <f>DataF3!G16</f>
        <v>0.11438915202699569</v>
      </c>
      <c r="R10" s="38">
        <f>DataF3!H16</f>
        <v>3.1934639833073937</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pane xSplit="2" ySplit="1" topLeftCell="C2" activePane="bottomRight" state="frozen"/>
      <selection pane="topRight"/>
      <selection pane="bottomLeft"/>
      <selection pane="bottomRight" activeCell="A11" sqref="A11"/>
    </sheetView>
  </sheetViews>
  <sheetFormatPr baseColWidth="10" defaultColWidth="11" defaultRowHeight="14" x14ac:dyDescent="0"/>
  <cols>
    <col min="1" max="1" width="11" style="23" customWidth="1"/>
    <col min="2" max="2" width="17.33203125" style="23" customWidth="1"/>
    <col min="3" max="16384" width="11" style="23"/>
  </cols>
  <sheetData>
    <row r="1" spans="1:15" s="40" customFormat="1" ht="70">
      <c r="C1" s="41" t="s">
        <v>23</v>
      </c>
      <c r="D1" s="41" t="s">
        <v>110</v>
      </c>
      <c r="E1" s="41" t="s">
        <v>104</v>
      </c>
      <c r="F1" s="41" t="s">
        <v>109</v>
      </c>
      <c r="G1" s="41" t="s">
        <v>107</v>
      </c>
      <c r="H1" s="41" t="s">
        <v>106</v>
      </c>
      <c r="I1" s="41" t="s">
        <v>108</v>
      </c>
      <c r="J1" s="41"/>
      <c r="K1" s="41"/>
      <c r="L1" s="41"/>
      <c r="M1" s="41"/>
      <c r="N1" s="41"/>
      <c r="O1" s="41"/>
    </row>
    <row r="2" spans="1:15" s="40" customFormat="1">
      <c r="A2" s="40" t="str">
        <f>+B2</f>
        <v>Puerto Rico</v>
      </c>
      <c r="B2" s="35" t="str">
        <f>DataF3!A4</f>
        <v>Puerto Rico</v>
      </c>
      <c r="C2" s="38">
        <f>DataF3!B4</f>
        <v>2.2852999866399926</v>
      </c>
      <c r="D2" s="38">
        <f>DataF3!C4</f>
        <v>2.2852999866399926</v>
      </c>
      <c r="E2" s="38">
        <f>DataF3!D4</f>
        <v>0</v>
      </c>
      <c r="F2" s="38">
        <f>DataF3!E4</f>
        <v>0</v>
      </c>
      <c r="G2" s="38">
        <f>DataF3!G4</f>
        <v>0.47996308817683037</v>
      </c>
      <c r="H2" s="38">
        <f>DataF3!H4</f>
        <v>16.745534629218685</v>
      </c>
      <c r="I2" s="38">
        <f>DataF3!F$2</f>
        <v>0.36081676937669838</v>
      </c>
    </row>
    <row r="3" spans="1:15">
      <c r="A3" s="23" t="str">
        <f>B3</f>
        <v>Ireland</v>
      </c>
      <c r="B3" s="35" t="str">
        <f>DataF3!A3</f>
        <v>Ireland</v>
      </c>
      <c r="C3" s="38">
        <f>DataF3!B3</f>
        <v>2.4170053053193823</v>
      </c>
      <c r="D3" s="38">
        <f>DataF3!C3</f>
        <v>1.6221937040390999</v>
      </c>
      <c r="E3" s="38">
        <f>DataF3!D3</f>
        <v>0.79481160128028239</v>
      </c>
      <c r="F3" s="38">
        <f>DataF3!E3</f>
        <v>0</v>
      </c>
      <c r="G3" s="38">
        <f>DataF3!G3</f>
        <v>0.68416351867003244</v>
      </c>
      <c r="H3" s="38">
        <f>DataF3!H3</f>
        <v>7.9996490577609283</v>
      </c>
      <c r="I3" s="38">
        <f>DataF3!F$2</f>
        <v>0.36081676937669838</v>
      </c>
    </row>
    <row r="4" spans="1:15">
      <c r="A4" s="23" t="str">
        <f t="shared" ref="A4:A17" si="0">B4</f>
        <v>Luxembourg</v>
      </c>
      <c r="B4" s="35" t="str">
        <f>DataF3!A2</f>
        <v>Luxembourg</v>
      </c>
      <c r="C4" s="38">
        <f>DataF3!B2</f>
        <v>2.5760594544648772</v>
      </c>
      <c r="D4" s="38">
        <f>DataF3!C2</f>
        <v>1.1028799246634562</v>
      </c>
      <c r="E4" s="38">
        <f>DataF3!D2</f>
        <v>1.1684081444524146</v>
      </c>
      <c r="F4" s="38">
        <f>DataF3!E2</f>
        <v>0.30477138534900672</v>
      </c>
      <c r="G4" s="38">
        <f>DataF3!G2</f>
        <v>0.40461450275815142</v>
      </c>
      <c r="H4" s="38">
        <f>DataF3!H2</f>
        <v>4.6076539817790847</v>
      </c>
      <c r="I4" s="38">
        <f>DataF3!F$2</f>
        <v>0.36081676937669838</v>
      </c>
    </row>
    <row r="5" spans="1:15">
      <c r="A5" s="23" t="str">
        <f>B5</f>
        <v>Switzerland</v>
      </c>
      <c r="B5" s="23" t="s">
        <v>27</v>
      </c>
      <c r="C5" s="30">
        <f>+DataF3!B16</f>
        <v>0.29546351380205693</v>
      </c>
      <c r="D5" s="30">
        <f>+DataF3!C16</f>
        <v>0.29546351380205693</v>
      </c>
      <c r="E5" s="30">
        <f>+DataF3!D16</f>
        <v>0</v>
      </c>
      <c r="F5" s="30">
        <f>+DataF3!E16</f>
        <v>0</v>
      </c>
      <c r="G5" s="30">
        <f>+DataF3!G16</f>
        <v>0.11438915202699569</v>
      </c>
      <c r="H5" s="30">
        <f>+DataF3!H16</f>
        <v>3.1934639833073937</v>
      </c>
      <c r="I5" s="30"/>
    </row>
    <row r="6" spans="1:15">
      <c r="A6" s="23" t="str">
        <f>B6</f>
        <v>Singapore</v>
      </c>
      <c r="B6" s="35" t="str">
        <f>DataF3!A5</f>
        <v>Singapore</v>
      </c>
      <c r="C6" s="38">
        <f>DataF3!B5</f>
        <v>0.97482127044710287</v>
      </c>
      <c r="D6" s="38">
        <f>DataF3!C5</f>
        <v>0.62387923338851881</v>
      </c>
      <c r="E6" s="38">
        <f>DataF3!D5</f>
        <v>0.15643459965113188</v>
      </c>
      <c r="F6" s="38">
        <f>DataF3!E5</f>
        <v>0.1945074374074523</v>
      </c>
      <c r="G6" s="38">
        <f>DataF3!G5</f>
        <v>0.47996308817683037</v>
      </c>
      <c r="H6" s="38">
        <f>DataF3!H5</f>
        <v>2.1814755318098822</v>
      </c>
      <c r="I6" s="38">
        <f>DataF3!F$2</f>
        <v>0.36081676937669838</v>
      </c>
    </row>
    <row r="7" spans="1:15">
      <c r="A7" s="23" t="str">
        <f t="shared" si="0"/>
        <v>Hong Kong</v>
      </c>
      <c r="B7" s="35" t="str">
        <f>DataF3!A6</f>
        <v>Hong Kong</v>
      </c>
      <c r="C7" s="38">
        <f>DataF3!B6</f>
        <v>0.89230249376021953</v>
      </c>
      <c r="D7" s="38">
        <f>DataF3!C6</f>
        <v>0.63150559253260896</v>
      </c>
      <c r="E7" s="38">
        <f>DataF3!D6</f>
        <v>0</v>
      </c>
      <c r="F7" s="38">
        <f>DataF3!E6</f>
        <v>0.26079690122761051</v>
      </c>
      <c r="G7" s="38">
        <f>DataF3!G6</f>
        <v>0.47996308817683037</v>
      </c>
      <c r="H7" s="38">
        <f>DataF3!H6</f>
        <v>2.1348906384735855</v>
      </c>
      <c r="I7" s="38">
        <f>DataF3!F$2</f>
        <v>0.36081676937669838</v>
      </c>
    </row>
    <row r="8" spans="1:15">
      <c r="A8" s="23" t="str">
        <f t="shared" si="0"/>
        <v>Netherlands</v>
      </c>
      <c r="B8" s="35" t="str">
        <f>DataF3!A7</f>
        <v>Netherlands</v>
      </c>
      <c r="C8" s="38">
        <f>DataF3!B7</f>
        <v>0.61488639096018938</v>
      </c>
      <c r="D8" s="38">
        <f>DataF3!C7</f>
        <v>0.48955537292127899</v>
      </c>
      <c r="E8" s="38">
        <f>DataF3!D7</f>
        <v>8.7982667359788116E-2</v>
      </c>
      <c r="F8" s="38">
        <f>DataF3!E7</f>
        <v>3.7348350679122254E-2</v>
      </c>
      <c r="G8" s="38">
        <f>DataF3!G7</f>
        <v>0.41153378760859277</v>
      </c>
      <c r="H8" s="38">
        <f>DataF3!H7</f>
        <v>1.1495705968665206</v>
      </c>
      <c r="I8" s="38">
        <f>DataF3!F$2</f>
        <v>0.36081676937669838</v>
      </c>
    </row>
    <row r="9" spans="1:15">
      <c r="A9" s="23" t="str">
        <f t="shared" si="0"/>
        <v>Belgium</v>
      </c>
      <c r="B9" s="31" t="str">
        <f>DataF3!A8</f>
        <v>Belgium</v>
      </c>
      <c r="C9" s="173">
        <f>DataF3!B8</f>
        <v>0.48185631506037491</v>
      </c>
      <c r="D9" s="173">
        <f>DataF3!C8</f>
        <v>0.46042895713758619</v>
      </c>
      <c r="E9" s="173">
        <f>DataF3!D8</f>
        <v>2.1427357922788704E-2</v>
      </c>
      <c r="F9" s="173">
        <f>DataF3!E8</f>
        <v>0</v>
      </c>
      <c r="G9" s="173">
        <f>DataF3!G8</f>
        <v>0.4031489417707429</v>
      </c>
      <c r="H9" s="173">
        <f>DataF3!H8</f>
        <v>0.67980103327038299</v>
      </c>
      <c r="I9" s="38">
        <f>DataF3!F$2</f>
        <v>0.36081676937669838</v>
      </c>
    </row>
    <row r="10" spans="1:15" ht="15">
      <c r="A10" s="23" t="s">
        <v>74</v>
      </c>
      <c r="B10" s="31" t="s">
        <v>25</v>
      </c>
      <c r="C10" s="30">
        <f t="shared" ref="C10:C15" si="1">D10+E10+F10</f>
        <v>0.31301581156556391</v>
      </c>
      <c r="D10" s="30">
        <v>0.31301581156556391</v>
      </c>
      <c r="E10" s="30">
        <v>0</v>
      </c>
      <c r="F10" s="30">
        <v>0</v>
      </c>
      <c r="G10" s="28">
        <v>0.3159171001923794</v>
      </c>
      <c r="H10" s="28">
        <v>0.28343272646330486</v>
      </c>
      <c r="I10" s="38">
        <f>DataF3!F$2</f>
        <v>0.36081676937669838</v>
      </c>
    </row>
    <row r="11" spans="1:15" ht="15">
      <c r="A11" s="23" t="str">
        <f t="shared" si="0"/>
        <v>Australia</v>
      </c>
      <c r="B11" s="31" t="s">
        <v>56</v>
      </c>
      <c r="C11" s="30">
        <f t="shared" si="1"/>
        <v>0.35986511293798373</v>
      </c>
      <c r="D11" s="30">
        <v>0.35986511293798373</v>
      </c>
      <c r="E11" s="30">
        <v>0</v>
      </c>
      <c r="F11" s="30">
        <v>0</v>
      </c>
      <c r="G11" s="28">
        <v>0.38244922547378107</v>
      </c>
      <c r="H11" s="28">
        <v>0.27383940346897767</v>
      </c>
      <c r="I11" s="38">
        <f>DataF3!F$2</f>
        <v>0.36081676937669838</v>
      </c>
    </row>
    <row r="12" spans="1:15" ht="15">
      <c r="A12" s="23" t="s">
        <v>61</v>
      </c>
      <c r="B12" s="35" t="s">
        <v>0</v>
      </c>
      <c r="C12" s="34">
        <f t="shared" si="1"/>
        <v>0.41977482452487414</v>
      </c>
      <c r="D12" s="34">
        <v>0.41977482452487414</v>
      </c>
      <c r="E12" s="34">
        <v>0</v>
      </c>
      <c r="F12" s="34">
        <v>0</v>
      </c>
      <c r="G12" s="33">
        <v>0.48210280844721259</v>
      </c>
      <c r="H12" s="33">
        <v>0.25723407405999843</v>
      </c>
      <c r="I12" s="38">
        <f>DataF3!F$2</f>
        <v>0.36081676937669838</v>
      </c>
    </row>
    <row r="13" spans="1:15" ht="15">
      <c r="A13" s="23" t="str">
        <f t="shared" si="0"/>
        <v>Spain</v>
      </c>
      <c r="B13" s="35" t="s">
        <v>2</v>
      </c>
      <c r="C13" s="34">
        <f t="shared" si="1"/>
        <v>0.40428538787668511</v>
      </c>
      <c r="D13" s="34">
        <v>0.40428538787668511</v>
      </c>
      <c r="E13" s="34">
        <v>0</v>
      </c>
      <c r="F13" s="34">
        <v>0</v>
      </c>
      <c r="G13" s="33">
        <v>0.44755015816737814</v>
      </c>
      <c r="H13" s="33">
        <v>0.24643753940062663</v>
      </c>
      <c r="I13" s="38">
        <f>DataF3!F$2</f>
        <v>0.36081676937669838</v>
      </c>
    </row>
    <row r="14" spans="1:15" ht="15">
      <c r="A14" s="23" t="str">
        <f t="shared" si="0"/>
        <v>Japan</v>
      </c>
      <c r="B14" s="40" t="s">
        <v>45</v>
      </c>
      <c r="C14" s="34">
        <f t="shared" si="1"/>
        <v>0.41884260770852871</v>
      </c>
      <c r="D14" s="34">
        <v>0.41884260770852871</v>
      </c>
      <c r="E14" s="34">
        <v>0</v>
      </c>
      <c r="F14" s="34">
        <v>0</v>
      </c>
      <c r="G14" s="33">
        <v>0.43664443770241151</v>
      </c>
      <c r="H14" s="33">
        <v>0.23732566147384185</v>
      </c>
      <c r="I14" s="38">
        <f>DataF3!F$2</f>
        <v>0.36081676937669838</v>
      </c>
    </row>
    <row r="15" spans="1:15" ht="15">
      <c r="A15" s="23" t="str">
        <f t="shared" si="0"/>
        <v>France</v>
      </c>
      <c r="B15" s="31" t="s">
        <v>15</v>
      </c>
      <c r="C15" s="30">
        <f t="shared" si="1"/>
        <v>0.21535775015018682</v>
      </c>
      <c r="D15" s="30">
        <v>0.21535775015018682</v>
      </c>
      <c r="E15" s="30">
        <v>0</v>
      </c>
      <c r="F15" s="30">
        <v>0</v>
      </c>
      <c r="G15" s="28">
        <v>0.2171009289647885</v>
      </c>
      <c r="H15" s="28">
        <v>0.2071972615008727</v>
      </c>
      <c r="I15" s="38">
        <f>DataF3!F$2</f>
        <v>0.36081676937669838</v>
      </c>
    </row>
    <row r="16" spans="1:15">
      <c r="A16" s="23" t="str">
        <f t="shared" si="0"/>
        <v>Germany</v>
      </c>
      <c r="B16" s="35" t="str">
        <f>DataF3!A9</f>
        <v>Germany</v>
      </c>
      <c r="C16" s="38">
        <f>DataF3!B9</f>
        <v>0.45220474547375394</v>
      </c>
      <c r="D16" s="38">
        <f>DataF3!C9</f>
        <v>0.45220474547375394</v>
      </c>
      <c r="E16" s="38">
        <f>DataF3!D9</f>
        <v>0</v>
      </c>
      <c r="F16" s="38">
        <f>DataF3!E9</f>
        <v>0</v>
      </c>
      <c r="G16" s="38">
        <f>DataF3!G9</f>
        <v>0.51589201053413136</v>
      </c>
      <c r="H16" s="38">
        <f>DataF3!H9</f>
        <v>0.18304850872360104</v>
      </c>
      <c r="I16" s="38">
        <f>DataF3!F$2</f>
        <v>0.36081676937669838</v>
      </c>
    </row>
    <row r="17" spans="1:9" ht="15">
      <c r="A17" s="23" t="str">
        <f t="shared" si="0"/>
        <v>Italy</v>
      </c>
      <c r="B17" s="31" t="s">
        <v>11</v>
      </c>
      <c r="C17" s="30">
        <f>D17+E17+F17</f>
        <v>0.43094579515647402</v>
      </c>
      <c r="D17" s="30">
        <v>0.43094579515647402</v>
      </c>
      <c r="E17" s="30">
        <v>0</v>
      </c>
      <c r="F17" s="30">
        <v>0</v>
      </c>
      <c r="G17" s="28">
        <v>0.48415758018996907</v>
      </c>
      <c r="H17" s="28">
        <v>0.16233602672515596</v>
      </c>
      <c r="I17" s="38">
        <f>DataF3!F$2</f>
        <v>0.36081676937669838</v>
      </c>
    </row>
  </sheetData>
  <sortState ref="B2:I16">
    <sortCondition descending="1" ref="H2:H16"/>
  </sortState>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xSplit="1" ySplit="4" topLeftCell="B41" activePane="bottomRight" state="frozen"/>
      <selection pane="topRight"/>
      <selection pane="bottomLeft"/>
      <selection pane="bottomRight" activeCell="D16" sqref="D16"/>
    </sheetView>
  </sheetViews>
  <sheetFormatPr baseColWidth="10" defaultColWidth="11" defaultRowHeight="15" x14ac:dyDescent="0"/>
  <cols>
    <col min="1" max="16384" width="11" style="20"/>
  </cols>
  <sheetData>
    <row r="1" spans="1:16">
      <c r="B1" s="55" t="s">
        <v>25</v>
      </c>
      <c r="J1" s="55" t="s">
        <v>12</v>
      </c>
    </row>
    <row r="2" spans="1:16">
      <c r="B2" s="54" t="s">
        <v>124</v>
      </c>
    </row>
    <row r="3" spans="1:16" s="50" customFormat="1" ht="120">
      <c r="B3" s="53" t="s">
        <v>123</v>
      </c>
      <c r="C3" s="53" t="s">
        <v>122</v>
      </c>
      <c r="D3" s="53" t="s">
        <v>121</v>
      </c>
      <c r="E3" s="53" t="s">
        <v>120</v>
      </c>
      <c r="J3" s="53" t="s">
        <v>119</v>
      </c>
      <c r="K3" s="53" t="s">
        <v>69</v>
      </c>
      <c r="L3" s="53" t="s">
        <v>67</v>
      </c>
      <c r="M3" s="53" t="s">
        <v>118</v>
      </c>
      <c r="N3" s="53" t="s">
        <v>117</v>
      </c>
      <c r="O3" s="53" t="s">
        <v>116</v>
      </c>
      <c r="P3" s="53" t="s">
        <v>115</v>
      </c>
    </row>
    <row r="4" spans="1:16" s="50" customFormat="1" ht="30">
      <c r="A4" s="50" t="s">
        <v>114</v>
      </c>
      <c r="B4" s="53" t="s">
        <v>113</v>
      </c>
      <c r="C4" s="53" t="s">
        <v>113</v>
      </c>
      <c r="D4" s="53" t="s">
        <v>113</v>
      </c>
      <c r="E4" s="53" t="s">
        <v>112</v>
      </c>
      <c r="J4" s="52" t="s">
        <v>111</v>
      </c>
      <c r="K4" s="52" t="s">
        <v>111</v>
      </c>
      <c r="L4" s="52" t="s">
        <v>111</v>
      </c>
      <c r="M4" s="52"/>
      <c r="N4" s="52"/>
      <c r="O4" s="51" t="s">
        <v>111</v>
      </c>
      <c r="P4" s="51"/>
    </row>
    <row r="5" spans="1:16">
      <c r="A5" s="44">
        <v>1966</v>
      </c>
      <c r="B5" s="43">
        <v>0.49508107208624114</v>
      </c>
      <c r="C5" s="43">
        <v>0.46805143163842577</v>
      </c>
      <c r="D5" s="43"/>
      <c r="E5" s="43">
        <v>0.32741709643431482</v>
      </c>
      <c r="J5" s="47"/>
      <c r="K5" s="47"/>
      <c r="L5" s="47"/>
      <c r="M5" s="47"/>
      <c r="N5" s="47"/>
      <c r="O5" s="43"/>
      <c r="P5" s="49"/>
    </row>
    <row r="6" spans="1:16">
      <c r="A6" s="44">
        <v>1967</v>
      </c>
      <c r="B6" s="43">
        <v>0.53200743198181777</v>
      </c>
      <c r="C6" s="43">
        <v>0.42827520463822283</v>
      </c>
      <c r="D6" s="43"/>
      <c r="E6" s="43">
        <v>0.29903572424436964</v>
      </c>
      <c r="J6" s="47"/>
      <c r="K6" s="47"/>
      <c r="L6" s="47"/>
      <c r="M6" s="47"/>
      <c r="N6" s="47"/>
      <c r="O6" s="43"/>
      <c r="P6" s="49"/>
    </row>
    <row r="7" spans="1:16">
      <c r="A7" s="44">
        <v>1968</v>
      </c>
      <c r="B7" s="43">
        <v>0.52756150735356955</v>
      </c>
      <c r="C7" s="43">
        <v>0.41835536094219122</v>
      </c>
      <c r="D7" s="43"/>
      <c r="E7" s="43">
        <v>0.29344586133305117</v>
      </c>
      <c r="J7" s="47"/>
      <c r="K7" s="47"/>
      <c r="L7" s="47"/>
      <c r="M7" s="47"/>
      <c r="N7" s="47"/>
      <c r="O7" s="43"/>
      <c r="P7" s="49"/>
    </row>
    <row r="8" spans="1:16">
      <c r="A8" s="44">
        <v>1969</v>
      </c>
      <c r="B8" s="43">
        <v>0.55569623825721859</v>
      </c>
      <c r="C8" s="43">
        <v>0.42954218923887788</v>
      </c>
      <c r="D8" s="43"/>
      <c r="E8" s="43">
        <v>0.25462440456320501</v>
      </c>
      <c r="J8" s="47"/>
      <c r="K8" s="47"/>
      <c r="L8" s="47"/>
      <c r="M8" s="47"/>
      <c r="N8" s="47"/>
      <c r="O8" s="43"/>
      <c r="P8" s="49"/>
    </row>
    <row r="9" spans="1:16">
      <c r="A9" s="44">
        <v>1970</v>
      </c>
      <c r="B9" s="43">
        <v>0.70531986712938965</v>
      </c>
      <c r="C9" s="43">
        <v>0.41652808858302864</v>
      </c>
      <c r="D9" s="43"/>
      <c r="E9" s="43">
        <v>0.2082585864676767</v>
      </c>
      <c r="J9" s="47">
        <v>330.70967610879853</v>
      </c>
      <c r="K9" s="47">
        <v>0</v>
      </c>
      <c r="L9" s="47">
        <v>1432.8675156800095</v>
      </c>
      <c r="M9" s="46">
        <v>0</v>
      </c>
      <c r="N9" s="46">
        <v>0</v>
      </c>
      <c r="O9" s="43">
        <f t="shared" ref="O9:O54" si="0">(J9-K9)/L9</f>
        <v>0.23080268935530338</v>
      </c>
      <c r="P9" s="45">
        <f t="shared" ref="P9:P54" si="1">O9-N9+M9</f>
        <v>0.23080268935530338</v>
      </c>
    </row>
    <row r="10" spans="1:16">
      <c r="A10" s="44">
        <v>1971</v>
      </c>
      <c r="B10" s="43">
        <v>0.82854223650412195</v>
      </c>
      <c r="C10" s="43">
        <v>0.46447188052526978</v>
      </c>
      <c r="D10" s="43"/>
      <c r="E10" s="43">
        <v>0.22816316850468396</v>
      </c>
      <c r="J10" s="47">
        <v>367.16048387002655</v>
      </c>
      <c r="K10" s="47">
        <v>0</v>
      </c>
      <c r="L10" s="47">
        <v>1684.1565755258182</v>
      </c>
      <c r="M10" s="46">
        <v>0</v>
      </c>
      <c r="N10" s="46">
        <v>0</v>
      </c>
      <c r="O10" s="43">
        <f t="shared" si="0"/>
        <v>0.21800852082615518</v>
      </c>
      <c r="P10" s="45">
        <f t="shared" si="1"/>
        <v>0.21800852082615518</v>
      </c>
    </row>
    <row r="11" spans="1:16">
      <c r="A11" s="44">
        <v>1972</v>
      </c>
      <c r="B11" s="43">
        <v>0.82830841553670187</v>
      </c>
      <c r="C11" s="43">
        <v>0.46609399049882427</v>
      </c>
      <c r="D11" s="43"/>
      <c r="E11" s="43">
        <v>0.23830446205438197</v>
      </c>
      <c r="J11" s="47">
        <v>541.08096697692952</v>
      </c>
      <c r="K11" s="47">
        <v>0</v>
      </c>
      <c r="L11" s="47">
        <v>2020.426136778116</v>
      </c>
      <c r="M11" s="46">
        <v>0</v>
      </c>
      <c r="N11" s="46">
        <v>0</v>
      </c>
      <c r="O11" s="43">
        <f t="shared" si="0"/>
        <v>0.26780536894051832</v>
      </c>
      <c r="P11" s="45">
        <f t="shared" si="1"/>
        <v>0.26780536894051832</v>
      </c>
    </row>
    <row r="12" spans="1:16">
      <c r="A12" s="44">
        <v>1973</v>
      </c>
      <c r="B12" s="43">
        <v>0.87708090175180697</v>
      </c>
      <c r="C12" s="43">
        <v>0.48640453645927767</v>
      </c>
      <c r="D12" s="43"/>
      <c r="E12" s="43">
        <v>0.23437452477265122</v>
      </c>
      <c r="J12" s="47">
        <v>756.88722008791922</v>
      </c>
      <c r="K12" s="47">
        <v>0</v>
      </c>
      <c r="L12" s="47">
        <v>2412.939458976618</v>
      </c>
      <c r="M12" s="46">
        <v>0</v>
      </c>
      <c r="N12" s="46">
        <v>0</v>
      </c>
      <c r="O12" s="43">
        <f t="shared" si="0"/>
        <v>0.31367849585788288</v>
      </c>
      <c r="P12" s="45">
        <f t="shared" si="1"/>
        <v>0.31367849585788288</v>
      </c>
    </row>
    <row r="13" spans="1:16">
      <c r="A13" s="44">
        <v>1974</v>
      </c>
      <c r="B13" s="43">
        <v>0.87868433595720852</v>
      </c>
      <c r="C13" s="43">
        <v>0.41821092668379206</v>
      </c>
      <c r="D13" s="43"/>
      <c r="E13" s="43">
        <v>0.19836070684990348</v>
      </c>
      <c r="J13" s="47">
        <v>861.14765198936857</v>
      </c>
      <c r="K13" s="47">
        <v>0</v>
      </c>
      <c r="L13" s="47">
        <v>2787.7824641499838</v>
      </c>
      <c r="M13" s="46">
        <v>0</v>
      </c>
      <c r="N13" s="46">
        <v>0</v>
      </c>
      <c r="O13" s="43">
        <f t="shared" si="0"/>
        <v>0.30890059144264653</v>
      </c>
      <c r="P13" s="45">
        <f t="shared" si="1"/>
        <v>0.30890059144264653</v>
      </c>
    </row>
    <row r="14" spans="1:16">
      <c r="A14" s="44">
        <v>1975</v>
      </c>
      <c r="B14" s="43">
        <v>0.84854753193002774</v>
      </c>
      <c r="C14" s="43">
        <v>0.41190561487176824</v>
      </c>
      <c r="D14" s="43"/>
      <c r="E14" s="43">
        <v>0.21795211387638055</v>
      </c>
      <c r="J14" s="47">
        <v>867.33717892542529</v>
      </c>
      <c r="K14" s="47">
        <v>0</v>
      </c>
      <c r="L14" s="47">
        <v>3373.9960703316506</v>
      </c>
      <c r="M14" s="46">
        <v>0</v>
      </c>
      <c r="N14" s="46">
        <v>0</v>
      </c>
      <c r="O14" s="43">
        <f t="shared" si="0"/>
        <v>0.25706526055324347</v>
      </c>
      <c r="P14" s="45">
        <f t="shared" si="1"/>
        <v>0.25706526055324347</v>
      </c>
    </row>
    <row r="15" spans="1:16">
      <c r="A15" s="44">
        <v>1976</v>
      </c>
      <c r="B15" s="43">
        <v>0.90233023375604315</v>
      </c>
      <c r="C15" s="43">
        <v>0.43673327051951683</v>
      </c>
      <c r="D15" s="43"/>
      <c r="E15" s="43">
        <v>0.24220473179004845</v>
      </c>
      <c r="J15" s="47">
        <v>1019.7928266857671</v>
      </c>
      <c r="K15" s="47">
        <v>0</v>
      </c>
      <c r="L15" s="47">
        <v>3259.3482232312863</v>
      </c>
      <c r="M15" s="46">
        <v>0</v>
      </c>
      <c r="N15" s="46">
        <v>0</v>
      </c>
      <c r="O15" s="43">
        <f t="shared" si="0"/>
        <v>0.31288244054964903</v>
      </c>
      <c r="P15" s="45">
        <f t="shared" si="1"/>
        <v>0.31288244054964903</v>
      </c>
    </row>
    <row r="16" spans="1:16">
      <c r="A16" s="44">
        <v>1977</v>
      </c>
      <c r="B16" s="43">
        <v>0.86798182350929043</v>
      </c>
      <c r="C16" s="43">
        <v>0.36275276616030661</v>
      </c>
      <c r="D16" s="43">
        <v>0.35535913955593418</v>
      </c>
      <c r="E16" s="43">
        <v>0.24967862992681059</v>
      </c>
      <c r="J16" s="47">
        <v>1357.9529498480026</v>
      </c>
      <c r="K16" s="47">
        <v>0</v>
      </c>
      <c r="L16" s="47">
        <v>3738.73981343169</v>
      </c>
      <c r="M16" s="46">
        <v>0</v>
      </c>
      <c r="N16" s="46">
        <v>0</v>
      </c>
      <c r="O16" s="43">
        <f t="shared" si="0"/>
        <v>0.36321140748266556</v>
      </c>
      <c r="P16" s="45">
        <f t="shared" si="1"/>
        <v>0.36321140748266556</v>
      </c>
    </row>
    <row r="17" spans="1:16">
      <c r="A17" s="44">
        <v>1978</v>
      </c>
      <c r="B17" s="43">
        <v>1.073396363296081</v>
      </c>
      <c r="C17" s="43">
        <v>0.40671731368300224</v>
      </c>
      <c r="D17" s="43">
        <v>0.31558307533539731</v>
      </c>
      <c r="E17" s="43">
        <v>0.25274726516845297</v>
      </c>
      <c r="J17" s="47">
        <v>1809.2202161126124</v>
      </c>
      <c r="K17" s="47">
        <v>0</v>
      </c>
      <c r="L17" s="47">
        <v>4907.853284108166</v>
      </c>
      <c r="M17" s="46">
        <v>0</v>
      </c>
      <c r="N17" s="46">
        <v>0</v>
      </c>
      <c r="O17" s="43">
        <f t="shared" si="0"/>
        <v>0.36863779566739352</v>
      </c>
      <c r="P17" s="45">
        <f t="shared" si="1"/>
        <v>0.36863779566739352</v>
      </c>
    </row>
    <row r="18" spans="1:16">
      <c r="A18" s="44">
        <v>1979</v>
      </c>
      <c r="B18" s="43">
        <v>1.3794073215162261</v>
      </c>
      <c r="C18" s="43">
        <v>0.42404441231649603</v>
      </c>
      <c r="D18" s="43">
        <v>0.34750362936312568</v>
      </c>
      <c r="E18" s="43">
        <v>0.22419634403613548</v>
      </c>
      <c r="J18" s="47">
        <v>2261.2585427389572</v>
      </c>
      <c r="K18" s="47">
        <v>0</v>
      </c>
      <c r="L18" s="47">
        <v>6503.0804132208141</v>
      </c>
      <c r="M18" s="46">
        <v>0</v>
      </c>
      <c r="N18" s="46">
        <v>0</v>
      </c>
      <c r="O18" s="43">
        <f t="shared" si="0"/>
        <v>0.34772114122128961</v>
      </c>
      <c r="P18" s="45">
        <f t="shared" si="1"/>
        <v>0.34772114122128961</v>
      </c>
    </row>
    <row r="19" spans="1:16">
      <c r="A19" s="44">
        <v>1980</v>
      </c>
      <c r="B19" s="43">
        <v>1.4867445331852969</v>
      </c>
      <c r="C19" s="43">
        <v>0.4005053411707698</v>
      </c>
      <c r="D19" s="43">
        <v>0.33797787599570506</v>
      </c>
      <c r="E19" s="43">
        <v>0.18160749108668492</v>
      </c>
      <c r="J19" s="47">
        <v>2206.9506344503466</v>
      </c>
      <c r="K19" s="47">
        <v>0</v>
      </c>
      <c r="L19" s="47">
        <v>8111.8021199112527</v>
      </c>
      <c r="M19" s="46">
        <v>0</v>
      </c>
      <c r="N19" s="46">
        <v>0</v>
      </c>
      <c r="O19" s="43">
        <f t="shared" si="0"/>
        <v>0.27206662611174393</v>
      </c>
      <c r="P19" s="45">
        <f t="shared" si="1"/>
        <v>0.27206662611174393</v>
      </c>
    </row>
    <row r="20" spans="1:16">
      <c r="A20" s="44">
        <v>1981</v>
      </c>
      <c r="B20" s="43">
        <v>1.2739406493878762</v>
      </c>
      <c r="C20" s="43">
        <v>0.31643750555456895</v>
      </c>
      <c r="D20" s="43">
        <v>0.27296616664841783</v>
      </c>
      <c r="E20" s="43">
        <v>0.19014621085627487</v>
      </c>
      <c r="J20" s="47">
        <v>2430.7778825249006</v>
      </c>
      <c r="K20" s="47">
        <v>0</v>
      </c>
      <c r="L20" s="47">
        <v>7529.3634719068932</v>
      </c>
      <c r="M20" s="48">
        <f t="shared" ref="M20:M38" si="2">M19+(M$39-M$19)/20</f>
        <v>2.5000000000000001E-3</v>
      </c>
      <c r="N20" s="48">
        <f t="shared" ref="N20:N38" si="3">N19+(N$39-N$19)/20</f>
        <v>2.5000000000000001E-3</v>
      </c>
      <c r="O20" s="43">
        <f t="shared" si="0"/>
        <v>0.3228397581806845</v>
      </c>
      <c r="P20" s="45">
        <f t="shared" si="1"/>
        <v>0.3228397581806845</v>
      </c>
    </row>
    <row r="21" spans="1:16">
      <c r="A21" s="44">
        <v>1982</v>
      </c>
      <c r="B21" s="43">
        <v>1.3347086801894943</v>
      </c>
      <c r="C21" s="43">
        <v>0.24426920698491125</v>
      </c>
      <c r="D21" s="43">
        <v>0.10862458731113894</v>
      </c>
      <c r="E21" s="43">
        <v>0.16775127557222333</v>
      </c>
      <c r="J21" s="47">
        <v>2401.8172146547372</v>
      </c>
      <c r="K21" s="47">
        <v>0</v>
      </c>
      <c r="L21" s="47">
        <v>7575.6182253438865</v>
      </c>
      <c r="M21" s="48">
        <f t="shared" si="2"/>
        <v>5.0000000000000001E-3</v>
      </c>
      <c r="N21" s="48">
        <f t="shared" si="3"/>
        <v>5.0000000000000001E-3</v>
      </c>
      <c r="O21" s="43">
        <f t="shared" si="0"/>
        <v>0.31704570415382954</v>
      </c>
      <c r="P21" s="45">
        <f t="shared" si="1"/>
        <v>0.31704570415382954</v>
      </c>
    </row>
    <row r="22" spans="1:16">
      <c r="A22" s="44">
        <v>1983</v>
      </c>
      <c r="B22" s="43">
        <v>1.4214327671020155</v>
      </c>
      <c r="C22" s="43">
        <v>0.31338656244658269</v>
      </c>
      <c r="D22" s="43">
        <v>0.14576316853024385</v>
      </c>
      <c r="E22" s="43">
        <v>0.19527044006563291</v>
      </c>
      <c r="J22" s="47">
        <v>2505.1037754253548</v>
      </c>
      <c r="K22" s="47">
        <v>0</v>
      </c>
      <c r="L22" s="47">
        <v>7263.2350919377468</v>
      </c>
      <c r="M22" s="48">
        <f t="shared" si="2"/>
        <v>7.4999999999999997E-3</v>
      </c>
      <c r="N22" s="48">
        <f t="shared" si="3"/>
        <v>7.4999999999999997E-3</v>
      </c>
      <c r="O22" s="43">
        <f t="shared" si="0"/>
        <v>0.34490192644404988</v>
      </c>
      <c r="P22" s="45">
        <f t="shared" si="1"/>
        <v>0.34490192644404988</v>
      </c>
    </row>
    <row r="23" spans="1:16">
      <c r="A23" s="44">
        <v>1984</v>
      </c>
      <c r="B23" s="43">
        <v>1.5513943546635445</v>
      </c>
      <c r="C23" s="43">
        <v>0.37819235253477734</v>
      </c>
      <c r="D23" s="43">
        <v>0.21569270726539538</v>
      </c>
      <c r="E23" s="43">
        <v>0.21865506784484687</v>
      </c>
      <c r="J23" s="47">
        <v>2783.4618598676898</v>
      </c>
      <c r="K23" s="47">
        <v>0</v>
      </c>
      <c r="L23" s="47">
        <v>6882.7996169261733</v>
      </c>
      <c r="M23" s="48">
        <f t="shared" si="2"/>
        <v>0.01</v>
      </c>
      <c r="N23" s="48">
        <f t="shared" si="3"/>
        <v>0.01</v>
      </c>
      <c r="O23" s="43">
        <f t="shared" si="0"/>
        <v>0.40440838245858612</v>
      </c>
      <c r="P23" s="45">
        <f t="shared" si="1"/>
        <v>0.40440838245858612</v>
      </c>
    </row>
    <row r="24" spans="1:16">
      <c r="A24" s="44">
        <v>1985</v>
      </c>
      <c r="B24" s="43">
        <v>1.6782389912274449</v>
      </c>
      <c r="C24" s="43">
        <v>0.37158685153177656</v>
      </c>
      <c r="D24" s="43">
        <v>0.16157281723443384</v>
      </c>
      <c r="E24" s="43">
        <v>0.21490274027789552</v>
      </c>
      <c r="J24" s="47">
        <v>3255.6914447109766</v>
      </c>
      <c r="K24" s="47">
        <v>0</v>
      </c>
      <c r="L24" s="47">
        <v>7206.2070881318223</v>
      </c>
      <c r="M24" s="48">
        <f t="shared" si="2"/>
        <v>1.2500000000000001E-2</v>
      </c>
      <c r="N24" s="48">
        <f t="shared" si="3"/>
        <v>1.2500000000000001E-2</v>
      </c>
      <c r="O24" s="43">
        <f t="shared" si="0"/>
        <v>0.45178988126401465</v>
      </c>
      <c r="P24" s="45">
        <f t="shared" si="1"/>
        <v>0.45178988126401465</v>
      </c>
    </row>
    <row r="25" spans="1:16">
      <c r="A25" s="44">
        <v>1986</v>
      </c>
      <c r="B25" s="43">
        <v>1.3720380659129294</v>
      </c>
      <c r="C25" s="43">
        <v>0.42063117756785584</v>
      </c>
      <c r="D25" s="43">
        <v>0.12353743698839199</v>
      </c>
      <c r="E25" s="43">
        <v>0.18231029858653452</v>
      </c>
      <c r="J25" s="47">
        <v>4479.3595716103036</v>
      </c>
      <c r="K25" s="47">
        <v>0</v>
      </c>
      <c r="L25" s="47">
        <v>9804.3840005133006</v>
      </c>
      <c r="M25" s="48">
        <f t="shared" si="2"/>
        <v>1.5000000000000001E-2</v>
      </c>
      <c r="N25" s="48">
        <f t="shared" si="3"/>
        <v>1.5000000000000001E-2</v>
      </c>
      <c r="O25" s="43">
        <f t="shared" si="0"/>
        <v>0.45687312648870038</v>
      </c>
      <c r="P25" s="45">
        <f t="shared" si="1"/>
        <v>0.45687312648870038</v>
      </c>
    </row>
    <row r="26" spans="1:16">
      <c r="A26" s="44">
        <v>1987</v>
      </c>
      <c r="B26" s="43">
        <v>1.6814539936788921</v>
      </c>
      <c r="C26" s="43">
        <v>0.48041606055249653</v>
      </c>
      <c r="D26" s="43">
        <v>0.14474684664979326</v>
      </c>
      <c r="E26" s="43">
        <v>0.18558160680652072</v>
      </c>
      <c r="J26" s="47">
        <v>5549.2825748382529</v>
      </c>
      <c r="K26" s="47">
        <v>0</v>
      </c>
      <c r="L26" s="47">
        <v>11401.360535540292</v>
      </c>
      <c r="M26" s="48">
        <f t="shared" si="2"/>
        <v>1.7500000000000002E-2</v>
      </c>
      <c r="N26" s="48">
        <f t="shared" si="3"/>
        <v>1.7500000000000002E-2</v>
      </c>
      <c r="O26" s="43">
        <f t="shared" si="0"/>
        <v>0.48672108539503189</v>
      </c>
      <c r="P26" s="45">
        <f t="shared" si="1"/>
        <v>0.48672108539503189</v>
      </c>
    </row>
    <row r="27" spans="1:16">
      <c r="A27" s="44">
        <v>1988</v>
      </c>
      <c r="B27" s="43">
        <v>1.4250738801717022</v>
      </c>
      <c r="C27" s="43">
        <v>0.55628659647632994</v>
      </c>
      <c r="D27" s="43">
        <v>0.15055887599907275</v>
      </c>
      <c r="E27" s="43">
        <v>0.19190095035281771</v>
      </c>
      <c r="J27" s="47">
        <v>6339.2903677095992</v>
      </c>
      <c r="K27" s="47">
        <v>0</v>
      </c>
      <c r="L27" s="47">
        <v>12420.311303428574</v>
      </c>
      <c r="M27" s="48">
        <f t="shared" si="2"/>
        <v>0.02</v>
      </c>
      <c r="N27" s="48">
        <f t="shared" si="3"/>
        <v>0.02</v>
      </c>
      <c r="O27" s="43">
        <f t="shared" si="0"/>
        <v>0.51039705952939074</v>
      </c>
      <c r="P27" s="45">
        <f t="shared" si="1"/>
        <v>0.51039705952939074</v>
      </c>
    </row>
    <row r="28" spans="1:16">
      <c r="A28" s="44">
        <v>1989</v>
      </c>
      <c r="B28" s="43">
        <v>1.5841551947528685</v>
      </c>
      <c r="C28" s="43">
        <v>0.5035577174540995</v>
      </c>
      <c r="D28" s="43">
        <v>8.6896795833403567E-2</v>
      </c>
      <c r="E28" s="43">
        <v>0.17965047477223955</v>
      </c>
      <c r="J28" s="47">
        <v>6884.1419148324549</v>
      </c>
      <c r="K28" s="47">
        <v>0</v>
      </c>
      <c r="L28" s="47">
        <v>12342.369572362617</v>
      </c>
      <c r="M28" s="48">
        <f t="shared" si="2"/>
        <v>2.2499999999999999E-2</v>
      </c>
      <c r="N28" s="48">
        <f t="shared" si="3"/>
        <v>2.2499999999999999E-2</v>
      </c>
      <c r="O28" s="43">
        <f t="shared" si="0"/>
        <v>0.55776501217785768</v>
      </c>
      <c r="P28" s="45">
        <f t="shared" si="1"/>
        <v>0.55776501217785768</v>
      </c>
    </row>
    <row r="29" spans="1:16">
      <c r="A29" s="44">
        <v>1990</v>
      </c>
      <c r="B29" s="43">
        <v>1.5498461696368608</v>
      </c>
      <c r="C29" s="43">
        <v>0.38203994792573576</v>
      </c>
      <c r="D29" s="43">
        <v>-1.5220793192821166E-3</v>
      </c>
      <c r="E29" s="43">
        <v>0.16781584714661693</v>
      </c>
      <c r="J29" s="47">
        <v>8399.2436754222035</v>
      </c>
      <c r="K29" s="47">
        <v>0</v>
      </c>
      <c r="L29" s="47">
        <v>15497.560166908495</v>
      </c>
      <c r="M29" s="48">
        <f t="shared" si="2"/>
        <v>2.4999999999999998E-2</v>
      </c>
      <c r="N29" s="48">
        <f t="shared" si="3"/>
        <v>2.4999999999999998E-2</v>
      </c>
      <c r="O29" s="43">
        <f t="shared" si="0"/>
        <v>0.5419719997833512</v>
      </c>
      <c r="P29" s="45">
        <f t="shared" si="1"/>
        <v>0.5419719997833512</v>
      </c>
    </row>
    <row r="30" spans="1:16">
      <c r="A30" s="44">
        <v>1991</v>
      </c>
      <c r="B30" s="43">
        <v>1.29708616778208</v>
      </c>
      <c r="C30" s="43">
        <v>0.30559101624148571</v>
      </c>
      <c r="D30" s="43">
        <v>-3.098272991265507E-2</v>
      </c>
      <c r="E30" s="43">
        <v>0.17934296827668558</v>
      </c>
      <c r="J30" s="47">
        <v>8495.1030281966941</v>
      </c>
      <c r="K30" s="47">
        <v>0</v>
      </c>
      <c r="L30" s="47">
        <v>16000.119193523195</v>
      </c>
      <c r="M30" s="48">
        <f t="shared" si="2"/>
        <v>2.7499999999999997E-2</v>
      </c>
      <c r="N30" s="48">
        <f t="shared" si="3"/>
        <v>2.7499999999999997E-2</v>
      </c>
      <c r="O30" s="43">
        <f t="shared" si="0"/>
        <v>0.5309399839743375</v>
      </c>
      <c r="P30" s="45">
        <f t="shared" si="1"/>
        <v>0.5309399839743375</v>
      </c>
    </row>
    <row r="31" spans="1:16">
      <c r="A31" s="44">
        <v>1992</v>
      </c>
      <c r="B31" s="43">
        <v>1.116893961874085</v>
      </c>
      <c r="C31" s="43">
        <v>0.28024512588145323</v>
      </c>
      <c r="D31" s="43">
        <v>1.6004042201462003E-2</v>
      </c>
      <c r="E31" s="43">
        <v>0.18018559939714487</v>
      </c>
      <c r="J31" s="47">
        <v>9754.3506200225747</v>
      </c>
      <c r="K31" s="47">
        <v>0</v>
      </c>
      <c r="L31" s="47">
        <v>18097.023523195403</v>
      </c>
      <c r="M31" s="48">
        <f t="shared" si="2"/>
        <v>2.9999999999999995E-2</v>
      </c>
      <c r="N31" s="48">
        <f t="shared" si="3"/>
        <v>2.9999999999999995E-2</v>
      </c>
      <c r="O31" s="43">
        <f t="shared" si="0"/>
        <v>0.53900303591472831</v>
      </c>
      <c r="P31" s="45">
        <f t="shared" si="1"/>
        <v>0.53900303591472831</v>
      </c>
    </row>
    <row r="32" spans="1:16">
      <c r="A32" s="44">
        <v>1993</v>
      </c>
      <c r="B32" s="43">
        <v>1.104922858194326</v>
      </c>
      <c r="C32" s="43">
        <v>0.2964638275267511</v>
      </c>
      <c r="D32" s="43">
        <v>4.5585492227979273E-2</v>
      </c>
      <c r="E32" s="43">
        <v>0.18953404527816489</v>
      </c>
      <c r="J32" s="47">
        <v>10058.716392138915</v>
      </c>
      <c r="K32" s="47">
        <v>0</v>
      </c>
      <c r="L32" s="47">
        <v>16911.374171146181</v>
      </c>
      <c r="M32" s="48">
        <f t="shared" si="2"/>
        <v>3.2499999999999994E-2</v>
      </c>
      <c r="N32" s="48">
        <f t="shared" si="3"/>
        <v>3.2499999999999994E-2</v>
      </c>
      <c r="O32" s="43">
        <f t="shared" si="0"/>
        <v>0.59479000880371258</v>
      </c>
      <c r="P32" s="45">
        <f t="shared" si="1"/>
        <v>0.59479000880371258</v>
      </c>
    </row>
    <row r="33" spans="1:16">
      <c r="A33" s="44">
        <v>1994</v>
      </c>
      <c r="B33" s="43">
        <v>1.0924972908357244</v>
      </c>
      <c r="C33" s="43">
        <v>0.33784847978767402</v>
      </c>
      <c r="D33" s="43">
        <v>0.11272836029210179</v>
      </c>
      <c r="E33" s="43">
        <v>0.21749526427568897</v>
      </c>
      <c r="J33" s="47">
        <v>10703.676607606485</v>
      </c>
      <c r="K33" s="47">
        <v>-1555.0950807866279</v>
      </c>
      <c r="L33" s="47">
        <v>18212.030611974944</v>
      </c>
      <c r="M33" s="48">
        <f t="shared" si="2"/>
        <v>3.4999999999999996E-2</v>
      </c>
      <c r="N33" s="48">
        <f t="shared" si="3"/>
        <v>3.4999999999999996E-2</v>
      </c>
      <c r="O33" s="43">
        <f t="shared" si="0"/>
        <v>0.67311394042642403</v>
      </c>
      <c r="P33" s="45">
        <f t="shared" si="1"/>
        <v>0.67311394042642403</v>
      </c>
    </row>
    <row r="34" spans="1:16">
      <c r="A34" s="44">
        <v>1995</v>
      </c>
      <c r="B34" s="43">
        <v>1.4603994778673741</v>
      </c>
      <c r="C34" s="43">
        <v>0.42068293367425685</v>
      </c>
      <c r="D34" s="43">
        <v>0.13494771121470869</v>
      </c>
      <c r="E34" s="43">
        <v>0.23206331670187846</v>
      </c>
      <c r="J34" s="47">
        <v>15367.18480507498</v>
      </c>
      <c r="K34" s="47">
        <v>-2262.0200657309874</v>
      </c>
      <c r="L34" s="47">
        <v>21060.729868606726</v>
      </c>
      <c r="M34" s="48">
        <f t="shared" si="2"/>
        <v>3.7499999999999999E-2</v>
      </c>
      <c r="N34" s="48">
        <f t="shared" si="3"/>
        <v>3.7499999999999999E-2</v>
      </c>
      <c r="O34" s="43">
        <f t="shared" si="0"/>
        <v>0.83706523851693215</v>
      </c>
      <c r="P34" s="45">
        <f t="shared" si="1"/>
        <v>0.83706523851693215</v>
      </c>
    </row>
    <row r="35" spans="1:16">
      <c r="A35" s="44">
        <v>1996</v>
      </c>
      <c r="B35" s="43">
        <v>1.4501501602936302</v>
      </c>
      <c r="C35" s="43">
        <v>0.43264872251840186</v>
      </c>
      <c r="D35" s="43">
        <v>0.194921975915191</v>
      </c>
      <c r="E35" s="43">
        <v>0.24641288527563932</v>
      </c>
      <c r="J35" s="47">
        <v>15620.419610039673</v>
      </c>
      <c r="K35" s="47">
        <v>-2468.4627192779817</v>
      </c>
      <c r="L35" s="47">
        <v>22875.367933796384</v>
      </c>
      <c r="M35" s="48">
        <f t="shared" si="2"/>
        <v>0.04</v>
      </c>
      <c r="N35" s="48">
        <f t="shared" si="3"/>
        <v>0.04</v>
      </c>
      <c r="O35" s="43">
        <f t="shared" si="0"/>
        <v>0.79075809323236679</v>
      </c>
      <c r="P35" s="45">
        <f t="shared" si="1"/>
        <v>0.79075809323236679</v>
      </c>
    </row>
    <row r="36" spans="1:16">
      <c r="A36" s="44">
        <v>1997</v>
      </c>
      <c r="B36" s="43">
        <v>1.8366143664068701</v>
      </c>
      <c r="C36" s="43">
        <v>0.4512265875465663</v>
      </c>
      <c r="D36" s="43">
        <v>0.20341602194113553</v>
      </c>
      <c r="E36" s="43">
        <v>0.2495081184847342</v>
      </c>
      <c r="J36" s="47">
        <v>19637.815378387189</v>
      </c>
      <c r="K36" s="47">
        <v>-3255.0076799207714</v>
      </c>
      <c r="L36" s="47">
        <v>24155.225446638346</v>
      </c>
      <c r="M36" s="48">
        <f t="shared" si="2"/>
        <v>4.2500000000000003E-2</v>
      </c>
      <c r="N36" s="48">
        <f t="shared" si="3"/>
        <v>4.2500000000000003E-2</v>
      </c>
      <c r="O36" s="43">
        <f t="shared" si="0"/>
        <v>0.94773791736619573</v>
      </c>
      <c r="P36" s="45">
        <f t="shared" si="1"/>
        <v>0.94773791736619573</v>
      </c>
    </row>
    <row r="37" spans="1:16">
      <c r="A37" s="44">
        <v>1998</v>
      </c>
      <c r="B37" s="43">
        <v>1.8547309433154595</v>
      </c>
      <c r="C37" s="43">
        <v>0.39636756204057283</v>
      </c>
      <c r="D37" s="43">
        <v>0.17559939815350648</v>
      </c>
      <c r="E37" s="43">
        <v>0.21876697797609326</v>
      </c>
      <c r="J37" s="47">
        <v>23268.428229891091</v>
      </c>
      <c r="K37" s="47">
        <v>-11257.465973542388</v>
      </c>
      <c r="L37" s="47">
        <v>25534.187259115428</v>
      </c>
      <c r="M37" s="48">
        <f t="shared" si="2"/>
        <v>4.5000000000000005E-2</v>
      </c>
      <c r="N37" s="48">
        <f t="shared" si="3"/>
        <v>4.5000000000000005E-2</v>
      </c>
      <c r="O37" s="43">
        <f t="shared" si="0"/>
        <v>1.3521438475042165</v>
      </c>
      <c r="P37" s="45">
        <f t="shared" si="1"/>
        <v>1.3521438475042165</v>
      </c>
    </row>
    <row r="38" spans="1:16">
      <c r="A38" s="44">
        <v>1999</v>
      </c>
      <c r="B38" s="43">
        <v>1.6942931697459387</v>
      </c>
      <c r="C38" s="43">
        <v>0.38880811113413788</v>
      </c>
      <c r="D38" s="43">
        <v>0.15163206613128821</v>
      </c>
      <c r="E38" s="43">
        <v>0.20684594572880904</v>
      </c>
      <c r="J38" s="47">
        <v>27391.064229594351</v>
      </c>
      <c r="K38" s="47">
        <v>-10820.056332779472</v>
      </c>
      <c r="L38" s="47">
        <v>28363.761298502155</v>
      </c>
      <c r="M38" s="48">
        <f t="shared" si="2"/>
        <v>4.7500000000000007E-2</v>
      </c>
      <c r="N38" s="48">
        <f t="shared" si="3"/>
        <v>4.7500000000000007E-2</v>
      </c>
      <c r="O38" s="43">
        <f t="shared" si="0"/>
        <v>1.347181008902077</v>
      </c>
      <c r="P38" s="45">
        <f t="shared" si="1"/>
        <v>1.347181008902077</v>
      </c>
    </row>
    <row r="39" spans="1:16">
      <c r="A39" s="44">
        <v>2000</v>
      </c>
      <c r="B39" s="43">
        <v>2.0017305979613447</v>
      </c>
      <c r="C39" s="43">
        <v>0.37695017482887427</v>
      </c>
      <c r="D39" s="43">
        <v>0.12337134385056332</v>
      </c>
      <c r="E39" s="43">
        <v>0.1764586883223366</v>
      </c>
      <c r="J39" s="47">
        <v>28128.778845910314</v>
      </c>
      <c r="K39" s="47">
        <v>-12678.265556273029</v>
      </c>
      <c r="L39" s="47">
        <v>27935.301935306627</v>
      </c>
      <c r="M39" s="46">
        <v>0.05</v>
      </c>
      <c r="N39" s="46">
        <v>0.05</v>
      </c>
      <c r="O39" s="43">
        <f t="shared" si="0"/>
        <v>1.4607697635302266</v>
      </c>
      <c r="P39" s="45">
        <f t="shared" si="1"/>
        <v>1.4607697635302266</v>
      </c>
    </row>
    <row r="40" spans="1:16">
      <c r="A40" s="44">
        <v>2001</v>
      </c>
      <c r="B40" s="43">
        <v>1.8170098366567757</v>
      </c>
      <c r="C40" s="43">
        <v>0.28687115643328076</v>
      </c>
      <c r="D40" s="43">
        <v>-3.1727497056594035E-2</v>
      </c>
      <c r="E40" s="43">
        <v>0.16654651096479925</v>
      </c>
      <c r="J40" s="47">
        <v>30993.011248221494</v>
      </c>
      <c r="K40" s="47">
        <v>-11338.600996859088</v>
      </c>
      <c r="L40" s="47">
        <v>29932.618052634876</v>
      </c>
      <c r="M40" s="48">
        <f t="shared" ref="M40:N46" si="4">M39+(M$47-M$39)/8</f>
        <v>6.8750000000000006E-2</v>
      </c>
      <c r="N40" s="48">
        <f t="shared" si="4"/>
        <v>6.8750000000000006E-2</v>
      </c>
      <c r="O40" s="43">
        <f t="shared" si="0"/>
        <v>1.4142301943198805</v>
      </c>
      <c r="P40" s="45">
        <f t="shared" si="1"/>
        <v>1.4142301943198805</v>
      </c>
    </row>
    <row r="41" spans="1:16">
      <c r="A41" s="44">
        <v>2002</v>
      </c>
      <c r="B41" s="43">
        <v>1.926045446185717</v>
      </c>
      <c r="C41" s="43">
        <v>0.33155824331457912</v>
      </c>
      <c r="D41" s="43">
        <v>6.9760813733655502E-2</v>
      </c>
      <c r="E41" s="43">
        <v>0.20391489173238503</v>
      </c>
      <c r="J41" s="47">
        <v>38803.760130879789</v>
      </c>
      <c r="K41" s="47">
        <v>-11562.731851470717</v>
      </c>
      <c r="L41" s="47">
        <v>33000.748198911009</v>
      </c>
      <c r="M41" s="48">
        <f t="shared" si="4"/>
        <v>8.7500000000000008E-2</v>
      </c>
      <c r="N41" s="48">
        <f t="shared" si="4"/>
        <v>8.7500000000000008E-2</v>
      </c>
      <c r="O41" s="43">
        <f t="shared" si="0"/>
        <v>1.5262227292171682</v>
      </c>
      <c r="P41" s="45">
        <f t="shared" si="1"/>
        <v>1.5262227292171682</v>
      </c>
    </row>
    <row r="42" spans="1:16">
      <c r="A42" s="44">
        <v>2003</v>
      </c>
      <c r="B42" s="43">
        <v>2.2647648604148487</v>
      </c>
      <c r="C42" s="43">
        <v>0.41668479248409379</v>
      </c>
      <c r="D42" s="43">
        <v>0.14082289984164062</v>
      </c>
      <c r="E42" s="43">
        <v>0.23274812538919093</v>
      </c>
      <c r="J42" s="47">
        <v>47941.717823146377</v>
      </c>
      <c r="K42" s="47">
        <v>-14974.591837598431</v>
      </c>
      <c r="L42" s="47">
        <v>42742.144067055335</v>
      </c>
      <c r="M42" s="48">
        <f t="shared" si="4"/>
        <v>0.10625000000000001</v>
      </c>
      <c r="N42" s="48">
        <f t="shared" si="4"/>
        <v>0.10625000000000001</v>
      </c>
      <c r="O42" s="43">
        <f t="shared" si="0"/>
        <v>1.4719970425919569</v>
      </c>
      <c r="P42" s="45">
        <f t="shared" si="1"/>
        <v>1.4719970425919569</v>
      </c>
    </row>
    <row r="43" spans="1:16">
      <c r="A43" s="44">
        <v>2004</v>
      </c>
      <c r="B43" s="43">
        <v>2.6033701272042853</v>
      </c>
      <c r="C43" s="43">
        <v>0.41536229639067146</v>
      </c>
      <c r="D43" s="43">
        <v>0.22882829462032842</v>
      </c>
      <c r="E43" s="43">
        <v>0.26708848463815243</v>
      </c>
      <c r="J43" s="47">
        <v>54125.769061233106</v>
      </c>
      <c r="K43" s="47">
        <v>-16041.17387768279</v>
      </c>
      <c r="L43" s="47">
        <v>51072.49507987062</v>
      </c>
      <c r="M43" s="48">
        <f t="shared" si="4"/>
        <v>0.125</v>
      </c>
      <c r="N43" s="48">
        <f t="shared" si="4"/>
        <v>0.125</v>
      </c>
      <c r="O43" s="43">
        <f t="shared" si="0"/>
        <v>1.3738694933385198</v>
      </c>
      <c r="P43" s="45">
        <f t="shared" si="1"/>
        <v>1.3738694933385198</v>
      </c>
    </row>
    <row r="44" spans="1:16">
      <c r="A44" s="44">
        <v>2005</v>
      </c>
      <c r="B44" s="43">
        <v>2.5511742314267636</v>
      </c>
      <c r="C44" s="43">
        <v>0.49857345738278214</v>
      </c>
      <c r="D44" s="43">
        <v>0.27957456303458533</v>
      </c>
      <c r="E44" s="43">
        <v>0.29214590679432006</v>
      </c>
      <c r="J44" s="47">
        <v>56237.874944038209</v>
      </c>
      <c r="K44" s="47">
        <v>-15752.623986469682</v>
      </c>
      <c r="L44" s="47">
        <v>56456.747749092181</v>
      </c>
      <c r="M44" s="48">
        <f t="shared" si="4"/>
        <v>0.14374999999999999</v>
      </c>
      <c r="N44" s="48">
        <f t="shared" si="4"/>
        <v>0.14374999999999999</v>
      </c>
      <c r="O44" s="43">
        <f t="shared" si="0"/>
        <v>1.2751442794836778</v>
      </c>
      <c r="P44" s="45">
        <f t="shared" si="1"/>
        <v>1.2751442794836778</v>
      </c>
    </row>
    <row r="45" spans="1:16">
      <c r="A45" s="44">
        <v>2006</v>
      </c>
      <c r="B45" s="43">
        <v>2.7757529765112872</v>
      </c>
      <c r="C45" s="43">
        <v>0.49107193265476268</v>
      </c>
      <c r="D45" s="43">
        <v>0.32496196079077611</v>
      </c>
      <c r="E45" s="43">
        <v>0.30717164524094992</v>
      </c>
      <c r="J45" s="47">
        <v>58550.507072673303</v>
      </c>
      <c r="K45" s="47">
        <v>-21607.223315829815</v>
      </c>
      <c r="L45" s="47">
        <v>62803.206041592428</v>
      </c>
      <c r="M45" s="48">
        <f t="shared" si="4"/>
        <v>0.16249999999999998</v>
      </c>
      <c r="N45" s="48">
        <f t="shared" si="4"/>
        <v>0.16249999999999998</v>
      </c>
      <c r="O45" s="43">
        <f t="shared" si="0"/>
        <v>1.2763318219044004</v>
      </c>
      <c r="P45" s="45">
        <f t="shared" si="1"/>
        <v>1.2763318219044004</v>
      </c>
    </row>
    <row r="46" spans="1:16">
      <c r="A46" s="44">
        <v>2007</v>
      </c>
      <c r="B46" s="43">
        <v>2.9525414882701009</v>
      </c>
      <c r="C46" s="43">
        <v>0.51694809451208679</v>
      </c>
      <c r="D46" s="43">
        <v>0.30737031349121791</v>
      </c>
      <c r="E46" s="43">
        <v>0.25434633770491133</v>
      </c>
      <c r="J46" s="47">
        <v>66266.787565653271</v>
      </c>
      <c r="K46" s="47">
        <v>-31620.331559768008</v>
      </c>
      <c r="L46" s="47">
        <v>75038.579322851612</v>
      </c>
      <c r="M46" s="48">
        <f t="shared" si="4"/>
        <v>0.18124999999999997</v>
      </c>
      <c r="N46" s="48">
        <f t="shared" si="4"/>
        <v>0.18124999999999997</v>
      </c>
      <c r="O46" s="43">
        <f t="shared" si="0"/>
        <v>1.3044905701674387</v>
      </c>
      <c r="P46" s="45">
        <f t="shared" si="1"/>
        <v>1.3044905701674387</v>
      </c>
    </row>
    <row r="47" spans="1:16">
      <c r="A47" s="44">
        <v>2008</v>
      </c>
      <c r="B47" s="43">
        <v>2.4753177086014273</v>
      </c>
      <c r="C47" s="43">
        <v>0.48498421933828328</v>
      </c>
      <c r="D47" s="43">
        <v>0.22234341255311482</v>
      </c>
      <c r="E47" s="43">
        <v>0.19718266519613323</v>
      </c>
      <c r="J47" s="47">
        <v>56230.294411054972</v>
      </c>
      <c r="K47" s="47">
        <v>-27389.32568051439</v>
      </c>
      <c r="L47" s="47">
        <v>81248.066006814159</v>
      </c>
      <c r="M47" s="46">
        <v>0.2</v>
      </c>
      <c r="N47" s="46">
        <v>0.2</v>
      </c>
      <c r="O47" s="43">
        <f t="shared" si="0"/>
        <v>1.0291890527530378</v>
      </c>
      <c r="P47" s="45">
        <f t="shared" si="1"/>
        <v>1.0291890527530378</v>
      </c>
    </row>
    <row r="48" spans="1:16">
      <c r="A48" s="44">
        <v>2009</v>
      </c>
      <c r="B48" s="43">
        <v>2.7315573181759549</v>
      </c>
      <c r="C48" s="43">
        <v>0.45040499156605945</v>
      </c>
      <c r="D48" s="43">
        <v>0.11201013723848147</v>
      </c>
      <c r="E48" s="43">
        <v>0.24653510492083217</v>
      </c>
      <c r="J48" s="47">
        <v>51714.028467369222</v>
      </c>
      <c r="K48" s="47">
        <v>-15433.913293732125</v>
      </c>
      <c r="L48" s="47">
        <v>68120.375541984569</v>
      </c>
      <c r="M48" s="48">
        <f t="shared" ref="M48:N53" si="5">M47+(M$54-M$47)/7</f>
        <v>0.28497308589718323</v>
      </c>
      <c r="N48" s="48">
        <f t="shared" si="5"/>
        <v>0.23194896440808438</v>
      </c>
      <c r="O48" s="43">
        <f t="shared" si="0"/>
        <v>0.98572477363569611</v>
      </c>
      <c r="P48" s="45">
        <f t="shared" si="1"/>
        <v>1.038748895124795</v>
      </c>
    </row>
    <row r="49" spans="1:16">
      <c r="A49" s="44">
        <v>2010</v>
      </c>
      <c r="B49" s="43">
        <v>2.6849565214175408</v>
      </c>
      <c r="C49" s="43">
        <v>0.52029668940503371</v>
      </c>
      <c r="D49" s="43">
        <v>0.26509685958368429</v>
      </c>
      <c r="E49" s="43">
        <v>0.30828673363313225</v>
      </c>
      <c r="J49" s="47">
        <v>55123.870294493849</v>
      </c>
      <c r="K49" s="47">
        <v>-17637.360484173245</v>
      </c>
      <c r="L49" s="47">
        <v>60682.479737467125</v>
      </c>
      <c r="M49" s="48">
        <f t="shared" si="5"/>
        <v>0.36994617179436645</v>
      </c>
      <c r="N49" s="48">
        <f t="shared" si="5"/>
        <v>0.26389792881616875</v>
      </c>
      <c r="O49" s="43">
        <f t="shared" si="0"/>
        <v>1.1990484089222575</v>
      </c>
      <c r="P49" s="45">
        <f t="shared" si="1"/>
        <v>1.3050966519004552</v>
      </c>
    </row>
    <row r="50" spans="1:16">
      <c r="A50" s="44">
        <v>2011</v>
      </c>
      <c r="B50" s="43">
        <v>3.1120076713938816</v>
      </c>
      <c r="C50" s="43">
        <v>0.54760134794718585</v>
      </c>
      <c r="D50" s="43">
        <v>0.32687946298455262</v>
      </c>
      <c r="E50" s="43">
        <v>0.30459445622641695</v>
      </c>
      <c r="J50" s="47">
        <v>65913.190683058405</v>
      </c>
      <c r="K50" s="47">
        <v>-15558.376676680156</v>
      </c>
      <c r="L50" s="47">
        <v>64075.433895480564</v>
      </c>
      <c r="M50" s="48">
        <f t="shared" si="5"/>
        <v>0.45491925769154967</v>
      </c>
      <c r="N50" s="48">
        <f t="shared" si="5"/>
        <v>0.29584689322425312</v>
      </c>
      <c r="O50" s="43">
        <f t="shared" si="0"/>
        <v>1.2714945870305687</v>
      </c>
      <c r="P50" s="45">
        <f t="shared" si="1"/>
        <v>1.4305669514978654</v>
      </c>
    </row>
    <row r="51" spans="1:16">
      <c r="A51" s="44">
        <v>2012</v>
      </c>
      <c r="B51" s="43">
        <v>3.1692348522042195</v>
      </c>
      <c r="C51" s="43">
        <v>0.5015743131552044</v>
      </c>
      <c r="D51" s="43">
        <v>0.32403355449182741</v>
      </c>
      <c r="E51" s="43">
        <v>0.3186913851945774</v>
      </c>
      <c r="J51" s="47">
        <v>61474.230178875958</v>
      </c>
      <c r="K51" s="47">
        <v>-16689.074632530457</v>
      </c>
      <c r="L51" s="47">
        <v>59877.146510523089</v>
      </c>
      <c r="M51" s="48">
        <f t="shared" si="5"/>
        <v>0.53989234358873284</v>
      </c>
      <c r="N51" s="48">
        <f t="shared" si="5"/>
        <v>0.32779585763233748</v>
      </c>
      <c r="O51" s="43">
        <f t="shared" si="0"/>
        <v>1.3053946182567273</v>
      </c>
      <c r="P51" s="45">
        <f t="shared" si="1"/>
        <v>1.5174911042131227</v>
      </c>
    </row>
    <row r="52" spans="1:16">
      <c r="A52" s="44">
        <v>2013</v>
      </c>
      <c r="B52" s="43">
        <v>2.8163143739421144</v>
      </c>
      <c r="C52" s="43">
        <v>0.47613402676788741</v>
      </c>
      <c r="D52" s="43">
        <v>0.32777705377360028</v>
      </c>
      <c r="E52" s="43">
        <v>0.31649327580411218</v>
      </c>
      <c r="J52" s="47">
        <v>65235.877334047393</v>
      </c>
      <c r="K52" s="47">
        <v>-20641.054872185716</v>
      </c>
      <c r="L52" s="47">
        <v>64877.387380651649</v>
      </c>
      <c r="M52" s="48">
        <f t="shared" si="5"/>
        <v>0.62486542948591606</v>
      </c>
      <c r="N52" s="48">
        <f t="shared" si="5"/>
        <v>0.35974482204042185</v>
      </c>
      <c r="O52" s="43">
        <f t="shared" si="0"/>
        <v>1.3236804944436487</v>
      </c>
      <c r="P52" s="45">
        <f t="shared" si="1"/>
        <v>1.588801101889143</v>
      </c>
    </row>
    <row r="53" spans="1:16">
      <c r="A53" s="44">
        <v>2014</v>
      </c>
      <c r="B53" s="43">
        <v>3.0151255442461316</v>
      </c>
      <c r="C53" s="43">
        <v>0.48632670013550233</v>
      </c>
      <c r="D53" s="43">
        <v>0.31659562544740616</v>
      </c>
      <c r="E53" s="43">
        <v>0.32635651051223613</v>
      </c>
      <c r="J53" s="47">
        <v>70485.383455868039</v>
      </c>
      <c r="K53" s="47">
        <v>-27110.477262732842</v>
      </c>
      <c r="L53" s="47">
        <v>68424.965956160493</v>
      </c>
      <c r="M53" s="48">
        <f t="shared" si="5"/>
        <v>0.70983851538309928</v>
      </c>
      <c r="N53" s="48">
        <f t="shared" si="5"/>
        <v>0.39169378644850622</v>
      </c>
      <c r="O53" s="43">
        <f t="shared" si="0"/>
        <v>1.426319463295459</v>
      </c>
      <c r="P53" s="45">
        <f t="shared" si="1"/>
        <v>1.7444641922300521</v>
      </c>
    </row>
    <row r="54" spans="1:16">
      <c r="A54" s="44">
        <v>2015</v>
      </c>
      <c r="B54" s="43">
        <v>3.5718069375336432</v>
      </c>
      <c r="C54" s="43">
        <v>0.44655582020645129</v>
      </c>
      <c r="D54" s="43">
        <v>0.28343272646330492</v>
      </c>
      <c r="E54" s="43">
        <v>0.31375766594357318</v>
      </c>
      <c r="J54" s="47">
        <v>100867.14256720114</v>
      </c>
      <c r="K54" s="47">
        <v>-24667.497801275207</v>
      </c>
      <c r="L54" s="47">
        <v>61361.034049457725</v>
      </c>
      <c r="M54" s="46">
        <v>0.79481160128028239</v>
      </c>
      <c r="N54" s="46">
        <v>0.42364275085659048</v>
      </c>
      <c r="O54" s="43">
        <f t="shared" si="0"/>
        <v>2.0458364548956904</v>
      </c>
      <c r="P54" s="45">
        <f t="shared" si="1"/>
        <v>2.4170053053193823</v>
      </c>
    </row>
    <row r="55" spans="1:16">
      <c r="A55" s="44">
        <v>2016</v>
      </c>
      <c r="E55" s="43">
        <v>0.29748898267567031</v>
      </c>
      <c r="J55" s="42"/>
      <c r="K55" s="42"/>
      <c r="L55" s="42"/>
      <c r="M55" s="42"/>
      <c r="N55" s="42"/>
    </row>
    <row r="60" spans="1:16">
      <c r="L60" s="42"/>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workbookViewId="0">
      <pane xSplit="2" ySplit="3" topLeftCell="D4" activePane="bottomRight" state="frozen"/>
      <selection pane="topRight"/>
      <selection pane="bottomLeft"/>
      <selection pane="bottomRight" activeCell="B28" sqref="B28"/>
    </sheetView>
  </sheetViews>
  <sheetFormatPr baseColWidth="10" defaultColWidth="10.83203125" defaultRowHeight="15" x14ac:dyDescent="0"/>
  <cols>
    <col min="1" max="1" width="10.83203125" style="58"/>
    <col min="2" max="2" width="28.5" style="58" customWidth="1"/>
    <col min="3" max="4" width="16" style="58" customWidth="1"/>
    <col min="5" max="16384" width="10.83203125" style="58"/>
  </cols>
  <sheetData>
    <row r="2" spans="2:18">
      <c r="B2" s="222" t="s">
        <v>152</v>
      </c>
      <c r="C2" s="222"/>
      <c r="D2" s="222"/>
      <c r="E2" s="222"/>
      <c r="F2" s="222"/>
      <c r="G2" s="222"/>
      <c r="H2" s="222"/>
      <c r="I2" s="222"/>
      <c r="J2" s="222"/>
      <c r="K2" s="222"/>
      <c r="L2" s="222"/>
      <c r="M2" s="222"/>
      <c r="N2" s="222"/>
      <c r="O2" s="222"/>
      <c r="P2" s="222"/>
      <c r="Q2" s="222"/>
      <c r="R2" s="222"/>
    </row>
    <row r="3" spans="2:18" s="65" customFormat="1" ht="45">
      <c r="C3" s="66" t="s">
        <v>151</v>
      </c>
      <c r="D3" s="66" t="s">
        <v>150</v>
      </c>
      <c r="E3" s="66" t="s">
        <v>149</v>
      </c>
      <c r="F3" s="66" t="s">
        <v>148</v>
      </c>
      <c r="G3" s="66" t="s">
        <v>147</v>
      </c>
      <c r="H3" s="66" t="s">
        <v>146</v>
      </c>
      <c r="I3" s="66" t="s">
        <v>145</v>
      </c>
      <c r="J3" s="66" t="s">
        <v>144</v>
      </c>
      <c r="K3" s="66" t="s">
        <v>143</v>
      </c>
      <c r="L3" s="66" t="s">
        <v>75</v>
      </c>
      <c r="M3" s="66" t="s">
        <v>142</v>
      </c>
      <c r="N3" s="66" t="s">
        <v>141</v>
      </c>
      <c r="O3" s="66" t="s">
        <v>140</v>
      </c>
      <c r="P3" s="66" t="s">
        <v>139</v>
      </c>
      <c r="Q3" s="66" t="s">
        <v>137</v>
      </c>
      <c r="R3" s="66" t="s">
        <v>136</v>
      </c>
    </row>
    <row r="4" spans="2:18">
      <c r="B4" s="58" t="s">
        <v>12</v>
      </c>
      <c r="C4" s="62">
        <v>9304</v>
      </c>
      <c r="D4" s="62">
        <v>72039</v>
      </c>
      <c r="E4" s="61">
        <f t="shared" ref="E4:E20" si="0">D4/C4</f>
        <v>7.7427987962166807</v>
      </c>
      <c r="F4" s="61">
        <v>12.117590822179732</v>
      </c>
      <c r="G4" s="61">
        <v>14.242451154529308</v>
      </c>
      <c r="H4" s="61">
        <v>6.075268817204301</v>
      </c>
      <c r="I4" s="61">
        <v>7.50642523364486</v>
      </c>
      <c r="J4" s="61">
        <v>3.9683257918552037</v>
      </c>
      <c r="K4" s="61">
        <v>4.8969696969696965</v>
      </c>
      <c r="L4" s="61">
        <v>6.6273792093704245</v>
      </c>
      <c r="M4" s="62">
        <v>-1619</v>
      </c>
      <c r="N4" s="61">
        <v>-2.2990627662595853E-2</v>
      </c>
      <c r="O4" s="61">
        <v>0.88329737594701718</v>
      </c>
      <c r="P4" s="60">
        <f t="shared" ref="P4:P20" si="1">O4/(1-O4)*(1-N4)-E4</f>
        <v>0</v>
      </c>
      <c r="Q4" s="60">
        <f t="shared" ref="Q4:Q20" si="2">E$22</f>
        <v>0.48739265319170577</v>
      </c>
      <c r="R4" s="60">
        <f t="shared" ref="R4:R20" si="3">E$23</f>
        <v>3.5521920320053342</v>
      </c>
    </row>
    <row r="5" spans="2:18">
      <c r="B5" s="58" t="s">
        <v>138</v>
      </c>
      <c r="C5" s="62">
        <v>4035</v>
      </c>
      <c r="D5" s="62">
        <v>29979</v>
      </c>
      <c r="E5" s="61">
        <f t="shared" si="0"/>
        <v>7.4297397769516724</v>
      </c>
      <c r="F5" s="61">
        <v>8.5464480874316937</v>
      </c>
      <c r="G5" s="61">
        <v>1.3761467889908257</v>
      </c>
      <c r="H5" s="61">
        <v>8.0493827160493829</v>
      </c>
      <c r="I5" s="61">
        <v>2.3230769230769233</v>
      </c>
      <c r="J5" s="61">
        <v>28.47973713033954</v>
      </c>
      <c r="K5" s="61"/>
      <c r="L5" s="61"/>
      <c r="M5" s="62">
        <v>-14969</v>
      </c>
      <c r="N5" s="61">
        <v>-0.99726848767488341</v>
      </c>
      <c r="O5" s="61">
        <v>0.78813336833814651</v>
      </c>
      <c r="P5" s="60">
        <f t="shared" si="1"/>
        <v>0</v>
      </c>
      <c r="Q5" s="60">
        <f t="shared" si="2"/>
        <v>0.48739265319170577</v>
      </c>
      <c r="R5" s="60">
        <f t="shared" si="3"/>
        <v>3.5521920320053342</v>
      </c>
    </row>
    <row r="6" spans="2:18">
      <c r="B6" s="58" t="s">
        <v>8</v>
      </c>
      <c r="C6" s="62">
        <v>1692</v>
      </c>
      <c r="D6" s="62">
        <v>9433</v>
      </c>
      <c r="E6" s="61">
        <f t="shared" si="0"/>
        <v>5.5750591016548467</v>
      </c>
      <c r="F6" s="61"/>
      <c r="G6" s="61"/>
      <c r="H6" s="61">
        <v>41.833333333333336</v>
      </c>
      <c r="I6" s="61">
        <v>9.5070422535211261</v>
      </c>
      <c r="J6" s="61">
        <v>13.368653421633555</v>
      </c>
      <c r="K6" s="61">
        <v>2.2083333333333335</v>
      </c>
      <c r="L6" s="61"/>
      <c r="M6" s="62">
        <v>-5077</v>
      </c>
      <c r="N6" s="61">
        <v>-1.1655188246097337</v>
      </c>
      <c r="O6" s="61">
        <v>0.72023809523809523</v>
      </c>
      <c r="P6" s="60">
        <f t="shared" si="1"/>
        <v>0</v>
      </c>
      <c r="Q6" s="60">
        <f t="shared" si="2"/>
        <v>0.48739265319170577</v>
      </c>
      <c r="R6" s="60">
        <f t="shared" si="3"/>
        <v>3.5521920320053342</v>
      </c>
    </row>
    <row r="7" spans="2:18">
      <c r="B7" s="58" t="s">
        <v>27</v>
      </c>
      <c r="C7" s="62">
        <v>12912</v>
      </c>
      <c r="D7" s="62">
        <v>39189</v>
      </c>
      <c r="E7" s="61">
        <f t="shared" si="0"/>
        <v>3.0350836431226766</v>
      </c>
      <c r="F7" s="61">
        <v>3.7733918128654973</v>
      </c>
      <c r="G7" s="61">
        <v>0.9468599033816425</v>
      </c>
      <c r="H7" s="61">
        <v>4.4733558617104237</v>
      </c>
      <c r="I7" s="61">
        <v>0.94774590163934425</v>
      </c>
      <c r="J7" s="61">
        <v>4.1224747474747474</v>
      </c>
      <c r="K7" s="61">
        <v>0.31165919282511212</v>
      </c>
      <c r="L7" s="61">
        <v>3.130528008576789</v>
      </c>
      <c r="M7" s="62">
        <v>-1637</v>
      </c>
      <c r="N7" s="61">
        <v>-4.3592884533446952E-2</v>
      </c>
      <c r="O7" s="61">
        <v>0.74413443246670896</v>
      </c>
      <c r="P7" s="60">
        <f t="shared" si="1"/>
        <v>0</v>
      </c>
      <c r="Q7" s="60">
        <f t="shared" si="2"/>
        <v>0.48739265319170577</v>
      </c>
      <c r="R7" s="60">
        <f t="shared" si="3"/>
        <v>3.5521920320053342</v>
      </c>
    </row>
    <row r="8" spans="2:18">
      <c r="B8" s="58" t="s">
        <v>26</v>
      </c>
      <c r="C8" s="62">
        <v>13740</v>
      </c>
      <c r="D8" s="62">
        <v>29642</v>
      </c>
      <c r="E8" s="61">
        <f t="shared" si="0"/>
        <v>2.1573508005822415</v>
      </c>
      <c r="F8" s="61">
        <v>7.5378031383737518</v>
      </c>
      <c r="G8" s="61">
        <v>2.8320197044334976</v>
      </c>
      <c r="H8" s="61">
        <v>5.4644091223220457</v>
      </c>
      <c r="I8" s="61">
        <v>1.3551401869158879</v>
      </c>
      <c r="J8" s="61">
        <v>1.2170412613217041</v>
      </c>
      <c r="K8" s="61">
        <v>0.65486725663716816</v>
      </c>
      <c r="L8" s="61">
        <v>1.1341403162055337</v>
      </c>
      <c r="M8" s="62">
        <v>-1815</v>
      </c>
      <c r="N8" s="61">
        <v>-6.5224422323642506E-2</v>
      </c>
      <c r="O8" s="61">
        <v>0.66944932278008995</v>
      </c>
      <c r="P8" s="60">
        <f t="shared" si="1"/>
        <v>0</v>
      </c>
      <c r="Q8" s="60">
        <f t="shared" si="2"/>
        <v>0.48739265319170577</v>
      </c>
      <c r="R8" s="60">
        <f t="shared" si="3"/>
        <v>3.5521920320053342</v>
      </c>
    </row>
    <row r="9" spans="2:18">
      <c r="B9" s="58" t="s">
        <v>6</v>
      </c>
      <c r="C9" s="62">
        <v>18307</v>
      </c>
      <c r="D9" s="62">
        <v>32814</v>
      </c>
      <c r="E9" s="61">
        <f t="shared" si="0"/>
        <v>1.7924291254711313</v>
      </c>
      <c r="F9" s="61">
        <v>0.85165462152909854</v>
      </c>
      <c r="G9" s="61">
        <v>1.7735849056603774</v>
      </c>
      <c r="H9" s="61">
        <v>0.24856765094755398</v>
      </c>
      <c r="I9" s="61">
        <v>-0.63673708920187788</v>
      </c>
      <c r="J9" s="61">
        <v>11.392966360856269</v>
      </c>
      <c r="K9" s="61">
        <v>0.3165829145728643</v>
      </c>
      <c r="L9" s="61">
        <v>2.6083663901911289</v>
      </c>
      <c r="M9" s="62">
        <v>-10504</v>
      </c>
      <c r="N9" s="61">
        <v>-0.47082025997310623</v>
      </c>
      <c r="O9" s="61">
        <v>0.54927739616416771</v>
      </c>
      <c r="P9" s="60">
        <f t="shared" si="1"/>
        <v>0</v>
      </c>
      <c r="Q9" s="60">
        <f t="shared" si="2"/>
        <v>0.48739265319170577</v>
      </c>
      <c r="R9" s="60">
        <f t="shared" si="3"/>
        <v>3.5521920320053342</v>
      </c>
    </row>
    <row r="10" spans="2:18">
      <c r="B10" s="58" t="s">
        <v>51</v>
      </c>
      <c r="C10" s="62">
        <v>28642</v>
      </c>
      <c r="D10" s="62">
        <v>24644</v>
      </c>
      <c r="E10" s="61">
        <f t="shared" si="0"/>
        <v>0.86041477550450385</v>
      </c>
      <c r="F10" s="61"/>
      <c r="G10" s="61"/>
      <c r="H10" s="61"/>
      <c r="I10" s="61"/>
      <c r="J10" s="61"/>
      <c r="K10" s="61"/>
      <c r="L10" s="61"/>
      <c r="M10" s="62">
        <v>-337</v>
      </c>
      <c r="N10" s="61">
        <f t="shared" ref="N10:N20" si="4">M10/(D10+M10)</f>
        <v>-1.3864318920475583E-2</v>
      </c>
      <c r="O10" s="61">
        <f t="shared" ref="O10:O20" si="5">(D10+M10)/(M10+D10+C10)</f>
        <v>0.45906438270788874</v>
      </c>
      <c r="P10" s="60">
        <f t="shared" si="1"/>
        <v>0</v>
      </c>
      <c r="Q10" s="60">
        <f t="shared" si="2"/>
        <v>0.48739265319170577</v>
      </c>
      <c r="R10" s="60">
        <f t="shared" si="3"/>
        <v>3.5521920320053342</v>
      </c>
    </row>
    <row r="11" spans="2:18">
      <c r="B11" s="58" t="s">
        <v>45</v>
      </c>
      <c r="C11" s="62">
        <v>25937</v>
      </c>
      <c r="D11" s="62">
        <v>22296</v>
      </c>
      <c r="E11" s="61">
        <f t="shared" si="0"/>
        <v>0.85962139029186102</v>
      </c>
      <c r="F11" s="61"/>
      <c r="G11" s="61"/>
      <c r="H11" s="61"/>
      <c r="I11" s="61"/>
      <c r="J11" s="61"/>
      <c r="K11" s="61"/>
      <c r="L11" s="61"/>
      <c r="M11" s="62">
        <v>-7704</v>
      </c>
      <c r="N11" s="61">
        <f t="shared" si="4"/>
        <v>-0.52796052631578949</v>
      </c>
      <c r="O11" s="61">
        <f t="shared" si="5"/>
        <v>0.36003849095709245</v>
      </c>
      <c r="P11" s="60">
        <f t="shared" si="1"/>
        <v>0</v>
      </c>
      <c r="Q11" s="60">
        <f t="shared" si="2"/>
        <v>0.48739265319170577</v>
      </c>
      <c r="R11" s="60">
        <f t="shared" si="3"/>
        <v>3.5521920320053342</v>
      </c>
    </row>
    <row r="12" spans="2:18">
      <c r="B12" s="58" t="s">
        <v>42</v>
      </c>
      <c r="C12" s="62">
        <v>21727</v>
      </c>
      <c r="D12" s="62">
        <v>15753</v>
      </c>
      <c r="E12" s="61">
        <f t="shared" si="0"/>
        <v>0.72504257375615588</v>
      </c>
      <c r="F12" s="61"/>
      <c r="G12" s="61"/>
      <c r="H12" s="61"/>
      <c r="I12" s="61"/>
      <c r="J12" s="61"/>
      <c r="K12" s="61"/>
      <c r="L12" s="61"/>
      <c r="M12" s="62">
        <v>-1982</v>
      </c>
      <c r="N12" s="61">
        <f t="shared" si="4"/>
        <v>-0.1439256408394452</v>
      </c>
      <c r="O12" s="61">
        <f t="shared" si="5"/>
        <v>0.38793734858301876</v>
      </c>
      <c r="P12" s="60">
        <f t="shared" si="1"/>
        <v>0</v>
      </c>
      <c r="Q12" s="60">
        <f t="shared" si="2"/>
        <v>0.48739265319170577</v>
      </c>
      <c r="R12" s="60">
        <f t="shared" si="3"/>
        <v>3.5521920320053342</v>
      </c>
    </row>
    <row r="13" spans="2:18">
      <c r="B13" s="58" t="s">
        <v>21</v>
      </c>
      <c r="C13" s="62">
        <v>11003</v>
      </c>
      <c r="D13" s="62">
        <v>6614</v>
      </c>
      <c r="E13" s="61">
        <f t="shared" si="0"/>
        <v>0.60110878851222393</v>
      </c>
      <c r="F13" s="61"/>
      <c r="G13" s="61"/>
      <c r="H13" s="61"/>
      <c r="I13" s="61"/>
      <c r="J13" s="61"/>
      <c r="K13" s="61"/>
      <c r="L13" s="61"/>
      <c r="M13" s="62">
        <v>-735</v>
      </c>
      <c r="N13" s="61">
        <f t="shared" si="4"/>
        <v>-0.12502126211940806</v>
      </c>
      <c r="O13" s="61">
        <f t="shared" si="5"/>
        <v>0.34824072977135412</v>
      </c>
      <c r="P13" s="60">
        <f t="shared" si="1"/>
        <v>0</v>
      </c>
      <c r="Q13" s="60">
        <f t="shared" si="2"/>
        <v>0.48739265319170577</v>
      </c>
      <c r="R13" s="60">
        <f t="shared" si="3"/>
        <v>3.5521920320053342</v>
      </c>
    </row>
    <row r="14" spans="2:18">
      <c r="B14" s="58" t="s">
        <v>54</v>
      </c>
      <c r="C14" s="62">
        <v>63828</v>
      </c>
      <c r="D14" s="62">
        <v>32722</v>
      </c>
      <c r="E14" s="61">
        <f t="shared" si="0"/>
        <v>0.51265902111925798</v>
      </c>
      <c r="F14" s="61"/>
      <c r="G14" s="61"/>
      <c r="H14" s="61"/>
      <c r="I14" s="61"/>
      <c r="J14" s="61"/>
      <c r="K14" s="61"/>
      <c r="L14" s="61"/>
      <c r="M14" s="62">
        <v>480</v>
      </c>
      <c r="N14" s="61">
        <f t="shared" si="4"/>
        <v>1.4456960424070839E-2</v>
      </c>
      <c r="O14" s="61">
        <f t="shared" si="5"/>
        <v>0.34218283005256106</v>
      </c>
      <c r="P14" s="60">
        <f t="shared" si="1"/>
        <v>0</v>
      </c>
      <c r="Q14" s="60">
        <f t="shared" si="2"/>
        <v>0.48739265319170577</v>
      </c>
      <c r="R14" s="60">
        <f t="shared" si="3"/>
        <v>3.5521920320053342</v>
      </c>
    </row>
    <row r="15" spans="2:18">
      <c r="B15" s="58" t="s">
        <v>48</v>
      </c>
      <c r="C15" s="62">
        <v>17670</v>
      </c>
      <c r="D15" s="62">
        <v>6492</v>
      </c>
      <c r="E15" s="61">
        <f t="shared" si="0"/>
        <v>0.36740237691001698</v>
      </c>
      <c r="F15" s="61"/>
      <c r="G15" s="61"/>
      <c r="H15" s="61"/>
      <c r="I15" s="61"/>
      <c r="J15" s="61"/>
      <c r="K15" s="61"/>
      <c r="L15" s="61"/>
      <c r="M15" s="62">
        <v>-972</v>
      </c>
      <c r="N15" s="61">
        <f t="shared" si="4"/>
        <v>-0.17608695652173914</v>
      </c>
      <c r="O15" s="61">
        <f t="shared" si="5"/>
        <v>0.23803363518758086</v>
      </c>
      <c r="P15" s="60">
        <f t="shared" si="1"/>
        <v>0</v>
      </c>
      <c r="Q15" s="60">
        <f t="shared" si="2"/>
        <v>0.48739265319170577</v>
      </c>
      <c r="R15" s="60">
        <f t="shared" si="3"/>
        <v>3.5521920320053342</v>
      </c>
    </row>
    <row r="16" spans="2:18">
      <c r="B16" s="58" t="s">
        <v>0</v>
      </c>
      <c r="C16" s="62">
        <v>101251</v>
      </c>
      <c r="D16" s="62">
        <v>32949</v>
      </c>
      <c r="E16" s="61">
        <f t="shared" si="0"/>
        <v>0.32541900820732633</v>
      </c>
      <c r="F16" s="61"/>
      <c r="G16" s="61"/>
      <c r="H16" s="61"/>
      <c r="I16" s="61"/>
      <c r="J16" s="61"/>
      <c r="K16" s="61"/>
      <c r="L16" s="61"/>
      <c r="M16" s="62">
        <v>-4222</v>
      </c>
      <c r="N16" s="61">
        <f t="shared" si="4"/>
        <v>-0.14696974971281374</v>
      </c>
      <c r="O16" s="61">
        <f t="shared" si="5"/>
        <v>0.22101432550123867</v>
      </c>
      <c r="P16" s="60">
        <f t="shared" si="1"/>
        <v>0</v>
      </c>
      <c r="Q16" s="60">
        <f t="shared" si="2"/>
        <v>0.48739265319170577</v>
      </c>
      <c r="R16" s="60">
        <f t="shared" si="3"/>
        <v>3.5521920320053342</v>
      </c>
    </row>
    <row r="17" spans="2:18">
      <c r="B17" s="58" t="s">
        <v>11</v>
      </c>
      <c r="C17" s="62">
        <v>14533</v>
      </c>
      <c r="D17" s="62">
        <v>4248</v>
      </c>
      <c r="E17" s="61">
        <f t="shared" si="0"/>
        <v>0.29230028211656228</v>
      </c>
      <c r="F17" s="61"/>
      <c r="G17" s="61"/>
      <c r="H17" s="61"/>
      <c r="I17" s="61"/>
      <c r="J17" s="61"/>
      <c r="K17" s="61"/>
      <c r="L17" s="61"/>
      <c r="M17" s="62">
        <v>216</v>
      </c>
      <c r="N17" s="61">
        <f t="shared" si="4"/>
        <v>4.8387096774193547E-2</v>
      </c>
      <c r="O17" s="61">
        <f t="shared" si="5"/>
        <v>0.23498447123229985</v>
      </c>
      <c r="P17" s="60">
        <f t="shared" si="1"/>
        <v>0</v>
      </c>
      <c r="Q17" s="60">
        <f t="shared" si="2"/>
        <v>0.48739265319170577</v>
      </c>
      <c r="R17" s="60">
        <f t="shared" si="3"/>
        <v>3.5521920320053342</v>
      </c>
    </row>
    <row r="18" spans="2:18">
      <c r="B18" s="58" t="s">
        <v>14</v>
      </c>
      <c r="C18" s="62">
        <v>53184</v>
      </c>
      <c r="D18" s="62">
        <v>13033</v>
      </c>
      <c r="E18" s="61">
        <f t="shared" si="0"/>
        <v>0.24505490373044525</v>
      </c>
      <c r="F18" s="61"/>
      <c r="G18" s="61"/>
      <c r="H18" s="61"/>
      <c r="I18" s="61"/>
      <c r="J18" s="61"/>
      <c r="K18" s="61"/>
      <c r="L18" s="61"/>
      <c r="M18" s="62">
        <v>554</v>
      </c>
      <c r="N18" s="61">
        <f t="shared" si="4"/>
        <v>4.0774269522337529E-2</v>
      </c>
      <c r="O18" s="61">
        <f t="shared" si="5"/>
        <v>0.20348654355932966</v>
      </c>
      <c r="P18" s="60">
        <f t="shared" si="1"/>
        <v>0</v>
      </c>
      <c r="Q18" s="60">
        <f t="shared" si="2"/>
        <v>0.48739265319170577</v>
      </c>
      <c r="R18" s="60">
        <f t="shared" si="3"/>
        <v>3.5521920320053342</v>
      </c>
    </row>
    <row r="19" spans="2:18">
      <c r="B19" s="58" t="s">
        <v>15</v>
      </c>
      <c r="C19" s="62">
        <v>33515</v>
      </c>
      <c r="D19" s="62">
        <v>4826</v>
      </c>
      <c r="E19" s="61">
        <f t="shared" si="0"/>
        <v>0.14399522601820081</v>
      </c>
      <c r="F19" s="61"/>
      <c r="G19" s="61"/>
      <c r="H19" s="61"/>
      <c r="I19" s="61"/>
      <c r="J19" s="61"/>
      <c r="K19" s="61"/>
      <c r="L19" s="61"/>
      <c r="M19" s="62">
        <v>589</v>
      </c>
      <c r="N19" s="61">
        <f t="shared" si="4"/>
        <v>0.10877192982456141</v>
      </c>
      <c r="O19" s="61">
        <f t="shared" si="5"/>
        <v>0.13909581299768817</v>
      </c>
      <c r="P19" s="60">
        <f t="shared" si="1"/>
        <v>0</v>
      </c>
      <c r="Q19" s="60">
        <f t="shared" si="2"/>
        <v>0.48739265319170577</v>
      </c>
      <c r="R19" s="60">
        <f t="shared" si="3"/>
        <v>3.5521920320053342</v>
      </c>
    </row>
    <row r="20" spans="2:18">
      <c r="B20" s="58" t="s">
        <v>55</v>
      </c>
      <c r="C20" s="62">
        <v>23059</v>
      </c>
      <c r="D20" s="62">
        <v>1443</v>
      </c>
      <c r="E20" s="61">
        <f t="shared" si="0"/>
        <v>6.2578602714775139E-2</v>
      </c>
      <c r="F20" s="61"/>
      <c r="G20" s="61"/>
      <c r="H20" s="61"/>
      <c r="I20" s="61"/>
      <c r="J20" s="61"/>
      <c r="K20" s="61"/>
      <c r="L20" s="61"/>
      <c r="M20" s="62">
        <v>-843</v>
      </c>
      <c r="N20" s="61">
        <f t="shared" si="4"/>
        <v>-1.405</v>
      </c>
      <c r="O20" s="61">
        <f t="shared" si="5"/>
        <v>2.5360327993575384E-2</v>
      </c>
      <c r="P20" s="60">
        <f t="shared" si="1"/>
        <v>0</v>
      </c>
      <c r="Q20" s="60">
        <f t="shared" si="2"/>
        <v>0.48739265319170577</v>
      </c>
      <c r="R20" s="60">
        <f t="shared" si="3"/>
        <v>3.5521920320053342</v>
      </c>
    </row>
    <row r="21" spans="2:18">
      <c r="C21" s="64"/>
      <c r="D21" s="64"/>
      <c r="M21" s="64"/>
      <c r="N21" s="64"/>
      <c r="O21" s="61"/>
      <c r="P21" s="63"/>
      <c r="Q21" s="63"/>
    </row>
    <row r="22" spans="2:18">
      <c r="B22" s="58" t="s">
        <v>137</v>
      </c>
      <c r="C22" s="62">
        <v>550552</v>
      </c>
      <c r="D22" s="62">
        <v>268335</v>
      </c>
      <c r="E22" s="61">
        <f>D22/C22</f>
        <v>0.48739265319170577</v>
      </c>
      <c r="F22" s="61">
        <v>0.8090113803514748</v>
      </c>
      <c r="G22" s="61">
        <v>0.64951048951048951</v>
      </c>
      <c r="H22" s="61">
        <v>0.60082258781680742</v>
      </c>
      <c r="I22" s="61">
        <v>0.250016107209587</v>
      </c>
      <c r="J22" s="61">
        <v>0.76043693463048301</v>
      </c>
      <c r="K22" s="61">
        <v>0.42166620920792225</v>
      </c>
      <c r="L22" s="61">
        <v>0.29821445156496701</v>
      </c>
      <c r="M22" s="62">
        <v>-18155</v>
      </c>
      <c r="N22" s="61">
        <v>-7.2567751219122234E-2</v>
      </c>
      <c r="O22" s="61">
        <v>0.31243911820684073</v>
      </c>
      <c r="P22" s="60">
        <f>O22/(1-O22)*(1-N22)-E22</f>
        <v>0</v>
      </c>
    </row>
    <row r="23" spans="2:18">
      <c r="B23" s="58" t="s">
        <v>136</v>
      </c>
      <c r="C23" s="62">
        <v>59990</v>
      </c>
      <c r="D23" s="62">
        <v>213096</v>
      </c>
      <c r="E23" s="61">
        <f>D23/C23</f>
        <v>3.5521920320053342</v>
      </c>
      <c r="F23" s="61">
        <v>4.542601653450312</v>
      </c>
      <c r="G23" s="61">
        <v>5.3456929685733661</v>
      </c>
      <c r="H23" s="61">
        <v>3.7115995115995117</v>
      </c>
      <c r="I23" s="61">
        <v>2.6416452442159382</v>
      </c>
      <c r="J23" s="61">
        <v>7.2571990448096644</v>
      </c>
      <c r="K23" s="61">
        <v>1.0784343588181542</v>
      </c>
      <c r="L23" s="61">
        <v>2.643456452348381</v>
      </c>
      <c r="M23" s="62">
        <f>M4+M5+M6+M7+M8+M9</f>
        <v>-35621</v>
      </c>
      <c r="N23" s="61">
        <v>-0.20070995914917594</v>
      </c>
      <c r="O23" s="61">
        <v>0.74737329711746991</v>
      </c>
      <c r="P23" s="60">
        <f>O23/(1-O23)*(1-N23)-E23</f>
        <v>0</v>
      </c>
    </row>
    <row r="24" spans="2:18">
      <c r="B24" s="58" t="s">
        <v>23</v>
      </c>
      <c r="C24" s="62">
        <v>610542</v>
      </c>
      <c r="D24" s="62">
        <v>481431</v>
      </c>
      <c r="E24" s="61">
        <f>D24/C24</f>
        <v>0.78853051878494851</v>
      </c>
      <c r="F24" s="61">
        <v>1.304310846501634</v>
      </c>
      <c r="G24" s="61">
        <v>1.2785028616418859</v>
      </c>
      <c r="H24" s="61">
        <v>1.010648907763086</v>
      </c>
      <c r="I24" s="61">
        <v>0.62844049136318025</v>
      </c>
      <c r="J24" s="61">
        <v>1.4643047375549771</v>
      </c>
      <c r="K24" s="61">
        <v>0.47856549103431895</v>
      </c>
      <c r="L24" s="61">
        <v>0.48167569148670536</v>
      </c>
      <c r="M24" s="62">
        <f>M22+M23</f>
        <v>-53776</v>
      </c>
      <c r="N24" s="61">
        <v>-0.12574622066852953</v>
      </c>
      <c r="O24" s="61">
        <v>0.41192085895066161</v>
      </c>
      <c r="P24" s="60">
        <f>O24/(1-O24)*(1-N24)-E24</f>
        <v>0</v>
      </c>
    </row>
    <row r="27" spans="2:18">
      <c r="B27" s="59"/>
    </row>
  </sheetData>
  <mergeCells count="1">
    <mergeCell ref="B2:R2"/>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Charts</vt:lpstr>
      </vt:variant>
      <vt:variant>
        <vt:i4>29</vt:i4>
      </vt:variant>
    </vt:vector>
  </HeadingPairs>
  <TitlesOfParts>
    <vt:vector size="46" baseType="lpstr">
      <vt:lpstr>MainTablesFigures</vt:lpstr>
      <vt:lpstr>Table1</vt:lpstr>
      <vt:lpstr>Table2</vt:lpstr>
      <vt:lpstr>Table3</vt:lpstr>
      <vt:lpstr>DataF3</vt:lpstr>
      <vt:lpstr>DataF4</vt:lpstr>
      <vt:lpstr>DataF4c</vt:lpstr>
      <vt:lpstr>DataF5</vt:lpstr>
      <vt:lpstr>DataF6a</vt:lpstr>
      <vt:lpstr>DataF6b</vt:lpstr>
      <vt:lpstr>DataF6d</vt:lpstr>
      <vt:lpstr>DataF7</vt:lpstr>
      <vt:lpstr>DataF8a</vt:lpstr>
      <vt:lpstr>Data F8b</vt:lpstr>
      <vt:lpstr>Data F8c</vt:lpstr>
      <vt:lpstr>DataF9</vt:lpstr>
      <vt:lpstr>DataF10</vt:lpstr>
      <vt:lpstr>F3</vt:lpstr>
      <vt:lpstr>F3(details)</vt:lpstr>
      <vt:lpstr>F4a</vt:lpstr>
      <vt:lpstr>F4b</vt:lpstr>
      <vt:lpstr>F4c</vt:lpstr>
      <vt:lpstr>F4c(online)</vt:lpstr>
      <vt:lpstr>F5a</vt:lpstr>
      <vt:lpstr>F5a(slides)</vt:lpstr>
      <vt:lpstr>F5b</vt:lpstr>
      <vt:lpstr>F5c</vt:lpstr>
      <vt:lpstr>F6a</vt:lpstr>
      <vt:lpstr>F6b</vt:lpstr>
      <vt:lpstr>F6c</vt:lpstr>
      <vt:lpstr>F6d</vt:lpstr>
      <vt:lpstr>F6d(slides)</vt:lpstr>
      <vt:lpstr>F7a</vt:lpstr>
      <vt:lpstr>F7a(slides)</vt:lpstr>
      <vt:lpstr>F7b</vt:lpstr>
      <vt:lpstr>F7c</vt:lpstr>
      <vt:lpstr>F8a</vt:lpstr>
      <vt:lpstr>F8b</vt:lpstr>
      <vt:lpstr>F8c</vt:lpstr>
      <vt:lpstr>F9a</vt:lpstr>
      <vt:lpstr>F9b</vt:lpstr>
      <vt:lpstr>F9c</vt:lpstr>
      <vt:lpstr>F9d</vt:lpstr>
      <vt:lpstr>F9e</vt:lpstr>
      <vt:lpstr>F10a</vt:lpstr>
      <vt:lpstr>F10b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Zucman</dc:creator>
  <cp:lastModifiedBy>Gabriel Zucman</cp:lastModifiedBy>
  <cp:lastPrinted>2018-06-04T20:43:03Z</cp:lastPrinted>
  <dcterms:created xsi:type="dcterms:W3CDTF">2017-09-23T21:23:27Z</dcterms:created>
  <dcterms:modified xsi:type="dcterms:W3CDTF">2018-06-04T21:52:59Z</dcterms:modified>
</cp:coreProperties>
</file>